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6.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18.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6.xml"/>
  <Override ContentType="application/vnd.openxmlformats-officedocument.spreadsheetml.pivotTable+xml" PartName="/xl/pivotTables/pivotTable14.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lance Sheet" sheetId="1" r:id="rId4"/>
    <sheet state="visible" name="Income Statement" sheetId="2" r:id="rId5"/>
    <sheet state="visible" name="Aggregated Pivots" sheetId="3" r:id="rId6"/>
    <sheet state="visible" name="Detail90-Bounty" sheetId="4" r:id="rId7"/>
    <sheet state="visible" name="Detail86-Development-Bounty" sheetId="5" r:id="rId8"/>
    <sheet state="visible" name="Aggregated" sheetId="6" r:id="rId9"/>
    <sheet state="visible" name="Referenda Pivots" sheetId="7" r:id="rId10"/>
    <sheet state="visible" name="Referenda" sheetId="8" r:id="rId11"/>
    <sheet state="visible" name="Child Bounties" sheetId="9" r:id="rId12"/>
    <sheet state="visible" name="Bounties" sheetId="10" r:id="rId13"/>
    <sheet state="visible" name="Bounty Payouts" sheetId="11" r:id="rId14"/>
    <sheet state="visible" name="Parity Data" sheetId="12" r:id="rId15"/>
    <sheet state="visible" name="Archive - Burn" sheetId="13" r:id="rId16"/>
    <sheet state="visible" name="Archive - Treasury" sheetId="14" r:id="rId17"/>
  </sheets>
  <definedNames>
    <definedName hidden="1" localSheetId="7" name="_xlnm._FilterDatabase">Referenda!$A$1:$AL$1667</definedName>
    <definedName hidden="1" localSheetId="8" name="_xlnm._FilterDatabase">'Child Bounties'!$A$1:$Z$1394</definedName>
    <definedName hidden="1" localSheetId="13" name="_xlnm._FilterDatabase">'Archive - Treasury'!$A$1:$T$835</definedName>
    <definedName hidden="1" localSheetId="7" name="Z_03AC4DB2_571C_4A54_B779_BFBAC2413457_.wvu.FilterData">Referenda!$A$1:$K$1</definedName>
    <definedName hidden="1" localSheetId="7" name="Z_F0C816E5_BA8A_405C_94DC_EACBAA8CA531_.wvu.FilterData">Referenda!$A$1:$K$1</definedName>
    <definedName hidden="1" localSheetId="7" name="Z_98F63DDC_2B23_4AA8_881C_55EA36B1ABDA_.wvu.FilterData">Referenda!$A$1:$K$1</definedName>
  </definedNames>
  <calcPr/>
  <customWorkbookViews>
    <customWorkbookView activeSheetId="0" maximized="1" windowHeight="0" windowWidth="0" guid="{03AC4DB2-571C-4A54-B779-BFBAC2413457}" name="Filter 2"/>
    <customWorkbookView activeSheetId="0" maximized="1" windowHeight="0" windowWidth="0" guid="{F0C816E5-BA8A-405C-94DC-EACBAA8CA531}" name="Filter 3"/>
    <customWorkbookView activeSheetId="0" maximized="1" windowHeight="0" windowWidth="0" guid="{98F63DDC-2B23-4AA8-881C-55EA36B1ABDA}" name="Filter 1"/>
  </customWorkbookViews>
  <pivotCaches>
    <pivotCache cacheId="0" r:id="rId18"/>
    <pivotCache cacheId="1" r:id="rId19"/>
    <pivotCache cacheId="2" r:id="rId20"/>
    <pivotCache cacheId="3" r:id="rId21"/>
    <pivotCache cacheId="4" r:id="rId22"/>
  </pivotCaches>
</workbook>
</file>

<file path=xl/sharedStrings.xml><?xml version="1.0" encoding="utf-8"?>
<sst xmlns="http://schemas.openxmlformats.org/spreadsheetml/2006/main" count="24852" uniqueCount="3106">
  <si>
    <t>OpenGov.Watch Polkadot Treasury - Balance Sheet - 2024-06-28</t>
  </si>
  <si>
    <t>DOTUSD rate</t>
  </si>
  <si>
    <t>Assets</t>
  </si>
  <si>
    <t>DOT</t>
  </si>
  <si>
    <t>USD</t>
  </si>
  <si>
    <t>Current Assets</t>
  </si>
  <si>
    <t>Cash and cash equivalents</t>
  </si>
  <si>
    <t>DOT - Relay chain</t>
  </si>
  <si>
    <t>DOT - AssetHub</t>
  </si>
  <si>
    <t>USDC - AssetHub</t>
  </si>
  <si>
    <t>USDT - AssetHub</t>
  </si>
  <si>
    <t>USDT - Hydration</t>
  </si>
  <si>
    <t>USDT - Hydration Treasury stablecoin acquisition</t>
  </si>
  <si>
    <t>USDC - Hydration Treasury stablecoin acquisition</t>
  </si>
  <si>
    <t>Non-custodial liquidity provision</t>
  </si>
  <si>
    <t>DOT - Hydration Omnipool</t>
  </si>
  <si>
    <t>Designated assets</t>
  </si>
  <si>
    <t>USDT - Collectives Fellowship Salary Treasury</t>
  </si>
  <si>
    <t>DOT - Hydration Treasury stablecoin acquisition</t>
  </si>
  <si>
    <t>DOT - Hydration Fellowship stable acquisition</t>
  </si>
  <si>
    <t>DOT - MYTH Swap</t>
  </si>
  <si>
    <t>MYTHUSD rate</t>
  </si>
  <si>
    <t>Bounties</t>
  </si>
  <si>
    <t>Loans receivable (interest is estimated)</t>
  </si>
  <si>
    <t>Bifrost Liquidity</t>
  </si>
  <si>
    <t>vDOT APR</t>
  </si>
  <si>
    <t>Pendulum Bridge Vaults</t>
  </si>
  <si>
    <t>Total current assets</t>
  </si>
  <si>
    <t>Total assets</t>
  </si>
  <si>
    <t>Liabilities and Treasury Balance</t>
  </si>
  <si>
    <t>Current Liabilities</t>
  </si>
  <si>
    <t>Wages payable</t>
  </si>
  <si>
    <t>Fellowship salaries</t>
  </si>
  <si>
    <t>Total current liabilities</t>
  </si>
  <si>
    <t>Total liabilities</t>
  </si>
  <si>
    <t>Treasury Balance</t>
  </si>
  <si>
    <t>Surplus</t>
  </si>
  <si>
    <t>Total Treasury Balance</t>
  </si>
  <si>
    <t>OpenGov.Watch Polkadot Treasury Income Statement</t>
  </si>
  <si>
    <t>2023 H2</t>
  </si>
  <si>
    <t>2024 H1</t>
  </si>
  <si>
    <t>Revenue:</t>
  </si>
  <si>
    <t>Fees</t>
  </si>
  <si>
    <t>Other (Slashes, Dust, OpenGov Returns)</t>
  </si>
  <si>
    <t>Total Revenues</t>
  </si>
  <si>
    <t>Expenses</t>
  </si>
  <si>
    <t>Development</t>
  </si>
  <si>
    <t>Economy</t>
  </si>
  <si>
    <t>Talent &amp; Education</t>
  </si>
  <si>
    <t>Operations</t>
  </si>
  <si>
    <t>Research</t>
  </si>
  <si>
    <t>Total Expenses</t>
  </si>
  <si>
    <t>Operating Loss / Earnings before Inflation and Burn (EBIB)</t>
  </si>
  <si>
    <t>Other Income/Expenses:</t>
  </si>
  <si>
    <t>Inflation</t>
  </si>
  <si>
    <t>Burn</t>
  </si>
  <si>
    <t>Total Other Income/Expenses</t>
  </si>
  <si>
    <t>Net Earnings</t>
  </si>
  <si>
    <t>Quarterly spend</t>
  </si>
  <si>
    <t>Gov2 All Time Categories</t>
  </si>
  <si>
    <t>Categories by quarter</t>
  </si>
  <si>
    <t>SUM of USD Last Update</t>
  </si>
  <si>
    <t>SUM of DOT</t>
  </si>
  <si>
    <t>2024-H2 By Spend Type</t>
  </si>
  <si>
    <t>Category</t>
  </si>
  <si>
    <t>SUM of USD</t>
  </si>
  <si>
    <t>Categories by half-year</t>
  </si>
  <si>
    <t>half-years</t>
  </si>
  <si>
    <t>quarter</t>
  </si>
  <si>
    <t>Gov 2 2024-H2 Categories &amp; Subcategories</t>
  </si>
  <si>
    <t>2023-Q3</t>
  </si>
  <si>
    <t>Type</t>
  </si>
  <si>
    <t>2023-H2</t>
  </si>
  <si>
    <t>2024-H1</t>
  </si>
  <si>
    <t>Grand Total</t>
  </si>
  <si>
    <t>Values</t>
  </si>
  <si>
    <t>2023-Q4</t>
  </si>
  <si>
    <t>2024-Q1</t>
  </si>
  <si>
    <t>2024-Q2</t>
  </si>
  <si>
    <t>Subcategory</t>
  </si>
  <si>
    <t>Bounty</t>
  </si>
  <si>
    <t>Outreach</t>
  </si>
  <si>
    <t>Advertising/Sponsorships</t>
  </si>
  <si>
    <t>Collectives</t>
  </si>
  <si>
    <t>Advertising/Influencers</t>
  </si>
  <si>
    <t>Direct Spend</t>
  </si>
  <si>
    <t>Events/Conference Attendance &amp; Side Events</t>
  </si>
  <si>
    <t>Advertising/Digital Ads</t>
  </si>
  <si>
    <t>Business Development</t>
  </si>
  <si>
    <t>Media</t>
  </si>
  <si>
    <t/>
  </si>
  <si>
    <t>Events/Conference Hosting</t>
  </si>
  <si>
    <t>Advertising/Physical Ads</t>
  </si>
  <si>
    <t>Community Building</t>
  </si>
  <si>
    <t>Advertising</t>
  </si>
  <si>
    <t>Monthly spend</t>
  </si>
  <si>
    <t>DONT CHANGE; DON'T MOVE; THE INCOME STATEMENT DEPENDS ON IT</t>
  </si>
  <si>
    <t>Events/Meetups</t>
  </si>
  <si>
    <t>Advertising/Platform Integrations</t>
  </si>
  <si>
    <t>2023-07</t>
  </si>
  <si>
    <t>Outreach Total</t>
  </si>
  <si>
    <t>2023-08</t>
  </si>
  <si>
    <t>Polkadot Protocol &amp; SDK</t>
  </si>
  <si>
    <t>2023-09</t>
  </si>
  <si>
    <t>Data Services &amp; Indexing</t>
  </si>
  <si>
    <t>2023-10</t>
  </si>
  <si>
    <t>Wallets</t>
  </si>
  <si>
    <t>2023-11</t>
  </si>
  <si>
    <t>Governance</t>
  </si>
  <si>
    <t>2023-12</t>
  </si>
  <si>
    <t>SDKs</t>
  </si>
  <si>
    <t>2024-01</t>
  </si>
  <si>
    <t>Ecosystem Services</t>
  </si>
  <si>
    <t>2024-02</t>
  </si>
  <si>
    <t>Smart Contracts</t>
  </si>
  <si>
    <t>2024-03</t>
  </si>
  <si>
    <t>Software Development</t>
  </si>
  <si>
    <t>2024-04</t>
  </si>
  <si>
    <t>2023-Q3 Total</t>
  </si>
  <si>
    <t>Protocol Subsidies</t>
  </si>
  <si>
    <t>2024-05</t>
  </si>
  <si>
    <t>Software Services</t>
  </si>
  <si>
    <t>2024-06</t>
  </si>
  <si>
    <t>2023-H2 Total</t>
  </si>
  <si>
    <t>Multisig</t>
  </si>
  <si>
    <t>Privacy</t>
  </si>
  <si>
    <t>Games</t>
  </si>
  <si>
    <t>Development Total</t>
  </si>
  <si>
    <t>Yearly spend</t>
  </si>
  <si>
    <t>Economy Total</t>
  </si>
  <si>
    <t>2023-Q4 Total</t>
  </si>
  <si>
    <t>Trainings &amp; Hackathon</t>
  </si>
  <si>
    <t>2020-Q3</t>
  </si>
  <si>
    <t>2024-H1 Total</t>
  </si>
  <si>
    <t>Education</t>
  </si>
  <si>
    <t>2020-Q4</t>
  </si>
  <si>
    <t>Talent &amp; Education Total</t>
  </si>
  <si>
    <t>2021-Q1</t>
  </si>
  <si>
    <t>2021-Q2</t>
  </si>
  <si>
    <t>2021-Q3</t>
  </si>
  <si>
    <t>RPCs and Nodes</t>
  </si>
  <si>
    <t>2021-Q4</t>
  </si>
  <si>
    <t>2024-Q1 Total</t>
  </si>
  <si>
    <t>2022-Q1</t>
  </si>
  <si>
    <t>Infrastructure</t>
  </si>
  <si>
    <t>2022-Q2</t>
  </si>
  <si>
    <t>Staking</t>
  </si>
  <si>
    <t>2022-Q3</t>
  </si>
  <si>
    <t>Operations Total</t>
  </si>
  <si>
    <t>2022-Q4</t>
  </si>
  <si>
    <t>2023-Q1</t>
  </si>
  <si>
    <t>Security</t>
  </si>
  <si>
    <t>2023-Q2</t>
  </si>
  <si>
    <t>parentBountyID</t>
  </si>
  <si>
    <t>bounty name</t>
  </si>
  <si>
    <t>SUM of USD latest</t>
  </si>
  <si>
    <t>2024-Q2 Total</t>
  </si>
  <si>
    <t>Anti-Scam</t>
  </si>
  <si>
    <t>Marketing Bounty</t>
  </si>
  <si>
    <t>Events Bounty</t>
  </si>
  <si>
    <t>Polkadot Assurance Legion Bounty</t>
  </si>
  <si>
    <t>Other</t>
  </si>
  <si>
    <t>AMI Bounty</t>
  </si>
  <si>
    <t>Research Total</t>
  </si>
  <si>
    <t>Wasm Smart Contracts Bounty</t>
  </si>
  <si>
    <t>Anti-Scam Bounty</t>
  </si>
  <si>
    <t>Paseo Testnet Bounty</t>
  </si>
  <si>
    <t>Polkadot Parachain Assets Onramp Bounty</t>
  </si>
  <si>
    <t>Moderation Team Bounty</t>
  </si>
  <si>
    <t>Infrastructure Builders Program</t>
  </si>
  <si>
    <t>System Parachains Collator Bounty</t>
  </si>
  <si>
    <t>Spanish Bounty</t>
  </si>
  <si>
    <t>Public RPCs for Relay and System Chains</t>
  </si>
  <si>
    <t>Meetups Bounty</t>
  </si>
  <si>
    <t>Games Bounty</t>
  </si>
  <si>
    <t>ID</t>
  </si>
  <si>
    <t>Last Update</t>
  </si>
  <si>
    <t>year</t>
  </si>
  <si>
    <t>month</t>
  </si>
  <si>
    <t>year-month</t>
  </si>
  <si>
    <t>curator expenses</t>
  </si>
  <si>
    <t>2024</t>
  </si>
  <si>
    <t>Soulbound Bali - Kreshna Sucandra - August 2023</t>
  </si>
  <si>
    <t>Events Bounty Curator Reward - Mark Ryan - May-August 2023</t>
  </si>
  <si>
    <t>Polkadot Bled Mini conf - KodaDot - April 2023</t>
  </si>
  <si>
    <t>The Future of Polkadot - KodaDot - November 2022</t>
  </si>
  <si>
    <t>NFTs In Prague - KodaDot - June 2023</t>
  </si>
  <si>
    <t>KODA. Onchain Exhibition - KodaDot - September 2023</t>
  </si>
  <si>
    <t>Sub0 closing Party - WebZero - September 2023</t>
  </si>
  <si>
    <t>Berlin House of Chaos - WebZero - September 2023</t>
  </si>
  <si>
    <t>Mod team bounty - December 2023 - Mister_cole</t>
  </si>
  <si>
    <t>Mod team bounty - December 2023 - Paradox</t>
  </si>
  <si>
    <t>Mod team bounty - December 2023 - Frankywild</t>
  </si>
  <si>
    <t>Mod team bounty - December 2023 - MC</t>
  </si>
  <si>
    <t>Mod team bounty - December 2023 - Tim</t>
  </si>
  <si>
    <t>Mod team bounty - December 2023 - Gr33n</t>
  </si>
  <si>
    <t>Mod team bounty + curator fees - December 2023 - Grizzly</t>
  </si>
  <si>
    <t>Mod team bounty + curator fees - December 2023 - Abdulbee</t>
  </si>
  <si>
    <t>Mod team bounty - December 2023 - Cappex</t>
  </si>
  <si>
    <t>Mod team bounty - December 2023 - Maarmapa</t>
  </si>
  <si>
    <t>Mod team bounty - December 2023 - Pastaman</t>
  </si>
  <si>
    <t>Mod team bounty - December 2023 - Muddlebee</t>
  </si>
  <si>
    <t>Mod team bounty - December 2023 - LV</t>
  </si>
  <si>
    <t>phala-c4-2401</t>
  </si>
  <si>
    <t>acala-c4-2401</t>
  </si>
  <si>
    <t>Reactive track management - December 2023 - Tim Janssen</t>
  </si>
  <si>
    <t>General Administration - December 2023 - Pastaman</t>
  </si>
  <si>
    <t>General Administration - December 2023 - Cmalize</t>
  </si>
  <si>
    <t>General curation - Decembe 2023 - Cappex</t>
  </si>
  <si>
    <t>General Curator - Abdulbee - December 2023</t>
  </si>
  <si>
    <t>Admin-Op track - December 2023 - Abdulbee</t>
  </si>
  <si>
    <t>Admin-Op track - December 2023 - FrankyWild</t>
  </si>
  <si>
    <t>General Adiminstation -December 2023- Paradox</t>
  </si>
  <si>
    <t>One-Time-Task - December 2023 - Grizzly</t>
  </si>
  <si>
    <t>Outreach Track December - Grizzly</t>
  </si>
  <si>
    <t>General Curation December - Grizzly</t>
  </si>
  <si>
    <t>Task 1 December - Franky</t>
  </si>
  <si>
    <t>Task 1 December - PastaMan</t>
  </si>
  <si>
    <t>Task 1 December - Tim</t>
  </si>
  <si>
    <t>Repo Maintenance- December 2023- Franky</t>
  </si>
  <si>
    <t>Repo Maintenance- December 2023- TimJanssen</t>
  </si>
  <si>
    <t>Repo Maintenance- December 2023- Pastaman</t>
  </si>
  <si>
    <t>Track management- Dec 2023- Maarmapa</t>
  </si>
  <si>
    <t xml:space="preserve">General curation- Dec 2023- Kamala </t>
  </si>
  <si>
    <t>t3rn-srl-2401</t>
  </si>
  <si>
    <t>Payment to Lucky Team for Milestone 2</t>
  </si>
  <si>
    <t>hydradx-c4-2401</t>
  </si>
  <si>
    <t>Exiled Racers Trackmeet - Exiled Racers - NYC, NY</t>
  </si>
  <si>
    <t>PolkadotDevs: MeetUp Series - Vasiliki Tani - Athens/Vienna</t>
  </si>
  <si>
    <t>Polkadot at ETHDenver 2024 - Distractive - Denver, CO</t>
  </si>
  <si>
    <t>4 Meetups in LATAM - Simonn Leon - Various Countries</t>
  </si>
  <si>
    <t>9 Meetups in Hungary - Viktor / Polkadot Hungary - Budapest, Hungary</t>
  </si>
  <si>
    <t>Polkadot Munchen Meetup - Saro Posa - Munchen, Germany</t>
  </si>
  <si>
    <t>Task 5 - December 2023 - frankywild</t>
  </si>
  <si>
    <t>task 5 - December 2023 - Tim janssen</t>
  </si>
  <si>
    <t>Task 5 - December 2023 - Tramymsa</t>
  </si>
  <si>
    <t>bifrost-oak-2401</t>
  </si>
  <si>
    <t>astar-srl-2312</t>
  </si>
  <si>
    <t>Moderation team bounty - Jan 2024 - Cappex</t>
  </si>
  <si>
    <t>Moderation team bounty - Jan 2024 - frankywild</t>
  </si>
  <si>
    <t>Moderation team bounty - Jan 2024 - Grizzly</t>
  </si>
  <si>
    <t>Moderation team bounty - Jan 2024 - LV</t>
  </si>
  <si>
    <t>Moderation team bounty - Jan 2024 - Mister_Cole</t>
  </si>
  <si>
    <t>Moderation team bounty - Jan 2024 - Pastaman</t>
  </si>
  <si>
    <t>Moderation team bounty - Jan 2024 - Tim Janssen</t>
  </si>
  <si>
    <t>Moderation team bounty-January 2024- Abdulbee</t>
  </si>
  <si>
    <t>Moderation team bounty- January 2024- Gr33nHatt3R</t>
  </si>
  <si>
    <t>Moderation team bounty- January 2024- Maarmapa</t>
  </si>
  <si>
    <t>Moderation team bounty- January 2024- MC</t>
  </si>
  <si>
    <t>Moderation team bounty- January 2024- Muddlebee</t>
  </si>
  <si>
    <t xml:space="preserve">Moderation team bounty-January 2024- Paradox </t>
  </si>
  <si>
    <t>The Blockspace at ETHDenver - WebZero - Denver, CO</t>
  </si>
  <si>
    <t>PMEI ETHDenver Closing Party - PMEI - Denver CO</t>
  </si>
  <si>
    <t>Typefully reimbursement - Grizz</t>
  </si>
  <si>
    <t>Proactive track management - January 2024 - Frankywild</t>
  </si>
  <si>
    <t>Outreach track management - January 2024 - GrizzlyAdams</t>
  </si>
  <si>
    <t>General curation - January 2024 - GrizzlyAdams</t>
  </si>
  <si>
    <t>General Curator- Capppex - January 2024</t>
  </si>
  <si>
    <t>Task 2b-Database for DNS registrars - Tim Janssen - January 2024</t>
  </si>
  <si>
    <t>abdulbee admin/op track January 24</t>
  </si>
  <si>
    <t>Maarmapa educational track January 24</t>
  </si>
  <si>
    <t>pastaMan General administration January 24</t>
  </si>
  <si>
    <t>cmalize General administration January 24</t>
  </si>
  <si>
    <t>abdulbee General curation January 24</t>
  </si>
  <si>
    <t>Repo Mainetenance- January 2024- FrankyWild</t>
  </si>
  <si>
    <t>Repo Mainetenance- January 2024- Pastaman</t>
  </si>
  <si>
    <t>Repo Mainetenance- January 2024- TimJanssen</t>
  </si>
  <si>
    <t>frankywild for email set-up</t>
  </si>
  <si>
    <t>alina for email set-up</t>
  </si>
  <si>
    <t>Reactive Track Management-January 2024- TimJanssen</t>
  </si>
  <si>
    <t>General Administration- January 2024- Paradox</t>
  </si>
  <si>
    <t>General Curation-January 2024- Kamala</t>
  </si>
  <si>
    <t>Payment to Archisinal for Milestone 2 + Base Payment for Four Curators</t>
  </si>
  <si>
    <t>astar-zellic-2401</t>
  </si>
  <si>
    <t>Task 5 - January 2024 - Frankywild</t>
  </si>
  <si>
    <t>Task 5 - Janaury 2024 - Michelle</t>
  </si>
  <si>
    <t>Task 5 - January 2024 - ShakurHarun</t>
  </si>
  <si>
    <t>Task 5 - January 2024 - Sirjey</t>
  </si>
  <si>
    <t>Task 1 - jan 2024 - Frankywild</t>
  </si>
  <si>
    <t>Task 1 - jan 2024 - Pastaman</t>
  </si>
  <si>
    <t>Task 1 - jan 2024 - Tim</t>
  </si>
  <si>
    <t>Lunar Strategy Invoice 2024-02-09 (Binance EMA 7 days = 7.052 USDT)</t>
  </si>
  <si>
    <t>ParaNodes.io produced 16469/16490 blocks; SR: 15.2574, CR: 44.0291</t>
  </si>
  <si>
    <t>Staker Space produced 16447/16490 blocks; SR: 15.2370, CR: 43.9703</t>
  </si>
  <si>
    <t>LuckyFriday.io produced 16478/16490 blocks; SR: 15.2658, CR: 44.0532</t>
  </si>
  <si>
    <t>Mile produced 16487/16490 blocks; SR: 15.2741, CR: 44.0772</t>
  </si>
  <si>
    <t>YellowFin Tuna produced 16480/16490 blocks; SR: 15.2676, CR: 44.0585</t>
  </si>
  <si>
    <t>turboflakes.io produced 16373/16490 blocks; SR: 15.1685, CR: 43.7724</t>
  </si>
  <si>
    <t>Chris-Staking produced 16458/16490 blocks; SR: 15.2472, CR: 43.9997</t>
  </si>
  <si>
    <t>Polkadotters produced 16461/16490 blocks; SR: Invul:0, CR: 44.0077</t>
  </si>
  <si>
    <t>Stakeworld.io produced 16483/16490 blocks; SR: Invul:0, CR: 44.0665</t>
  </si>
  <si>
    <t xml:space="preserve"> Iceberg Nodes  produced 16464/16490 blocks; SR: Invul:0, CR: 44.0157</t>
  </si>
  <si>
    <t>openbitlab produced 16490/16490 blocks; SR: Invul:0, CR: 44.0852</t>
  </si>
  <si>
    <t>Reward for curator (frankywild) as a portion from total 638.5667</t>
  </si>
  <si>
    <t>Reward for curator (pastaMan) as a portion from total 638.5667</t>
  </si>
  <si>
    <t>Reward for curator (Tim Janssen) as a portion from total 638.5667</t>
  </si>
  <si>
    <t>Hosting fee for Curator RPC instance @ $25.0000</t>
  </si>
  <si>
    <t>Sik | crifferent.de produced 16473/16490 blocks; SR: Invul:0, CR: 44.0398</t>
  </si>
  <si>
    <t>turboflakes.io produced 16345/16496 blocks; SR: Invul:0, CR: 43.6817</t>
  </si>
  <si>
    <t xml:space="preserve"> Iceberg Nodes  produced 16458/16496 blocks; SR: 15.2417, CR: 43.9837</t>
  </si>
  <si>
    <t>Polkadotters produced 16479/16496 blocks; SR: 15.2611, CR: 44.0398</t>
  </si>
  <si>
    <t>YellowFin Tuna produced 16479/16496 blocks; SR: 15.2611, CR: 44.0398</t>
  </si>
  <si>
    <t>Mile produced 16492/16496 blocks; SR: 15.2732, CR: 44.0745</t>
  </si>
  <si>
    <t>Stakeworld.io produced 16455/16496 blocks; SR: 15.2389, CR: 43.9757</t>
  </si>
  <si>
    <t>Sik | crifferent.de produced 16486/16496 blocks; SR: 15.2676, CR: 44.0585</t>
  </si>
  <si>
    <t>STKD.IO produced 16443/16496 blocks; SR: 15.2278, CR: 43.9436</t>
  </si>
  <si>
    <t>ParaNodes.io produced 16473/16496 blocks; SR: Invul:0, CR: 44.0238</t>
  </si>
  <si>
    <t>Staker Space produced 16458/16496 blocks; SR: Invul:0, CR: 43.9837</t>
  </si>
  <si>
    <t>DPSTK produced 16461/16496 blocks; SR: Invul:0, CR: 43.9917</t>
  </si>
  <si>
    <t>LuckyFriday.io produced 16496/16496 blocks; SR: Invul:0, CR: 44.0852</t>
  </si>
  <si>
    <t>Reward for curator (frankywild) as a portion from total 638.3268</t>
  </si>
  <si>
    <t>Reward for curator (pastaMan) as a portion from total 638.3268</t>
  </si>
  <si>
    <t>Reward for curator (Tim Janssen) as a portion from total 638.3268</t>
  </si>
  <si>
    <t>ExtraCoin produced 15745/15804 blocks; SR: Invul:0, CR: 43.9207</t>
  </si>
  <si>
    <t>YellowFin Tuna produced 15776/15804 blocks; SR: Invul:0, CR: 44.0071</t>
  </si>
  <si>
    <t>Stake Plus produced 15794/15804 blocks; SR: Invul:0, CR: 44.0573</t>
  </si>
  <si>
    <t>Mile produced 15788/15804 blocks; SR: Invul:0, CR: 44.0406</t>
  </si>
  <si>
    <t>BESTVALIDATOR | ZURICH produced 15770/15804 blocks; SR: Invul:0, CR: 43.9904</t>
  </si>
  <si>
    <t>LuckyFriday.io produced 15760/15804 blocks; SR: 15.2343, CR: 43.9625</t>
  </si>
  <si>
    <t>ParaNodes.io produced 15804/15804 blocks; SR: 15.2769, CR: 44.0852</t>
  </si>
  <si>
    <t xml:space="preserve"> Iceberg Nodes  produced 15776/15804 blocks; SR: 15.2498, CR: 44.0071</t>
  </si>
  <si>
    <t>Staker Space produced 15742/15804 blocks; SR: 15.2169, CR: 43.9123</t>
  </si>
  <si>
    <t>Coinstudio produced 15766/15804 blocks; SR: 15.2401, CR: 43.9792</t>
  </si>
  <si>
    <t>MathCrypto produced 15798/15804 blocks; SR: 15.2711, CR: 44.0685</t>
  </si>
  <si>
    <t>Polkadotters produced 15763/15804 blocks; SR: 15.2372, CR: 43.9709</t>
  </si>
  <si>
    <t>Reward for curator (frankywild) as a portion from total 638.4020</t>
  </si>
  <si>
    <t>Reward for curator (pastaMan) as a portion from total 638.4020</t>
  </si>
  <si>
    <t>Reward for curator (Tim Janssen) as a portion from total 638.4020</t>
  </si>
  <si>
    <t>Fund of multisig and pure proxy account</t>
  </si>
  <si>
    <t>Portion of un-budgeted VMs for Curators and Relay-chains: $60.00</t>
  </si>
  <si>
    <t>Reimbursement For Marketing Bounty Prev Expenses (Binance EMA 7 days = 7.052 USDT)</t>
  </si>
  <si>
    <t>Bounty 11 data gathering - Abujulaibib</t>
  </si>
  <si>
    <t>Bounty 11 data gathering - Maccala</t>
  </si>
  <si>
    <t>EVOX Invoice Receipt-12 (Binance EMA 7 days = 7.275 USDT)</t>
  </si>
  <si>
    <t>invarch-srl-2402</t>
  </si>
  <si>
    <t>moonbeam-srl-2401</t>
  </si>
  <si>
    <t>Smart City 2024 - Parachainboy and Gabekoin - Curitiba, Brazil</t>
  </si>
  <si>
    <t>Build on Polkadot: W3transfer - Apillon and ecosystem teams - Europe</t>
  </si>
  <si>
    <t>Meetup Ljubljana: 50 Shades of NFTs - w3n:patrik - Ljubljana, Slovenia</t>
  </si>
  <si>
    <t>Berlin Satellite event Refund &amp; Rewards - Simon Leon - Berlin, Germany</t>
  </si>
  <si>
    <t>Meetup Polkadot Munchen Refund - Saro Posa - Munchen, Germany</t>
  </si>
  <si>
    <t>Meetup Polkadot Nigeria - Chidi Olisa - Nigeria</t>
  </si>
  <si>
    <t>Meetup Blockchain for Beginners Refund - Torsten Schenk - Berlin, Germany</t>
  </si>
  <si>
    <t>2023 Q4 Curator Awards - ChaosDAO</t>
  </si>
  <si>
    <t>2023 Q4 Curator Awards - WebZero</t>
  </si>
  <si>
    <t>2023 Q4 Curator Awards - Hutch</t>
  </si>
  <si>
    <t>2023 Q4 Curator Awards - Mark</t>
  </si>
  <si>
    <t>DOT Hong Kong Day, Volitility Reimbursement - Vincent Chan - Hong Kong</t>
  </si>
  <si>
    <t>NFT Biarritz - G'Expect Chaos - Biarritz, France</t>
  </si>
  <si>
    <t>Base payment for six Curators</t>
  </si>
  <si>
    <t>CultureDot - Polkadot IRL Campaign #3 - Zurich Airport (Binance MA 25 days = 7.2 USDT - excess DOT due to change in price must be returned)</t>
  </si>
  <si>
    <t>peaq-srl-2402</t>
  </si>
  <si>
    <t>ETHTaipei - James Shih - Taiwan</t>
  </si>
  <si>
    <t>CryptoVendimia - Marmaapa and Matt Santo - Mendoza</t>
  </si>
  <si>
    <t>Meetup Beyond ETFs: Navigating the Digital Asset Management space with Scytale Digital Rewards - Patrik Kogaj - Ljubljana, Slovenia</t>
  </si>
  <si>
    <t>Moderation bounty- February 2024- Abdulbee</t>
  </si>
  <si>
    <t>Moderation Bounty- February 2024- Gr33Hatt3R</t>
  </si>
  <si>
    <t>Moderation Bounty- February 2024-Maarmapa</t>
  </si>
  <si>
    <t>Moderation Bounty- February 2024- MC</t>
  </si>
  <si>
    <t>Moderation Bounty- February 2024- Muddlebee</t>
  </si>
  <si>
    <t>Moderation bounty- February 2024- Paradox</t>
  </si>
  <si>
    <t>Moderation team bounty - February 2024 - Cappex</t>
  </si>
  <si>
    <t>Moderation team bounty - February 2024 - Frankywild</t>
  </si>
  <si>
    <t>Moderation team bounty - February 2024 - Grizzly</t>
  </si>
  <si>
    <t>Moderation team bounty - February 2024 - LV</t>
  </si>
  <si>
    <t>Moderation team bounty - February 2024 - Mister_cole</t>
  </si>
  <si>
    <t>Moderation team bounty - February 2024 - Pastaman</t>
  </si>
  <si>
    <t>Moderation team bounty - February 2024 - Tim Janssen</t>
  </si>
  <si>
    <t>Legal and compliance check for Batch 1</t>
  </si>
  <si>
    <t>Integration for INTR, BNC, ACA, KILT, ASTR, HDX, Total: 47250 USD</t>
  </si>
  <si>
    <t>Management Overhead for Interlay Team</t>
  </si>
  <si>
    <t>Administrative Operation track - Febuary 2024 - FrankyWild</t>
  </si>
  <si>
    <t>Administrative Operation track - Febuary 2024 - Grizzly</t>
  </si>
  <si>
    <t xml:space="preserve">General Curator Reward - Febuary 2024 - Grizzly </t>
  </si>
  <si>
    <t>Reactive track management - February 2024 - Tim Janssen</t>
  </si>
  <si>
    <t>general administration - February 2024 - Paradox</t>
  </si>
  <si>
    <t>General curation - February 2024 - Kamala</t>
  </si>
  <si>
    <t>Logo brand kit - Ecardo</t>
  </si>
  <si>
    <t>Track management of admin/op track Abdulbee February 2024</t>
  </si>
  <si>
    <t>General administration PastaMan Februray 2024</t>
  </si>
  <si>
    <t>General curation Abdulbee February 2024</t>
  </si>
  <si>
    <t>maintenance of phishing repo frankywild Februray 2024</t>
  </si>
  <si>
    <t>maintenance of phishing repo PastaMan Februray 2024</t>
  </si>
  <si>
    <t>maintenance of phishing repo Tim Janssen Februray 2024</t>
  </si>
  <si>
    <t>Educational Track Management- February 2024- Maarmapa</t>
  </si>
  <si>
    <t>General Admin- February 2024- Cmalize</t>
  </si>
  <si>
    <t>General Curation- February 2024- Cappex</t>
  </si>
  <si>
    <t>Detection/Takedown of phishing sites-February 2024-Frankywild</t>
  </si>
  <si>
    <t>Detection/Takedown of phishing sites-February 2024- Pastaman</t>
  </si>
  <si>
    <t>Detection/Takedown of phishing sites-February 2024- TimJanssen</t>
  </si>
  <si>
    <t>Outreach track(social media)- February 2024- _ecardo5o</t>
  </si>
  <si>
    <t>Outreach track(social media)- February 2024- Maarmapa</t>
  </si>
  <si>
    <t>Outreach track(Biz dev)- February 2024- Kamala</t>
  </si>
  <si>
    <t>Outreach track(content creation)- February 2024- _ecardo5o</t>
  </si>
  <si>
    <t>Outreach track(content creation)- February 2024- Maarmapa</t>
  </si>
  <si>
    <t>Outreach track (Account Manager) grizzlyadams</t>
  </si>
  <si>
    <t>Outreach track (Content creation) grizzlyadams</t>
  </si>
  <si>
    <t>One time task - February 2024 - LV555</t>
  </si>
  <si>
    <t>Task 5 - Febraury 2024 - Michelle</t>
  </si>
  <si>
    <t>Task 5 - Febraury 2024 - Sirjey</t>
  </si>
  <si>
    <t>Task 5 - Febraury 2024 - ShakurHarun</t>
  </si>
  <si>
    <t>EVOX Invoice INV041 (Binance EMA 7 days = 9.28 USDT) - excess DOT due to change in price must be returned</t>
  </si>
  <si>
    <t>Lunar Strategy Invoice 2024/03/07 (Binance EMA 7 days = 10.388 USDT) - excess DOT due to increase in price must be returned</t>
  </si>
  <si>
    <t>Payment to Protofire for Multisig Milestone 2</t>
  </si>
  <si>
    <t>STKD.IO produced 14997/15073 blocks; SR: 14.1370, CR: 30.2853</t>
  </si>
  <si>
    <t>ParaNodes.io produced 15058/15073 blocks; SR: Invul:0, CR: 30.4085</t>
  </si>
  <si>
    <t>Staker Space produced 14826/15073 blocks; SR: Invul:0, CR: 29.9400</t>
  </si>
  <si>
    <t>DPSTK produced 14950/15073 blocks; SR: Invul:0, CR: 30.1904</t>
  </si>
  <si>
    <t>LuckyFriday.io produced 15007/15073 blocks; SR: Invul:0, CR: 30.3055</t>
  </si>
  <si>
    <t>turboflakes.io produced 15073/15073 blocks; SR: Invul:0, CR: 30.4388</t>
  </si>
  <si>
    <t xml:space="preserve"> Iceberg Nodes  produced 15033/15073 blocks; SR: 14.1709, CR: 30.3580</t>
  </si>
  <si>
    <t>Polkadotters produced 15024/15073 blocks; SR: 14.1625, CR: 30.3398</t>
  </si>
  <si>
    <t>YellowFin Tuna produced 15040/15073 blocks; SR: 14.1775, CR: 30.3721</t>
  </si>
  <si>
    <t>Mile produced 15053/15073 blocks; SR: 14.1898, CR: 30.3984</t>
  </si>
  <si>
    <t>Stakeworld.io produced 15032/15073 blocks; SR: 14.1700, CR: 30.3560</t>
  </si>
  <si>
    <t>Sik | crifferent.de produced 15062/15073 blocks; SR: 14.1983, CR: 30.4165</t>
  </si>
  <si>
    <t>Reward for curator (frankywild) as a portion from total 467.1751</t>
  </si>
  <si>
    <t>Reward for curator (pastaMan) as a portion from total 467.1751</t>
  </si>
  <si>
    <t>Reward for curator (Tim Janssen) as a portion from total 467.1751</t>
  </si>
  <si>
    <t>1/5 hosting fee for supporting relay chain RPC instances and for curator instance @ $40.0000</t>
  </si>
  <si>
    <t>2/5 hosting fee for supporting relay chain RPC instances and for curator instance @ $40.0000</t>
  </si>
  <si>
    <t>Chris-Staking produced 15043/15067 blocks; SR: 14.1860, CR: 30.3903</t>
  </si>
  <si>
    <t>Polkadotters produced 15021/15067 blocks; SR: Invul:0, CR: 30.3458</t>
  </si>
  <si>
    <t>Stakeworld.io produced 15051/15067 blocks; SR: Invul:0, CR: 30.4064</t>
  </si>
  <si>
    <t xml:space="preserve"> Iceberg Nodes  produced 15052/15067 blocks; SR: Invul:0, CR: 30.4085</t>
  </si>
  <si>
    <t>openbitlab produced 15045/15067 blocks; SR: Invul:0, CR: 30.3943</t>
  </si>
  <si>
    <t>Sik | crifferent.de produced 15057/15067 blocks; SR: Invul:0, CR: 30.4186</t>
  </si>
  <si>
    <t>ParaNodes.io produced 14988/15067 blocks; SR: 14.1341, CR: 30.2792</t>
  </si>
  <si>
    <t>Staker Space produced 14841/15067 blocks; SR: 13.9955, CR: 29.9822</t>
  </si>
  <si>
    <t>LuckyFriday.io produced 14948/15067 blocks; SR: 14.0964, CR: 30.1984</t>
  </si>
  <si>
    <t>Mile produced 15067/15067 blocks; SR: 14.2086, CR: 30.4388</t>
  </si>
  <si>
    <t>YellowFin Tuna produced 15032/15067 blocks; SR: 14.1756, CR: 30.3681</t>
  </si>
  <si>
    <t>turboflakes.io produced 15051/15067 blocks; SR: 14.1936, CR: 30.4064</t>
  </si>
  <si>
    <t>Reward for curator (frankywild) as a portion from total 467.1867</t>
  </si>
  <si>
    <t>Reward for curator (pastaMan) as a portion from total 467.1867</t>
  </si>
  <si>
    <t>Reward for curator (Tim Janssen) as a portion from total 467.1867</t>
  </si>
  <si>
    <t>Polkadotters produced 15007/15064 blocks; SR: 14.1549, CR: 30.3236</t>
  </si>
  <si>
    <t>ExtraCoin produced 15027/15064 blocks; SR: Invul:0, CR: 30.3640</t>
  </si>
  <si>
    <t>YellowFin Tuna produced 15064/15064 blocks; SR: Invul:0, CR: 30.4388</t>
  </si>
  <si>
    <t>Stake Plus produced 15061/15064 blocks; SR: Invul:0, CR: 30.4327</t>
  </si>
  <si>
    <t>Mile produced 15057/15064 blocks; SR: Invul:0, CR: 30.4246</t>
  </si>
  <si>
    <t>BESTVALIDATOR | ZURICH produced 15044/15064 blocks; SR: Invul:0, CR: 30.3983</t>
  </si>
  <si>
    <t>LuckyFriday.io produced 14972/15064 blocks; SR: 14.1219, CR: 30.2529</t>
  </si>
  <si>
    <t>ParaNodes.io produced 15018/15064 blocks; SR: 14.1653, CR: 30.3458</t>
  </si>
  <si>
    <t xml:space="preserve"> Iceberg Nodes  produced 15029/15064 blocks; SR: 14.1756, CR: 30.3680</t>
  </si>
  <si>
    <t>Staker Space produced 14810/15064 blocks; SR: 13.9691, CR: 29.9255</t>
  </si>
  <si>
    <t>Coinstudio produced 15040/15064 blocks; SR: 14.1860, CR: 30.3903</t>
  </si>
  <si>
    <t>MathCrypto produced 15052/15064 blocks; SR: 14.1973, CR: 30.4145</t>
  </si>
  <si>
    <t>Reward for curator (frankywild) as a portion from total 467.2090</t>
  </si>
  <si>
    <t>Reward for curator (pastaMan) as a portion from total 467.2090</t>
  </si>
  <si>
    <t>Reward for curator (Tim Janssen) as a portion from total 467.2090</t>
  </si>
  <si>
    <t>Chris Malize (infographics) 6th milestone of Task 7</t>
  </si>
  <si>
    <t>Paradox (slideshow) 6th milestone of Task 7</t>
  </si>
  <si>
    <t>Maarmapa (video) 6th milestone of Task 7</t>
  </si>
  <si>
    <t>Tim Janssen (quiz) 6th milestone of Task 7</t>
  </si>
  <si>
    <t>Javier (article) 6th milestone of Task 7</t>
  </si>
  <si>
    <t>EVOX Invoice INV041 (Binance EMA 7 days = 10.74 USDT) - In case of any surplus on fund reception's day, the exceeding part must be returned to bounty address, in case of deficit another child bounty request must be issued to cover the difference</t>
  </si>
  <si>
    <t>WizardAmigos Code Camp - Nina Breznik - Portugal</t>
  </si>
  <si>
    <t>BlackXP Game Jam - Lui5 - Brazil</t>
  </si>
  <si>
    <t>Polkadot @ Web3Fest - Polkaport East - Hong Kong</t>
  </si>
  <si>
    <t>Polkadot @ Southeast Asia BW - Patricia Arro - Thailand</t>
  </si>
  <si>
    <t>PBA Graduation and DOTGov Workshop - Pauline Cohen Vorms, PBA - Hong Kong</t>
  </si>
  <si>
    <t>4 Hong Kong Meetups - Max Rebol - Hong Kong</t>
  </si>
  <si>
    <t>Women of Polkadot: Brunch in Bangkok - Linda Luuu - Thailand</t>
  </si>
  <si>
    <t>Beyond Beats: Web3's Disruption of the Music Landscape - Patrik Kogoj - Slovenia</t>
  </si>
  <si>
    <t>3 Brazil Meetups - Modular Crypto - Brazil</t>
  </si>
  <si>
    <t>CultureDot - Singapore, Changi Airport - Binance EMA 99 days = 8.15 USDT - excess DOT due to change in price must be returned</t>
  </si>
  <si>
    <t>EVOX - INV044 - Binance EMA 7 days = 9.54 USDT - excess DOT due to change in price must be returned</t>
  </si>
  <si>
    <t>ChainWire via MarketAccross- Invoice 58813 - Binance EMA 7 days = 9.53 USDT - excess DOT due to change in price must be returned</t>
  </si>
  <si>
    <t>Lunar Strategy - Invoice 2024/03/27 - Binance EMA 7 days = 9.535 USDT - excess DOT due to change in price must be returned</t>
  </si>
  <si>
    <t>Moderation team bounty- March 2024- Abdulbee</t>
  </si>
  <si>
    <t>Moderation team bounty- March 2024- Gr33nhatt3r</t>
  </si>
  <si>
    <t>Moderation team bounty- March 2024- MC</t>
  </si>
  <si>
    <t>Moderation team bounty- March 2024- Mister_Cole</t>
  </si>
  <si>
    <t>Moderation team bounty- March 2024- Pastaman</t>
  </si>
  <si>
    <t>Moderation bounty - March 2024 - Frankywild</t>
  </si>
  <si>
    <t>Mod + curator bounty - March 2024 - Grizzly</t>
  </si>
  <si>
    <t>Moderation team bounty - March 2024 - Tramysa</t>
  </si>
  <si>
    <t>Moderation team  bounty - March 2023 - Maarmapa</t>
  </si>
  <si>
    <t>ModerationTeamBounty-March2024-Cappex</t>
  </si>
  <si>
    <t>ModerationTeamBounty-March2024-muddlebee</t>
  </si>
  <si>
    <t>ModerationTeamBounty-March2024-paradox</t>
  </si>
  <si>
    <t>ModerationTeamBounty-March2024-timjanssen</t>
  </si>
  <si>
    <t>TeamZ AI Summit - DFG - Tokyo, Japan</t>
  </si>
  <si>
    <t>Metaverse Championship Second award - CryptoCTF - Budapest, Hungary</t>
  </si>
  <si>
    <t>Decoded 2023 Satellite event - Subwallet - Ho Chi Minh, Vietnam</t>
  </si>
  <si>
    <t>Polkadot day Belgrade Reimbursement - Aleksandar Dimitrijevic - Belgrade, Serbia</t>
  </si>
  <si>
    <t>2023 Decoded Viewing Party Rewards - Erick Alonso Ramos Jimenez - Guadalajara, Jalisco, Mexico</t>
  </si>
  <si>
    <t>2023 Decoded Viewing Party Rewards - Robin - Monterrey, Mexico</t>
  </si>
  <si>
    <t>2023 Decoded Viewing Party Rewards - John Rhodel Bartolome - Curitiba, Brazil</t>
  </si>
  <si>
    <t>2023 Decoded Viewing Party Rewards - Guido - Villa La Angostura (Patagonia), Argentina</t>
  </si>
  <si>
    <t>2023 Decoded Viewing Party Rewards - Max Cripto - Rio Grande, Argentina</t>
  </si>
  <si>
    <t>2023 Decoded Viewing Party Rewards - Oscar (Donatello) - Ciudad de Mexico (CDMX), Mexico</t>
  </si>
  <si>
    <t>2023 Decoded Viewing Party Rewards - Joab Niwagaba - Kigali, Rwanda</t>
  </si>
  <si>
    <t>2023 Decoded Viewing Party Rewards - Kamala Immaculate - Kampala City, Uganda</t>
  </si>
  <si>
    <t>2023 Decoded Viewing Party Rewards - Dillon Hanson - NYC, New York</t>
  </si>
  <si>
    <t>2023 Decoded Viewing Party Rewards - Santiago Guzman-Roberto Heredia - Bogota-colombia</t>
  </si>
  <si>
    <t>2023 Decoded Viewing Party Rewards - The Phynky One - Tampa, Florida, USA</t>
  </si>
  <si>
    <t>2023 Decoded Viewing Party Rewards - Rish - Bangalore, India</t>
  </si>
  <si>
    <t>2023 Decoded Viewing Party Rewards - Nikhole Lucas - Makati City, Metro Manila, Philippines</t>
  </si>
  <si>
    <t>2023 Decoded Viewing Party Rewards - Rossmarie - Madrid, Espana</t>
  </si>
  <si>
    <t>2023 Decoded Viewing Party Rewards - Mugisha Abraham Shidi - Goma-Democratic Republic of Congo</t>
  </si>
  <si>
    <t>2023 Decoded Viewing Party Rewards - DJ Trang - Hanoi, Vietnam</t>
  </si>
  <si>
    <t>2023 Decoded Viewing Party Rewards - Arlette Salas - Maracaibo, Venezuela</t>
  </si>
  <si>
    <t>2023 Decoded Viewing Party Rewards - Fred Malize - Aba, Nigeria</t>
  </si>
  <si>
    <t>Moderation team curation - March 2024 - AJ</t>
  </si>
  <si>
    <t>ChainWire via MarketAccross - Invoice 14637 - Binance EMA 99 days = 8.329 USDT - excess DOT due to change in price must be returned</t>
  </si>
  <si>
    <t>Phishing repo maintenance- March 2024- Frankywild</t>
  </si>
  <si>
    <t>Phishing repo maintenance- March 2024- Pastaman</t>
  </si>
  <si>
    <t>Phishing repo maintenance- March 2024- TimJanssen</t>
  </si>
  <si>
    <t>Track Management/OP Track  - March 2024 -  Abdulbee</t>
  </si>
  <si>
    <t>General Curator - March 2024 - Abdulbee</t>
  </si>
  <si>
    <t>Adminstrative/Operational Track - March 2024 - Paradox</t>
  </si>
  <si>
    <t>General administration pastaMan March</t>
  </si>
  <si>
    <t>General curation Kamala Immaculate March</t>
  </si>
  <si>
    <t>Social media management Kamala Immaculate March</t>
  </si>
  <si>
    <t>1/5 hosting fee for supporting relay chain RPC instances @ $80.0000</t>
  </si>
  <si>
    <t>LuckyFriday.io produced 14428/16574 blocks; SR: Invul:0, CR: 27.5772</t>
  </si>
  <si>
    <t>turboflakes.io produced 14808/16574 blocks; SR: Invul:0, CR: 28.3035</t>
  </si>
  <si>
    <t xml:space="preserve"> Iceberg Nodes  produced 16387/16574 blocks; SR: 15.0816, CR: 31.3216</t>
  </si>
  <si>
    <t>Polkadotters produced 14691/16574 blocks; SR: 13.5207, CR: 28.0799</t>
  </si>
  <si>
    <t>YellowFin Tuna produced 16574/16574 blocks; SR: 15.2537, CR: 31.6790</t>
  </si>
  <si>
    <t>Mile produced 15717/16574 blocks; SR: 14.4649, CR: 30.0409</t>
  </si>
  <si>
    <t>Stakeworld.io produced 14843/16574 blocks; SR: 13.6606, CR: 28.3704</t>
  </si>
  <si>
    <t>Sik | crifferent.de produced 14699/16574 blocks; SR: 13.5280, CR: 28.0952</t>
  </si>
  <si>
    <t>STKD.IO produced 14382/16574 blocks; SR: 13.2363, CR: 27.4893</t>
  </si>
  <si>
    <t>ParaNodes.io produced 15556/16574 blocks; SR: Invul:0, CR: 29.7332</t>
  </si>
  <si>
    <t>Staker Space produced 14465/16574 blocks; SR: Invul:0, CR: 27.6479</t>
  </si>
  <si>
    <t>DPSTK produced 14461/16574 blocks; SR: Invul:0, CR: 27.6403</t>
  </si>
  <si>
    <t>Reward for curator (frankywild) as a portion from total 449.8982</t>
  </si>
  <si>
    <t>Reward for curator (pastaMan) as a portion from total 449.8982</t>
  </si>
  <si>
    <t>Reward for curator (Tim Janssen) as a portion from total 449.8982</t>
  </si>
  <si>
    <t>2/5 hosting fee for supporting relay chain RPC instances @ $80.0000 and for curator instance @ $40.0000</t>
  </si>
  <si>
    <t>openbitlab produced 15195/16498 blocks; SR: Invul:0, CR: 29.1770</t>
  </si>
  <si>
    <t>Sik | crifferent.de produced 14555/16498 blocks; SR: Invul:0, CR: 27.9481</t>
  </si>
  <si>
    <t>ParaNodes.io produced 15464/16498 blocks; SR: 14.2976, CR: 29.6935</t>
  </si>
  <si>
    <t>LuckyFriday.io produced 14362/16498 blocks; SR: 13.2788, CR: 27.5775</t>
  </si>
  <si>
    <t>Mile produced 15961/16498 blocks; SR: 14.7572, CR: 30.6479</t>
  </si>
  <si>
    <t>YellowFin Tuna produced 16498/16498 blocks; SR: 15.2537, CR: 31.6790</t>
  </si>
  <si>
    <t>turboflakes.io produced 14775/16498 blocks; SR: 13.6606, CR: 28.3705</t>
  </si>
  <si>
    <t>Chris-Staking produced 14819/16498 blocks; SR: 13.7013, CR: 28.4550</t>
  </si>
  <si>
    <t>Polkadotters produced 14270/16498 blocks; SR: Invul:0, CR: 27.4008</t>
  </si>
  <si>
    <t>Stakeworld.io produced 14742/16498 blocks; SR: Invul:0, CR: 28.3072</t>
  </si>
  <si>
    <t xml:space="preserve"> Iceberg Nodes  produced 16160/16498 blocks; SR: Invul:0, CR: 31.0300</t>
  </si>
  <si>
    <t>Staker Space produced 14478/16498 blocks; SR: 13.3860, CR: 27.8002</t>
  </si>
  <si>
    <t>Reward for curator (frankywild) as a portion from total 451.5961</t>
  </si>
  <si>
    <t>Reward for curator (pastaMan) as a portion from total 451.5961</t>
  </si>
  <si>
    <t>Reward for curator (Tim Janssen) as a portion from total 451.5961</t>
  </si>
  <si>
    <t>Stake Plus produced 13997/16405 blocks; SR: Invul:0, CR: 27.0290</t>
  </si>
  <si>
    <t>Mile produced 15830/16405 blocks; SR: Invul:0, CR: 30.5686</t>
  </si>
  <si>
    <t>BESTVALIDATOR | ZURICH produced 15053/16405 blocks; SR: Invul:0, CR: 29.0682</t>
  </si>
  <si>
    <t>LuckyFriday.io produced 14247/16405 blocks; SR: 13.2471, CR: 27.5118</t>
  </si>
  <si>
    <t xml:space="preserve"> Iceberg Nodes  produced 16222/16405 blocks; SR: 15.0835, CR: 31.3256</t>
  </si>
  <si>
    <t>Staker Space produced 14226/16405 blocks; SR: 13.2276, CR: 27.4712</t>
  </si>
  <si>
    <t>Coinstudio produced 14839/16405 blocks; SR: 13.7976, CR: 28.6550</t>
  </si>
  <si>
    <t>MathCrypto produced 16405/16405 blocks; SR: 15.2537, CR: 31.6790</t>
  </si>
  <si>
    <t>Polkadotters produced 14227/16405 blocks; SR: 13.2285, CR: 27.4731</t>
  </si>
  <si>
    <t>ExtraCoin produced 14451/16405 blocks; SR: Invul:0, CR: 27.9057</t>
  </si>
  <si>
    <t>YellowFin Tuna produced 16396/16405 blocks; SR: Invul:0, CR: 31.6616</t>
  </si>
  <si>
    <t>ParaNodes.io produced 15342/16405 blocks; SR: 14.2653, CR: 29.6263</t>
  </si>
  <si>
    <t>Reward for curator (frankywild) as a portion from total 453.2525</t>
  </si>
  <si>
    <t>Reward for curator (pastaMan) as a portion from total 453.2525</t>
  </si>
  <si>
    <t>Reward for curator (Tim Janssen) as a portion from total 453.2525</t>
  </si>
  <si>
    <t>Reward for curator (Tim Janssen) for signing fees over 3 months</t>
  </si>
  <si>
    <t>Outreach -sub manager &amp; content creator payout - March - Ecardo</t>
  </si>
  <si>
    <t>Outreach - sub manager &amp; content creator payout - March - Maarmapa</t>
  </si>
  <si>
    <t>Outreach - Account manager - March - Grizzly</t>
  </si>
  <si>
    <t>Outreach - Content creation - March - Grizzly</t>
  </si>
  <si>
    <t>Content Creation- March 2024- Cappex</t>
  </si>
  <si>
    <t>Reactive track management- March 2024- TimJanssen</t>
  </si>
  <si>
    <t>Proactive track management- March 2024- FrankyWild</t>
  </si>
  <si>
    <t>General Administration- March 2024- Cmalize</t>
  </si>
  <si>
    <t>Outreach track account manager- March 2024-Cmalize</t>
  </si>
  <si>
    <t>Outreach track management - March 2024 - Grizzly</t>
  </si>
  <si>
    <t>Educational track management - March 2024 - Maarmapa</t>
  </si>
  <si>
    <t>For Twitter Org verification</t>
  </si>
  <si>
    <t>General curation - March 2024 -Grizzly</t>
  </si>
  <si>
    <t>Polkadot @ ArtsDAO Fest - Irina Karagyaur - Dubai, UAE</t>
  </si>
  <si>
    <t>Polkadot @ RomeBW - Marco Romano - Rome, Italy</t>
  </si>
  <si>
    <t>General curator reward - March 2024 - Cappex</t>
  </si>
  <si>
    <t>Social media takedown - March 2024 - Michelle</t>
  </si>
  <si>
    <t>Social media takedown - March 2024 - ShakurHarun</t>
  </si>
  <si>
    <t>Social media takedown - March 2024 - Sirjey</t>
  </si>
  <si>
    <t>Database of DNS registrars - March 2024 - Tim Janssen</t>
  </si>
  <si>
    <t>Website Management lv555 + curator abdulbee</t>
  </si>
  <si>
    <t>Task1 pastaMan March 2024</t>
  </si>
  <si>
    <t>Task1 Tim March 2024</t>
  </si>
  <si>
    <t>Task1 frankywild March 2024</t>
  </si>
  <si>
    <t>astar-srl-2403</t>
  </si>
  <si>
    <t>Chainwire via MarketAccross - DOT top up for child bounty #895 - DOT Price = 8.25 USDT</t>
  </si>
  <si>
    <t>Reimbursement for Luca Poggi as Technical Curator - EMA Binance DOT 60 days = 8.87 USDT - https://docs.google.com/document/d/1FjSsefrDaIVF6xaojRd7AYeUM4P4KSWOncbLl7xiKcM</t>
  </si>
  <si>
    <t>Lunar Strategy - Invoice 2024/04/06 - Subscan EMA 7 days = 8.7 USDT - excess DOT due to change in price must be returned</t>
  </si>
  <si>
    <t>EVOX - INV048 - Binance EMA 7 days = 8.706 USDT - excess DOT due to change in price must be returned</t>
  </si>
  <si>
    <t>NGUYEN QUANG TRUONG / CRIS NGUYEN - Invoice #9 - Binance EMA 7 days = 8.716 USDT - excess DOT due to change in price must be returned</t>
  </si>
  <si>
    <t>Payment to Oak Security for Archisinal Review</t>
  </si>
  <si>
    <t>Payment to Bright Inventions for Milestone 3</t>
  </si>
  <si>
    <t>Crane - Invoice #1 - DOT = 6.70 USDT - excess DOT due to change in price must be returned</t>
  </si>
  <si>
    <t>q1 rogue payout</t>
  </si>
  <si>
    <t>Q1&amp;Q2 Portico payout</t>
  </si>
  <si>
    <t>Q2 Rogue Payout</t>
  </si>
  <si>
    <t>Q1&amp;Q2 Zondax Payout</t>
  </si>
  <si>
    <t>Q1 Metaspan Payout https://github.com/paseo-network/payouts/issues/1</t>
  </si>
  <si>
    <t>EVOX - INV050 - DOT Price at the time of the invoice = 6.60 USDT - excess DOT due to change in price must be returned</t>
  </si>
  <si>
    <t>[APPLICATION] exam play game M1</t>
  </si>
  <si>
    <t>Blockops Apr 24</t>
  </si>
  <si>
    <t>OnFinality Apr 24</t>
  </si>
  <si>
    <t>Lucky Friday Apr 24</t>
  </si>
  <si>
    <t>Stakeworld Apr 24</t>
  </si>
  <si>
    <t>RadiumBlock Apr 24</t>
  </si>
  <si>
    <t>Crane - Invoice #2 - [DOT = 6.885 USDT - 10% = 6.1965 USDT] - excess DOT due to change in price must be returned</t>
  </si>
  <si>
    <t>{Bash} EthDenver second award</t>
  </si>
  <si>
    <t>WizardAmigos slippage reimbursement</t>
  </si>
  <si>
    <t>Smart City Expo Brazil second award</t>
  </si>
  <si>
    <t>ArtsDAO slippage reimbursement</t>
  </si>
  <si>
    <t>RomeBW second tranche (VAT)</t>
  </si>
  <si>
    <t>Distractive @ ETHDenver second award</t>
  </si>
  <si>
    <t>Memecoin MeetUp at W3.hub - Web3Rdy - Berlin, Germany</t>
  </si>
  <si>
    <t>Polkadot Monthly Meetup - Max Rebol - Hong Kong</t>
  </si>
  <si>
    <t>Polkadot Networking Eve - Nicholas Joshua - Northern Nigeria</t>
  </si>
  <si>
    <t>Budapest Meetups slippage and scaling award - Viktor - Budapest, Hungary</t>
  </si>
  <si>
    <t>BlackXP Game Jam reimbusrement</t>
  </si>
  <si>
    <t>3 Brazil Meetups slippage</t>
  </si>
  <si>
    <t>CoinStudio Q1 https://github.com/paseo-network/payouts/issues/2</t>
  </si>
  <si>
    <t>Coinstudio Q2 https://github.com/paseo-network/payouts/issues/3</t>
  </si>
  <si>
    <t>Valid Orange Q1 https://github.com/paseo-network/payouts/issues/4</t>
  </si>
  <si>
    <t>Valid orange Q2 https://github.com/paseo-network/payouts/issues/5</t>
  </si>
  <si>
    <t>Curator bounty - April 2024 - AJ</t>
  </si>
  <si>
    <t>Moderation bounty - Aprill 2024 - Gr33n</t>
  </si>
  <si>
    <t>Moderation bounty - April 2024 - MC</t>
  </si>
  <si>
    <t>Moderation bounty - April 2024 - Mister_Cole</t>
  </si>
  <si>
    <t>Moderation bounty - April 2024 - muddlebee</t>
  </si>
  <si>
    <t>Moderation Team Bounty- April 2024- Abdulbee</t>
  </si>
  <si>
    <t>Moderation Team Bounty- April 2024- LV</t>
  </si>
  <si>
    <t>Moderation Team Bounty- April 2024- Maarmapa</t>
  </si>
  <si>
    <t>Moderation Team Bounty- April 2024- Paradox</t>
  </si>
  <si>
    <t>Moderation Team Bounty-April 2024-TimJanssen</t>
  </si>
  <si>
    <t>Moderation Team Bounty April 2024 Cappex</t>
  </si>
  <si>
    <t>Moderation Team Bounty April 2024 Franky</t>
  </si>
  <si>
    <t>Moderation Team Bounty April 2024 Grizzly</t>
  </si>
  <si>
    <t>Moderation Team Bounty April 2024 pastaman</t>
  </si>
  <si>
    <t xml:space="preserve">MetaSpan Q2 - https://github.com/paseo-network/payouts/issues/6 </t>
  </si>
  <si>
    <t>Gatotech q1 - https://github.com/paseo-network/payouts/issues/10</t>
  </si>
  <si>
    <t>Gatotech Q2 - https://github.com/paseo-network/payouts/issues/11</t>
  </si>
  <si>
    <t xml:space="preserve">Anti-Scam Victim Support- Retroactive payments for Feb-Mar + April 2024- Alina </t>
  </si>
  <si>
    <t xml:space="preserve">Anti-Scam Forensics Support- Retroactive payments for Feb-Mar + April 2024- Alina </t>
  </si>
  <si>
    <t>Night-Hawk extension</t>
  </si>
  <si>
    <t>General Admin - Paradox - April 2024</t>
  </si>
  <si>
    <t>General Admin - Pastaman - April 2024</t>
  </si>
  <si>
    <t>General Admin - Cmalize - April 2024</t>
  </si>
  <si>
    <t>General Curation - Cappex - April 2024</t>
  </si>
  <si>
    <t>Track Management of Admin/Operation - April 2024 - Adbulbee</t>
  </si>
  <si>
    <t>General curator - April 2024 - Abdulbee</t>
  </si>
  <si>
    <t xml:space="preserve">Track Management of Education track - April 2024 - Maarmapa </t>
  </si>
  <si>
    <t>Track management of reactive track - Tim</t>
  </si>
  <si>
    <t>Track management of proactive track - frankywild</t>
  </si>
  <si>
    <t>track management of outreach track - grizzlyadams</t>
  </si>
  <si>
    <t>General curation - grizzlyadams</t>
  </si>
  <si>
    <t>Sub manager and Content creator - ecardo5o</t>
  </si>
  <si>
    <t>Sub manager and Content creator - Maarmapa</t>
  </si>
  <si>
    <t>Account Manager - grizzlyadams</t>
  </si>
  <si>
    <t>Content creation - grizzlyadams</t>
  </si>
  <si>
    <t>General curation-April 2024- KammalaImmaculate</t>
  </si>
  <si>
    <t>Maintenance of Phishing Repo/Proactive Track-April 2024- Frankywild</t>
  </si>
  <si>
    <t>Maintenance of Phishing Repo/Proactive Track-April 2024- Pastaman</t>
  </si>
  <si>
    <t xml:space="preserve">Maintenance of Phishing Repo/Proactive Track-April 2024- TimJanssen </t>
  </si>
  <si>
    <t>Account management/Outreach Track-April 2024- KammalaImmaculate</t>
  </si>
  <si>
    <t>Social Media Takedown Task - Michelle - April 2024</t>
  </si>
  <si>
    <t>Social Media Takedown Task - ShakurHarun - April 2024</t>
  </si>
  <si>
    <t>Social Media Takedown Task - Sirjey - April 2024</t>
  </si>
  <si>
    <t>Website Management - Adim/Op - IV555 - April 2024</t>
  </si>
  <si>
    <t>set up multisig spanish bounty</t>
  </si>
  <si>
    <t>Task 1 - April 2024 - Frankywild</t>
  </si>
  <si>
    <t>Task 1 - April 2024 - Pastaman</t>
  </si>
  <si>
    <t>Task 1 - April 2024 - Tim Janssen</t>
  </si>
  <si>
    <t>Brew sponsorship - Berlin Blockchain Week - May 2024</t>
  </si>
  <si>
    <t xml:space="preserve">Retroactive Funds - Sub0 Side Events - WebZero </t>
  </si>
  <si>
    <t xml:space="preserve">ParisDotComm 2023 - Team Rewards </t>
  </si>
  <si>
    <t xml:space="preserve">Polkadot at TeamZ Web3 AI Summit 2024 - Top up </t>
  </si>
  <si>
    <t>Ops Admin System Fees - Jan to May 2024 - Zoe</t>
  </si>
  <si>
    <t>Q1 2024 Curator awards - WebZero</t>
  </si>
  <si>
    <t>Q1 2024 Curator awards - ChaosDAO</t>
  </si>
  <si>
    <t>Q1 2024 Curator Awards - Mark</t>
  </si>
  <si>
    <t>Q1 2024 Curator Awards - Zoe</t>
  </si>
  <si>
    <t>Q1 2024 SubCurator Awards - Saimon</t>
  </si>
  <si>
    <t>Q1 2024 SubCurator Awards - Chris</t>
  </si>
  <si>
    <t>Q1 2024 SubCurator Awards - Mario</t>
  </si>
  <si>
    <t>CEE Wealth Summit - Harbor Industrial Captial - Vienna, Austria</t>
  </si>
  <si>
    <t>Polkadot Day Budapest - Vikk - Budapest, Hungary</t>
  </si>
  <si>
    <t>Viasoft Connect 2024 - Parachainboy and Lui5 - Curitiba, Brazil</t>
  </si>
  <si>
    <t>Consensus Hackathon Sponsorship - WebZero - Austin, TX</t>
  </si>
  <si>
    <t>Outreach track content editor- Retroactive Feb-March+April 2024- Michelle</t>
  </si>
  <si>
    <t>Outreach track account management- April 2024- Maarmapa</t>
  </si>
  <si>
    <t>Payment to MuFi for Milestone 2</t>
  </si>
  <si>
    <t>Hosting fee for Curator RPC instance @ $25.0000 + 1/6 hosting fee for supporting relay chain RPC instances @ $80.0000 + 1/6 hosting fee for curator instance @ $40.0000</t>
  </si>
  <si>
    <t>Staker Space\Statemint produced 13660/15665 blocks; SR: 0 (Invulnerable), CR: 37.1172</t>
  </si>
  <si>
    <t>DPSTK produced 14057/15665 blocks; SR: 0 (Invulnerable), CR: 38.1960</t>
  </si>
  <si>
    <t>LuckyFriday.io produced 14015/15665 blocks; SR: 0 (Invulnerable), CR: 38.0819</t>
  </si>
  <si>
    <t>turboflakes.io\MINT produced 14395/15665 blocks; SR: 0 (Invulnerable), CR: 39.1144</t>
  </si>
  <si>
    <t>0x506f6c6b61646f74746572735ce29b93434f52452070726f64756365642031343332392f313536363520626c6f636b733b2053523a2031332e353235352c2043523a2033382e39333531</t>
  </si>
  <si>
    <t>0xf09f909f59656c6c6f7746696e2054756e61f09f909f5cf09fa59753616c6164f09fa5972070726f64756365642031353636352f313536363520626c6f636b733b2053523a2031342e373836362c2043523a2034322e35363533</t>
  </si>
  <si>
    <t>0x4d696c65f09f8c8d5c5379732070726f64756365642031343935312f313536363520626c6f636b733b2053523a2031342e313132362c2043523a2034302e36323532</t>
  </si>
  <si>
    <t>Sik | crifferent.de produced 14057/15665 blocks; SR: 13.2688, CR: 38.1960</t>
  </si>
  <si>
    <t>STKD.IO\AssetHub produced 9472/15665 blocks; SR: 8.9409, CR: 25.7375</t>
  </si>
  <si>
    <t>ParaNodes.io produced 14471/15665 blocks; SR: 0 (Invulnerable), CR: 39.3209</t>
  </si>
  <si>
    <t>0xf09fa78a2049636562657267204e6f64657320f09fa78a2070726f64756365642031343131332f313536363520626c6f636b733b2053523a2031332e333231362c2043523a2033382e33343831</t>
  </si>
  <si>
    <t>Stakeworld.io produced 14167/15665 blocks; SR: 13.3726, CR: 38.4949</t>
  </si>
  <si>
    <t>Chris-Staking\bridgehub produced 4428/15665 blocks; SR: 4.1797, CR: 12.0319</t>
  </si>
  <si>
    <t>Reward for curator (frankywild) as a portion from total 568.6573</t>
  </si>
  <si>
    <t>Reward for curator (pastaMan) as a portion from total 568.6573</t>
  </si>
  <si>
    <t>Reward for curator (Tim Janssen) as a portion from total 568.6573</t>
  </si>
  <si>
    <t>Stakeworld.io produced 14277/15672 blocks; SR: 0 (Invulnerable), CR: 38.7764</t>
  </si>
  <si>
    <t>Iceberg Nodes  produced 14063/15672 blocks; SR: 0 (Invulnerable), CR: 38.1952</t>
  </si>
  <si>
    <t>openbitlab\bridgehub produced 14113/15672 blocks; SR: 0 (Invulnerable), CR: 38.3310</t>
  </si>
  <si>
    <t>Sik | crifferent.de produced 14156/15672 blocks; SR: 0 (Invulnerable), CR: 38.4478</t>
  </si>
  <si>
    <t>ParaNodes.io produced 14464/15672 blocks; SR: 13.6468, CR: 39.2843</t>
  </si>
  <si>
    <t>Staker Space\bridgehub produced 8526/15672 blocks; SR: 8.0443, CR: 23.1567</t>
  </si>
  <si>
    <t>LuckyFriday.io produced 14147/15672 blocks; SR: 13.3478, CR: 38.4234</t>
  </si>
  <si>
    <t>Mile\Sys produced 14996/15672 blocks; SR: 14.1488, CR: 40.7292</t>
  </si>
  <si>
    <t>YellowFin Tuna\Salad produced 15672/15672 blocks; SR: 14.7866, CR: 42.5653</t>
  </si>
  <si>
    <t>turboflakes.io\MINT produced 14393/15672 blocks; SR: 13.5799, CR: 39.0915</t>
  </si>
  <si>
    <t>Chris-Staking\bridgehub produced 4149/15672 blocks; SR: 3.9146, CR: 11.2687</t>
  </si>
  <si>
    <t>Polkadotters\CORE produced 14361/15672 blocks; SR: 0 (Invulnerable), CR: 39.0046</t>
  </si>
  <si>
    <t>COINSTUDIO produced 9668/15672 blocks; SR: 9.1218, CR: 26.2584</t>
  </si>
  <si>
    <t>STKD.IO produced 4810/15672 blocks; SR: 4.5383, CR: 13.0640</t>
  </si>
  <si>
    <t>Reward for curator (frankywild) as a portion from total 568.1101</t>
  </si>
  <si>
    <t>Reward for curator (pastaMan) as a portion from total 568.1101</t>
  </si>
  <si>
    <t>Reward for curator (Tim Janssen) as a portion from total 568.1101</t>
  </si>
  <si>
    <t>YellowFin Tuna\Salad produced 15774/16245 blocks; SR: 0 (Invulnerable), CR: 41.3311</t>
  </si>
  <si>
    <t>Stake Plus\COLLECTIVES01 produced 14060/16245 blocks; SR: 0 (Invulnerable), CR: 36.8401</t>
  </si>
  <si>
    <t>Mile\Sys produced 15163/16245 blocks; SR: 0 (Invulnerable), CR: 39.7302</t>
  </si>
  <si>
    <t>BESTVALIDATOR | ZURICH\collectives produced 13935/16245 blocks; SR: 0 (Invulnerable), CR: 36.5126</t>
  </si>
  <si>
    <t>ParaNodes.io produced 14596/16245 blocks; SR: 13.2856, CR: 38.2445</t>
  </si>
  <si>
    <t>Staker Space\collectives produced 3871/16245 blocks; SR: 3.5235, CR: 10.1428</t>
  </si>
  <si>
    <t>MathCrypto\collectives produced 16245/16245 blocks; SR: 14.7866, CR: 42.5653</t>
  </si>
  <si>
    <t>Polkadotters\CORE produced 11130/16245 blocks; SR: 10.1308, CR: 29.1629</t>
  </si>
  <si>
    <t>ExtraCoin produced 14290/16245 blocks; SR: 0 (Invulnerable), CR: 37.4428</t>
  </si>
  <si>
    <t>Iceberg Nodes  produced 14296/16245 blocks; SR: 13.0126, CR: 37.4585</t>
  </si>
  <si>
    <t>Coinstudio\COLLECTIVES produced 14017/16245 blocks; SR: 12.7586, CR: 36.7274</t>
  </si>
  <si>
    <t>LuckyFriday.io produced 14224/16245 blocks; SR: 12.9470, CR: 37.2698</t>
  </si>
  <si>
    <t>Stakeworld.io produced 9943/16245 blocks; SR: 9.0504, CR: 26.0527</t>
  </si>
  <si>
    <t>Reward for curator (frankywild) as a portion from total 545.3607</t>
  </si>
  <si>
    <t>Reward for curator (pastaMan) as a portion from total 545.3607</t>
  </si>
  <si>
    <t>Reward for curator (Tim Janssen) as a portion from total 545.3607</t>
  </si>
  <si>
    <t>MediaFuse.org - Invoice 14782 - DOT price -10% = 6.19 USDT - excess DOT due to higher DOT market price when claim is made available must be returned</t>
  </si>
  <si>
    <t>ChainWire - Invoice 59105 - DOT price -10% = 6.19 USDT - excess DOT due to higher DOT market price when claim is made available must be returned</t>
  </si>
  <si>
    <t>Lunar Strategy - Invoice 59105 - DOT price -10% = 6.093 USDT - excess DOT due to higher DOT market price when claim is made available must be returned</t>
  </si>
  <si>
    <t>MarketAccross - Invoice 14790 - DOT price -10% = 6.057 USDT - excess DOT due to higher DOT market price when claim is made available must be returned</t>
  </si>
  <si>
    <t>EVOX - INV0505 - DOT price = 6.786 USDT - excess DOT due to higher DOT market price when claim is made available must be returned</t>
  </si>
  <si>
    <t xml:space="preserve">Spanish bounty - content creation </t>
  </si>
  <si>
    <t>Meetup Venezuela</t>
  </si>
  <si>
    <t>VDS Event</t>
  </si>
  <si>
    <t>Blockops May 24</t>
  </si>
  <si>
    <t>OnFinality May 24</t>
  </si>
  <si>
    <t>Lucky Friday May 24</t>
  </si>
  <si>
    <t>Stakeworld May 24</t>
  </si>
  <si>
    <t>RadiumBlock May 24</t>
  </si>
  <si>
    <t>Content creation CE_1</t>
  </si>
  <si>
    <t>Content Creation CE_2</t>
  </si>
  <si>
    <t>Content Creation CE_03</t>
  </si>
  <si>
    <t>Google Drive ($54) + Adam Steeber's work in technical configurations ($200)</t>
  </si>
  <si>
    <t>Translations TT 4 &amp; 5</t>
  </si>
  <si>
    <t>Polkaport East second award</t>
  </si>
  <si>
    <t>La Cusathon - Polkadot Peru - Lima, Peru</t>
  </si>
  <si>
    <t>Treasury refund</t>
  </si>
  <si>
    <t>Spanish bounty - content creation</t>
  </si>
  <si>
    <t>Spanish Bounty Translations</t>
  </si>
  <si>
    <t>Spanish Bounty C4_C10</t>
  </si>
  <si>
    <t>Spanish Bounty C5_C13</t>
  </si>
  <si>
    <t>Spanish Bounty C6</t>
  </si>
  <si>
    <t>Spanish Bounty C9</t>
  </si>
  <si>
    <t>Spanish Bounty C11</t>
  </si>
  <si>
    <t>Spanish Bounty C12</t>
  </si>
  <si>
    <t>Curator fee Ezio</t>
  </si>
  <si>
    <t>Curator fee Lengo</t>
  </si>
  <si>
    <t>Curator fee Ernih</t>
  </si>
  <si>
    <t>Admin fee Amaury</t>
  </si>
  <si>
    <t>Curator Fee - Albert</t>
  </si>
  <si>
    <t>Curator Fee - Blockya</t>
  </si>
  <si>
    <t>Curator Fee - Gerardo</t>
  </si>
  <si>
    <t>Curator Fee - Nachito</t>
  </si>
  <si>
    <t>The Innovation Village Kampala Uganda</t>
  </si>
  <si>
    <t>EVOX - INV0507 - DOT price = 7.142 USDT - excess DOT due to higher DOT market price when claim is made available must be returned</t>
  </si>
  <si>
    <t>Crane - Invoice #3 - DOT price = 7.19 USDT - excess DOT due to higher DOT market price when claim is made available must be returned</t>
  </si>
  <si>
    <t>MarketAcross - Invoice 14827 - DOT price - 10% = 6.534 USDT - excess DOT due to higher DOT market price when claim is made available must be returned</t>
  </si>
  <si>
    <t>Moderation curator bounty - May 2024 - AJ</t>
  </si>
  <si>
    <t>Moderation team bounty - May 2024 - Gr33nHatt3R</t>
  </si>
  <si>
    <t>Moderation team bounty - May 2024 - MC</t>
  </si>
  <si>
    <t>Moderation team bounty - May 2024 - Mister_Cole</t>
  </si>
  <si>
    <t>Moderation team bounty - May 2024 - Muddlebee</t>
  </si>
  <si>
    <t>Moderation Bounty - May 2024 - Cappex</t>
  </si>
  <si>
    <t>Moderation Bounty - May 2024 - frankywild</t>
  </si>
  <si>
    <t>Moderation Bounty - May 2024 - Grizzly</t>
  </si>
  <si>
    <t>Moderation Bounty - May 2024 - pastaMan</t>
  </si>
  <si>
    <t>Bridgehub related staking rewards due to bug</t>
  </si>
  <si>
    <t>Assethub related staking rewards due to bug</t>
  </si>
  <si>
    <t>Reward for curator (frankywild) as a portion from total 126.2464</t>
  </si>
  <si>
    <t>Reward for curator (pastaMan) as a portion from total 126.2464</t>
  </si>
  <si>
    <t>Reward for curator (Tim Janssen) as a portion from total 126.2464</t>
  </si>
  <si>
    <t>ETHRome second payout</t>
  </si>
  <si>
    <t>Proof of Talk 2024 - Scytale Digital - Paris, France</t>
  </si>
  <si>
    <t>Moderation team bounty- May 2024- Abdulbee</t>
  </si>
  <si>
    <t>Moderation team bounty- May 2024- LV</t>
  </si>
  <si>
    <t>Moderation team bounty-May 2024- Maarmapa</t>
  </si>
  <si>
    <t>Moderation team bounty-May 2024- Paradox</t>
  </si>
  <si>
    <t xml:space="preserve">Moderation team bounty- May 2024-Tim Janssen </t>
  </si>
  <si>
    <t>Free Web3 Workshop: Blockchain, Rust, and Career Paths to Polkadot | May 31st, 2024 | Cebu, Philippines</t>
  </si>
  <si>
    <t>Payment to Band Protocol for Milestone 1</t>
  </si>
  <si>
    <t>Jim Farley's refund of program deposits. 20.041 DOT for creation of pure proxy + 18.5 DOT contribution toward parent bounty curator deposit + 1.233 DOT for enlivening the pure proxy.</t>
  </si>
  <si>
    <t>Spanish Bounty - Content curator</t>
  </si>
  <si>
    <t>written content CE 8</t>
  </si>
  <si>
    <t>written content CE 14</t>
  </si>
  <si>
    <t>written content CE 15.17.20</t>
  </si>
  <si>
    <t>written content CE 19</t>
  </si>
  <si>
    <t>written content CE 23</t>
  </si>
  <si>
    <t>written content CE 24</t>
  </si>
  <si>
    <t>Translation TT 8</t>
  </si>
  <si>
    <t>Translation TT 9.12</t>
  </si>
  <si>
    <t xml:space="preserve">Polkadot Meet-up Bounty Northern Nigeria by Polkadot Ambassdor </t>
  </si>
  <si>
    <t>Track management of reactive track May - Tim Janssen</t>
  </si>
  <si>
    <t>Track management of admin/op track May - abdulbee</t>
  </si>
  <si>
    <t>General administration May - Paradox</t>
  </si>
  <si>
    <t>General curation May - abdulbee</t>
  </si>
  <si>
    <t>Maintenance of phishing repo May - frankywild</t>
  </si>
  <si>
    <t>Maintenance of phishing repo May - pastaMan</t>
  </si>
  <si>
    <t>Maintenance of phishing repo May - Tim Janssen</t>
  </si>
  <si>
    <t>Editor payout May - tramymisa</t>
  </si>
  <si>
    <t>Educational track management - May 2024 - Maarmapa</t>
  </si>
  <si>
    <t>General admin - May 2024 - cmalize</t>
  </si>
  <si>
    <t>General curation - May 2024 - kamala</t>
  </si>
  <si>
    <t>Anti-scam collective document - Machala</t>
  </si>
  <si>
    <t>Anti-scam collective document - sirjay</t>
  </si>
  <si>
    <t>Anti-scam collective document - Shakurharun</t>
  </si>
  <si>
    <t>Anti-scam collective document - Tramysa</t>
  </si>
  <si>
    <t>Track Management/ Admin-Operation - Grizilly - May 2024</t>
  </si>
  <si>
    <t>General Curator - Grizzly - May 2024</t>
  </si>
  <si>
    <t>DART/Education Task - Abujulaibib - May 2024</t>
  </si>
  <si>
    <t>DART/Education Task - Macchalafortune - May 2024</t>
  </si>
  <si>
    <t>DART/Education Task - Ecardo5o - May 2024</t>
  </si>
  <si>
    <t>Proactive track management-May 2024- Frankywild</t>
  </si>
  <si>
    <t>General Administration- May 2024- Pastaman</t>
  </si>
  <si>
    <t>General curation- May 2024- Cappex</t>
  </si>
  <si>
    <t>Database upkeep- May 2024-TimJanssen</t>
  </si>
  <si>
    <t>Social Media content creation - May 2024 - Cappex</t>
  </si>
  <si>
    <t>Takedown of Phishing websites/Proactive track-May 2024- Frankywild</t>
  </si>
  <si>
    <t>Takedown of Phishing websites/Proactive track-May 2024-Pastaman</t>
  </si>
  <si>
    <t>Takedown of Phishing websites/Proactive track-May 2024- TimJanssen</t>
  </si>
  <si>
    <t>Subscribtion service to Merkel Science/Forensics Track-May</t>
  </si>
  <si>
    <t>Social Media account management - May 2024 - Kamala</t>
  </si>
  <si>
    <t>Outreach-Sub manager payout &amp; Content creation - ecardo5o - May 2024</t>
  </si>
  <si>
    <t>Outreach-Sub Manager payout - Maarmapa - May 2024</t>
  </si>
  <si>
    <t>Outreach-Account Management -  Grizzly - May 2024</t>
  </si>
  <si>
    <t>Outreach-Content Creation - Grizzly - May 2024</t>
  </si>
  <si>
    <t>Max Rebol's parent bounty curator sign-on bonus.</t>
  </si>
  <si>
    <t>Luke Schoen's parent bounty curator sign-on bonus.</t>
  </si>
  <si>
    <t>Stiwar Lopez's parent bounty curator sign-on bonus.</t>
  </si>
  <si>
    <t>Ezio Rojas' parent bounty curator sign-on bonus.</t>
  </si>
  <si>
    <t>Janko Ranghi's parent bounty curator sign-on bonus.</t>
  </si>
  <si>
    <t>Rafael Yahlomi's parent bounty curator sign-on bonus.</t>
  </si>
  <si>
    <t>Clinton Swan's parent bounty curator sign on bonus.</t>
  </si>
  <si>
    <t>Eduardo Cardoso's parent bounty curator sign-on bonus.</t>
  </si>
  <si>
    <t>Jimmy Tudeski's parent bounty curator sign-on bonus.</t>
  </si>
  <si>
    <t>Adam Steeber's parent bounty curator sign-on bonus.</t>
  </si>
  <si>
    <t>ANEMOIA Proposal: Coffee Talk Sponsored by Polkadot: How #Web3 is Impacting GenZ?</t>
  </si>
  <si>
    <t>April/May Curator Awards WebZero</t>
  </si>
  <si>
    <t>April/May Curator Awards ChaosDAO</t>
  </si>
  <si>
    <t>April/May Curator Awards Mark</t>
  </si>
  <si>
    <t xml:space="preserve">Polkadotters - Q1 &amp; Q2: https://github.com/paseo-network/payouts/issues/14 &amp; https://github.com/paseo-network/payouts/issues/15 </t>
  </si>
  <si>
    <t>Bright Disputes Milestone 4 Payout</t>
  </si>
  <si>
    <t>Social Media takedowns - May 2024 - Tramysa</t>
  </si>
  <si>
    <t>Social Media takedowns - May 2024 - ShakurHarun</t>
  </si>
  <si>
    <t>Social Media takedowns - May 2024 - SirJey</t>
  </si>
  <si>
    <t>Victim Support Track- May 2024- Alina</t>
  </si>
  <si>
    <t>Forensics Support Track- May 2024- Alina</t>
  </si>
  <si>
    <t>hydradx-srl-2405</t>
  </si>
  <si>
    <t>hyperbridge-srl-2405</t>
  </si>
  <si>
    <t>Stake Plus Bounty 50 payouts https://github.com/ibp-network/ChildBounties</t>
  </si>
  <si>
    <t>Metaspan Bounty 50 payouts https://github.com/ibp-network/ChildBounties</t>
  </si>
  <si>
    <t>Helikon Bounty 50 payouts https://github.com/ibp-network/ChildBounties</t>
  </si>
  <si>
    <t>Gatotech Bounty 50 payouts https://github.com/ibp-network/ChildBounties</t>
  </si>
  <si>
    <t>Amforc Bounty 50 payouts https://github.com/ibp-network/ChildBounties</t>
  </si>
  <si>
    <t>CoinStudio Bounty 50 payouts https://github.com/ibp-network/ChildBounties</t>
  </si>
  <si>
    <t>Dwellir Bounty 50 payouts https://github.com/ibp-network/ChildBounties</t>
  </si>
  <si>
    <t>RadiumBlock Bounty 50 payouts https://github.com/ibp-network/ChildBounties</t>
  </si>
  <si>
    <t>Rotko Bounty 50 payouts https://github.com/ibp-network/ChildBounties</t>
  </si>
  <si>
    <t>Polkadotters Bounty 50 payouts https://github.com/ibp-network/ChildBounties</t>
  </si>
  <si>
    <t>Task 2b Curator reward-May 2024- Frankywild</t>
  </si>
  <si>
    <t>Hosting fee for Curator RPC instance @ $25.0000 + 1/7 hosting fee for supporting relay chain RPC instances @ $80.0000 + 1/7 hosting fee for curator instance @ $40.0000</t>
  </si>
  <si>
    <t>0x4d696c65f09f8c8d5c5379732070726f64756365642031363134372f313631373620626c6f636b733b2053523a2031342e393832342c2043523a2034322e30383838</t>
  </si>
  <si>
    <t>0xf09f909f59656c6c6f7746696e2054756e61f09f909f5cf09fa59753616c6164f09fa5972070726f64756365642031363133392f313631373620626c6f636b733b2053523a2031342e393735302c2043523a2034322e30363830</t>
  </si>
  <si>
    <t>ParaNodes.io produced 16130/16176 blocks; SR: 0 (Invulnerable), CR: 42.0445</t>
  </si>
  <si>
    <t>turboflakes.io\MINT produced 16065/16176 blocks; SR: 0 (Invulnerable), CR: 41.8751</t>
  </si>
  <si>
    <t>Stakeworld.io produced 16097/16176 blocks; SR: 14.9360, CR: 41.9585</t>
  </si>
  <si>
    <t>Reward for curator (frankywild) as a portion from total 596.0525</t>
  </si>
  <si>
    <t>Reward for curator (Tim Janssen) as a portion from total 596.0525</t>
  </si>
  <si>
    <t>MILE produced 14113/15665 blocks; SR: 13.3216, CR: 38.3481</t>
  </si>
  <si>
    <t>ParaNodes.io produced 16245/16297 blocks; SR: 14.9614, CR: 42.0299</t>
  </si>
  <si>
    <t>turboflakes.io\MINT produced 16181/16297 blocks; SR: 14.9025, CR: 41.8643</t>
  </si>
  <si>
    <t>COINSTUDIO produced 16297/16297 blocks; SR: 15.0093, CR: 42.1644</t>
  </si>
  <si>
    <t>Polkadotters\CORE produced 16030/16297 blocks; SR: 0 (Invulnerable), CR: 41.4736</t>
  </si>
  <si>
    <t>Stakeworld.io produced 16262/16297 blocks; SR: 0 (Invulnerable), CR: 42.0739</t>
  </si>
  <si>
    <t>YellowFin Tuna\Salad produced 16268/16297 blocks; SR: 14.9826, CR: 42.0894</t>
  </si>
  <si>
    <t>Reward for curator (frankywild) as a portion from total 594.5078</t>
  </si>
  <si>
    <t>Reward for curator (Tim Janssen) as a portion from total 594.5078</t>
  </si>
  <si>
    <t>TT-17 to TT-20 TT-24 to TT- 27</t>
  </si>
  <si>
    <t>TT-21 to TT-23 TT-28</t>
  </si>
  <si>
    <t>TT-15 CE-32</t>
  </si>
  <si>
    <t>TT-7 CE-7 and CE-34</t>
  </si>
  <si>
    <t>CE-27</t>
  </si>
  <si>
    <t>Spanish Bounty - Content creation V_19</t>
  </si>
  <si>
    <t>Spanish Bounty - Content creation V_27</t>
  </si>
  <si>
    <t>Spanish Bounty - Content creation V_28</t>
  </si>
  <si>
    <t>Spanish Bounty - Content creation V_31</t>
  </si>
  <si>
    <t>Spanish bounty - content creation V_29</t>
  </si>
  <si>
    <t>Spanish bounty - content creation V_30</t>
  </si>
  <si>
    <t>Reward MeetUp Venezuela</t>
  </si>
  <si>
    <t>Workshop Valencia (Venezuela)</t>
  </si>
  <si>
    <t>Spanish Bounty - CE_26 / TT_14 / TT_16</t>
  </si>
  <si>
    <t>Spanish Bounty - CE_28</t>
  </si>
  <si>
    <t>Spanish Bounty - CE_35</t>
  </si>
  <si>
    <t>Spanish Bounty - CE_29</t>
  </si>
  <si>
    <t>Spanish Bounty - CE_30</t>
  </si>
  <si>
    <t>Spanish Bounty - CE_31</t>
  </si>
  <si>
    <t>Spanish Bounty - CE_33</t>
  </si>
  <si>
    <t>YellowFin Tuna\Salad produced 16313/16337 blocks; SR: 0 (Invulnerable), CR: 42.1025</t>
  </si>
  <si>
    <t>Mile\Sys produced 16298/16337 blocks; SR: 0 (Invulnerable), CR: 42.0638</t>
  </si>
  <si>
    <t>Stakeworld.io produced 16337/16337 blocks; SR: 15.0093, CR: 42.1644</t>
  </si>
  <si>
    <t>ParaNodes.io produced 16074/16337 blocks; SR: 14.7677, CR: 41.4857</t>
  </si>
  <si>
    <t>LuckyFriday.io produced 16285/16337 blocks; SR: 14.9615, CR: 42.0302</t>
  </si>
  <si>
    <t>Coinstudio\COLLECTIVES produced 16333/16337 blocks; SR: 15.0056, CR: 42.1541</t>
  </si>
  <si>
    <t>Polkadotters\CORE produced 12595/16337 blocks; SR: 11.5714, CR: 32.5066</t>
  </si>
  <si>
    <t>Reward for curator (frankywild) as a portion from total 589.1421</t>
  </si>
  <si>
    <t>Reward for curator (Tim Janssen) as a portion from total 589.1421</t>
  </si>
  <si>
    <t>Spanish Bounty - Creation Video V_24</t>
  </si>
  <si>
    <t>MarketAcross - Invoice 14871 - DOT price - 10% = 6.48 USDT - excess DOT due to higher DOT market price when claim is made available must be returned</t>
  </si>
  <si>
    <t>Merkel science subscription top-up to account for market drop</t>
  </si>
  <si>
    <t>Bounty for 1 year of Twitter Gold subscribtion for the Anti-Scam Team</t>
  </si>
  <si>
    <t>Meetup Refund - Polkadot Day Arca HUB - Rio de janeiro, Brazil</t>
  </si>
  <si>
    <t>Polkadot Meet-up, Lagos, Nigeria</t>
  </si>
  <si>
    <t>Spanish bounty - Content Creation - V_32</t>
  </si>
  <si>
    <t>Spanish bounty - Content Creation - V_40</t>
  </si>
  <si>
    <t>Spanish Bounty - CE_36/ TT29 &amp; TT30</t>
  </si>
  <si>
    <t>Spanish Bounty  TT_31 &amp; TT32</t>
  </si>
  <si>
    <t>Polkadot Decoded Viewing Party - Lima, Peru</t>
  </si>
  <si>
    <t>Facilitator Payment to Astar</t>
  </si>
  <si>
    <t>Referenda</t>
  </si>
  <si>
    <t>#</t>
  </si>
  <si>
    <t>USD Last Update</t>
  </si>
  <si>
    <t>Title</t>
  </si>
  <si>
    <t>PolkaWorld Ops and Maintenance proposal：2023.6 - 2023.8</t>
  </si>
  <si>
    <t>KILT Decentralized Identity Provider (DIP) - Polkadot Medium Spender Proposal</t>
  </si>
  <si>
    <t>Saturn Gateway - A Multichain Multisig Application for the Polkadot Ecosystem</t>
  </si>
  <si>
    <t>Nova Wallet 4th Proposal: Multistaking dashboard, Staking Nomination Pools, WalletConnect v2, New Assets tab UI, Community Requested Features, Reimbursement for delivered features</t>
  </si>
  <si>
    <t>Subsquare and dotreasury new features development plan including governance statistics, dotreasury dark mode, etc</t>
  </si>
  <si>
    <t>Encode Club Tranches 2 and 3</t>
  </si>
  <si>
    <t>Subsquid - Public data indexing Infrastructure for Polkadot and Kusama (Q1 2023)</t>
  </si>
  <si>
    <t>Explorers</t>
  </si>
  <si>
    <t>Subscan | Infrastructure Costs of Subscan for Polkadot &amp; Westend &amp; Rococo &amp; Statemint &amp; Rockmine  Networks (from July to December 2022)</t>
  </si>
  <si>
    <t>Ledger Apps Maintenance Proposal (Polkadot, Kusama, Statemine, Statemint)</t>
  </si>
  <si>
    <t>Genesis DAO Ecosystem Integration</t>
  </si>
  <si>
    <t>Proposal: ink! design security review by OpenZeppelin (treasury proposal 2/2)</t>
  </si>
  <si>
    <t>Requesting a return of the submission deposit related to Motion #406.</t>
  </si>
  <si>
    <t>[OpenGov] Return of the bond for the rejection of (Gov1) Treasury Proposal #244 (MVP Workshop)</t>
  </si>
  <si>
    <t>Requesting a return of the submission deposit related to Motion #405.</t>
  </si>
  <si>
    <t>Returning submission deposit for Anagolay proposal, related to rejecting proposal #256 (more info in the desc.)</t>
  </si>
  <si>
    <t>Requesting a return of the submission deposit</t>
  </si>
  <si>
    <t>Milestone 2: Polkadot Hackathon Global Series 2023: Europe Edition</t>
  </si>
  <si>
    <t>Polkadotters – retroactive and future funding of community powered media for Polkadot &amp; Kusama ecosystem in 2022-2024</t>
  </si>
  <si>
    <t>OneBlock The 2023 Polkadot Summer Hackathon proposal</t>
  </si>
  <si>
    <t>(Big Tipper) Small Funding for KryptosChain Media</t>
  </si>
  <si>
    <t>Polkadot Relayers Incubator 2023</t>
  </si>
  <si>
    <t>Treasury proposal for New Product Development &amp; OpenGov Deployment</t>
  </si>
  <si>
    <t>Funded High Performance Public Infrastructure for the entire Polkadot Ecosystem (OnFinality)</t>
  </si>
  <si>
    <t>Part 1 of 2 request for 1100 DOT deposit reimbursement</t>
  </si>
  <si>
    <t>Part 2 of 2 request for 1100 DOT deposit reimbursement</t>
  </si>
  <si>
    <t>25-minute contextual primer on Polkadot 2.0</t>
  </si>
  <si>
    <t>Rust, Substrate, ink! technical content for rust developers.</t>
  </si>
  <si>
    <t>Metadata for offline signers</t>
  </si>
  <si>
    <t>UI &amp; Front-end for Asset Conversion pallet (referenda68) - Project Status Update - Delivery Completed</t>
  </si>
  <si>
    <t>A Polkadot Ecosystem App Store</t>
  </si>
  <si>
    <t>Rejecting Gov1.0 Treasury Proposals and Facilitating Bond Reimbursement where applicable</t>
  </si>
  <si>
    <t>Light Clients</t>
  </si>
  <si>
    <t>Smoldot development financing Q3/2023</t>
  </si>
  <si>
    <t>SmallTipper</t>
  </si>
  <si>
    <t>OnFinality High Performance Public Infrastructure (Q2 2023)</t>
  </si>
  <si>
    <t>DOT holders 🤝 &amp; The Kusamarian 🤖❤️</t>
  </si>
  <si>
    <t>Gosemble Phase 2 - a Framework for building Substrate-compatible Runtimes in Go (Parachains &amp; Solochains)</t>
  </si>
  <si>
    <t>Infrastructure Funding for Polkadot Asset Hub - Migration of Kusama NFTs</t>
  </si>
  <si>
    <t>Small tip for Polkadot community activation in Finland</t>
  </si>
  <si>
    <t>Milestone 2 and 3 Payment Request – YieldBay: Polkadot’s yield farming dashboard</t>
  </si>
  <si>
    <t>POLKADOT INSIDER - 28 WEEKS OPERATION &amp; GROWTH FUNDING (AUGUST 2023 - FEBRUARY 2024)</t>
  </si>
  <si>
    <t>A small tip for a staking rewards calculator</t>
  </si>
  <si>
    <t>Milestone 3: Polkadot Hackathon Global Series 2023</t>
  </si>
  <si>
    <t>Proposal: OpenZeppelin x Polkadot Ecosystem Growth</t>
  </si>
  <si>
    <t>Refunding Pink Node's GOV1 Treasury Spend Deposit</t>
  </si>
  <si>
    <t>Refunding MIDL.DEV's GOV1 Treasury Spend Deposit</t>
  </si>
  <si>
    <t>Refunding Radium Block's GOV1 Treasury Spend Deposit</t>
  </si>
  <si>
    <t>Refunding CCTF's GOV1 Treasury Spend Deposit</t>
  </si>
  <si>
    <t>Maintenance for the substrate-api-client Sep-23 to Dec-23</t>
  </si>
  <si>
    <t>An Open Communication Layer For Polkadot</t>
  </si>
  <si>
    <t>Multix - Further development and Cypress Dapp testing plugin</t>
  </si>
  <si>
    <t>Recognising Paradox's Contributions to Reject Gov 1 Proposals and Release Bonds</t>
  </si>
  <si>
    <t>Magnet Proposal: Polkadot’s Smart Contract Docking Station using DOT as Gas Based on the PAYG Model</t>
  </si>
  <si>
    <t>Nova Spektr Milestone 3 Proposal: Dynamic Derivations, WalletConnect v2, Proxy accounts, Cross-chain transfers, Fiat values, EVM addresses &amp; more</t>
  </si>
  <si>
    <t>Proposal: Building a better understanding of blockchain across mainstream global media</t>
  </si>
  <si>
    <t>Create &amp; implement RFC14 - Improve locking mechanism for parachains</t>
  </si>
  <si>
    <t xml:space="preserve">ink!Hub Treasury Proposal </t>
  </si>
  <si>
    <t xml:space="preserve">(VOTE NAY!!) Polkadot Parachain Assets Onramp Bounty Program </t>
  </si>
  <si>
    <t>Recruiting</t>
  </si>
  <si>
    <t>Increasing Hiring Success in Polkadot by Missing Link</t>
  </si>
  <si>
    <t>Subsquid - Public data indexing Infrastructure for Polkadot and Kusama (Q2 2023)</t>
  </si>
  <si>
    <t>KryptosChain Media Support (Continuation) - Big Tipper Request</t>
  </si>
  <si>
    <t>ink! OpenBrush 8-9, 11 milestone delivery</t>
  </si>
  <si>
    <t>Polkadot &amp; Teddy DAO: A New Way to Leverage Charitable Giving in Web3</t>
  </si>
  <si>
    <t>Polkadot System Parachain Collators - Tips - Referenda #151 failed to execute</t>
  </si>
  <si>
    <t>PolkaWorld Ops and Maintenance proposal：2023.10 - 2024.3</t>
  </si>
  <si>
    <t>AIWeb3 Chinese Unit proposal (爱Web3 中文社区提案) - September, 2023 - March, 2024</t>
  </si>
  <si>
    <t>Apillon Platform Milestone 1 Proposal</t>
  </si>
  <si>
    <t>Polkadot Live: Proposal for funding community driven development to initial release.</t>
  </si>
  <si>
    <t>Polkadot Nominator Insight Hub. Spreading the Best Nominator Strategies through TOP Nomination Leaderboards</t>
  </si>
  <si>
    <t>Maintenance &amp; Support Python Libraries (April to September 2023)</t>
  </si>
  <si>
    <t>A French content hub for Polkadot Ecosystem</t>
  </si>
  <si>
    <t>Coinsider Media Campaign for Polkadot</t>
  </si>
  <si>
    <t>Get tip for substrate PR</t>
  </si>
  <si>
    <t>OpenSquare infrastructure products maintenance(2023 Q2 and Q3) and a new batch of features development</t>
  </si>
  <si>
    <t>SubQuery &lt;&gt; Nova Wallet Common API:  Maintenance Cost For Q1-Q2 2023</t>
  </si>
  <si>
    <t>Polkadot Unity SDK proposal to become a Verified Solution (Part 1)</t>
  </si>
  <si>
    <t>Dot Leap 2: Let's grow!</t>
  </si>
  <si>
    <t>Polkadot Blockchain Academy - retroactive funding for wave 3 of the Academy held at UC Berkeley this Summer.</t>
  </si>
  <si>
    <t>Polkawatch, Decentralization Analytics, Continued Operation and Development</t>
  </si>
  <si>
    <t>Polkassembly Social Contract | Maintenance proposal Q3 &amp; Q4’23</t>
  </si>
  <si>
    <t>Cryptozilla - retroactive and continuation of video content production. (Big Tipper)</t>
  </si>
  <si>
    <t>Proposal：Polkadot Hackathon 2023 Winter in HongKong</t>
  </si>
  <si>
    <t>Encode latest tranche request</t>
  </si>
  <si>
    <t>Recognizing Alice und Bob and #stakedot</t>
  </si>
  <si>
    <t xml:space="preserve">Polkadot RPC services Dwellir Q3 2023 (retroactive) </t>
  </si>
  <si>
    <t>DOTCAST - Pursuing quality improvement by spreading honest and true awareness.</t>
  </si>
  <si>
    <t>[TrackingChain] Bring Adoption for Companies: Building Infrastructure for Web2 Integration (Big Tipper Discussion)</t>
  </si>
  <si>
    <t>Educational content maintenance proposal by Cryptonitas</t>
  </si>
  <si>
    <t>Polkadot Weigher</t>
  </si>
  <si>
    <t>Big Tips for Content in Portuguese - Verbo da Sabedoria Channel</t>
  </si>
  <si>
    <t>Incubation</t>
  </si>
  <si>
    <t>Polkadot Relayers 2023 Milestone 2</t>
  </si>
  <si>
    <t>KAGOME – the C++ implementation of Polkadot Host milestone 2</t>
  </si>
  <si>
    <t>Proposal: The operating cost for the research organization Polkadot Ecology Research Institute for 2023/10-2024/3</t>
  </si>
  <si>
    <t>Go-Substrate-Rpc-Client - Retroactive Maintenance Grant (Sept 2021 to Dec 2023)</t>
  </si>
  <si>
    <t>[Retroactive Funding] Dotinsights - A Research Hub &amp; Data Platform for Polkadot &amp; Kusama Ecosystem</t>
  </si>
  <si>
    <t>[PRE-IMAGE FIX + RESUBMISSION] Polkadot Ecosystem App Store - Dynamic App Pages &amp; Project Reputation System - dotappstore.com</t>
  </si>
  <si>
    <t>Smoldot development financing Q4/2023</t>
  </si>
  <si>
    <t>Milestone 3 Proposal: Polkadot x EasyA Hackathons at Harvard and in London (#60DaysOfPolkadot)</t>
  </si>
  <si>
    <t>Long Overdue Tip for Leemo's Contributions to the Polkadot Ecosystem</t>
  </si>
  <si>
    <t>KryptosChain en Español (Polkadot ecosystem video content in Spanish) - 12 weeks funding</t>
  </si>
  <si>
    <t>BlockchainBrad Educational &amp; Journalist Content - 6 Months funding</t>
  </si>
  <si>
    <t>PolkaTube: Empowering the Spanish-Speaking Polkadot Ecosystem with RUST Programming, Substrate, and Marketing Content</t>
  </si>
  <si>
    <t>Markedot: Marketplace and marketing with profits for the Polkadot and Kusama  community.</t>
  </si>
  <si>
    <t>Polkadot Pulse 1.0 &amp; Polkadot Networking Night @ IBW, ETHIndia Week</t>
  </si>
  <si>
    <t>Retroactive funding for 73videos about Polkadot ecosystem(波卡梦龙)</t>
  </si>
  <si>
    <t>AfterSide Crypto in Italian (Polkadot ecosystem video content in Italian) - 2 Videos</t>
  </si>
  <si>
    <t>Retroactive tip for Polkadot booth at Hacktivity Security Festival 2023</t>
  </si>
  <si>
    <t>Polkadot Sanctuary: A Journey of Achievements and Innovations in Bali - Retroactive funding</t>
  </si>
  <si>
    <t>Chain Cohort Event Sponsorship - Opportunity to tap more than 1000 developers community and technology university in Vietnam.</t>
  </si>
  <si>
    <t>Title: Polkadot @CoindeskConsensus 2023, April 26-28, 2023 in Austin, Texas</t>
  </si>
  <si>
    <t>Retroactive Funding - Polkasafe Revised Proposal</t>
  </si>
  <si>
    <t>Crafting a Users &amp; Developers Onboarding Funnel</t>
  </si>
  <si>
    <t>Retroactive &amp; Ongoing Funding Rationale: Republik Rupiah - Turning Indonesia into the Polkadot Island's With Education and Community</t>
  </si>
  <si>
    <t>BRA_16-D! Quality improvement of content for the Spanish Comunity by BRA_16-D</t>
  </si>
  <si>
    <t>PROPOSAL FOR ADVANCING DECENTRALIZED FINANCE EDUCATION IN LATIN AMERICA WITH THE POLKADOT ECOSYSTEM</t>
  </si>
  <si>
    <t xml:space="preserve"> Milestone 4: Polkadot Hackathon Global Series 2023 APAC Edition</t>
  </si>
  <si>
    <t>PR, Content marketing, Social amplifications proposal</t>
  </si>
  <si>
    <t>substrate-etl Retroactive funding: Q3+Q4 2022-Q1+Q2 2023</t>
  </si>
  <si>
    <t>Cryptor. Polkadot AMAs for 2 largest Russian speaking crypto communities.</t>
  </si>
  <si>
    <t>Altcoin Daily - High impact Polkadot media promotion</t>
  </si>
  <si>
    <t>DECENTRALISEDCHAIN - Low impact Polkadot media promotion</t>
  </si>
  <si>
    <t>Big Tips for Subtitling and Promoting Kusamarian's Gavin Wood Interview</t>
  </si>
  <si>
    <t>6 months Educational Campaign in India - Crypto India</t>
  </si>
  <si>
    <t>AllInCrypto's Strategic Content and Community Engagement Proposal</t>
  </si>
  <si>
    <t>Tip for Adam Steeber's participation in Dot Take</t>
  </si>
  <si>
    <t>TuPrimerBitcoin: Creation of quality content on Youtube to make the Spanish-speaking Polkadot ecosystem more visible.</t>
  </si>
  <si>
    <t xml:space="preserve">Revised Tip Proposal After Community Feedback - Dotgraphic </t>
  </si>
  <si>
    <t>Maria Andersen Crypto | Youtube Media Package Funding</t>
  </si>
  <si>
    <t>Proposal to Fund educational content for MAD CRIPTO MX YouTube Channel and twitter account</t>
  </si>
  <si>
    <t>dApp Marvels 💎 - Ink! Ecosystem growth tool</t>
  </si>
  <si>
    <t>Polkadot System Parachain Collators - Tips Q4/2023</t>
  </si>
  <si>
    <t>Maintenance for the substrate-api-client Jan-24 to Jun-24</t>
  </si>
  <si>
    <t>Holder-targeted Audience Growth w/  Addressable.io &amp; The Kusamarian</t>
  </si>
  <si>
    <t>Nova Wallet 5th Proposal: Cloud backups, Push Notifications, Proxies, Deeplinks, OpenGov improvements, Network management, Reimbursement</t>
  </si>
  <si>
    <t>Supercharge Polkadot's Brand: Collaborative Partnership with (Mario Nawfal) IBC Ventures</t>
  </si>
  <si>
    <t>YouTube Polkadot Round Table Discussion</t>
  </si>
  <si>
    <t>Talisman Wallet - Retroactive Proposal #1</t>
  </si>
  <si>
    <t>Subscan | Infrastructure Costs of Subscan for Polkadot &amp; Westend &amp; Rococo &amp; Statemint &amp; Rockmine  Networks (from January to September 2023)</t>
  </si>
  <si>
    <t>Oracle Ecosystem Initiative</t>
  </si>
  <si>
    <t>https://github.com/paritytech/polkadot-api/pull/200</t>
  </si>
  <si>
    <t>Increase Awareness of Polkadot On-Brand Narratives via Twitter Ads</t>
  </si>
  <si>
    <t>Bitskwela - Bringing Polkadot to the Thriving Philippine Web 3.0 Community</t>
  </si>
  <si>
    <t>Polkadot Brand Awareness Partnership with Real Vision (Raoul Pal)</t>
  </si>
  <si>
    <t>Alpha Airdrop - Polkadot Education Content Creation Proposal (6 months)</t>
  </si>
  <si>
    <t>Corespace Weigher</t>
  </si>
  <si>
    <t>OG Tracker</t>
  </si>
  <si>
    <t>Polkadot Sponsorship @Token 2049, Singapore on September 13th - 14th 2023</t>
  </si>
  <si>
    <t>Polkadot Ecosystem Growth with Key Opinion Leaders</t>
  </si>
  <si>
    <t>Business Expansion with Fintech, Corporate and Institutions in Spain and Andorra</t>
  </si>
  <si>
    <t>Funding for 6 months of Polkadot brand promotion</t>
  </si>
  <si>
    <t>Scholarship for Polkadot Blockchain Academy Founder's Track</t>
  </si>
  <si>
    <t>Polkadot Workshop @ UPR Mayaguez</t>
  </si>
  <si>
    <t>sub0 Asia 2024 - pre-funding request</t>
  </si>
  <si>
    <t>Polkadot Staking Dashboard: Maintenance and Growth of Polkadot UX Proposal</t>
  </si>
  <si>
    <t>Amplification of important ecosystem posts on X</t>
  </si>
  <si>
    <t xml:space="preserve"> Polkadot Unity SDK proposal to become a Verified Solution (Part 2)</t>
  </si>
  <si>
    <t>Treasury Proposal: An expansive course on Substrate and Polkadot</t>
  </si>
  <si>
    <t>Magnet Milestone 2 Proposal: Polkadot’s Smart Contract Docking Station using DOT as Gas Based on On-demand Coretime Model</t>
  </si>
  <si>
    <t>Retroactive Funding to Pepe Araucano for the Polkadot Meetup Buenos Aires</t>
  </si>
  <si>
    <t>Bagpipes - Powerful No-code Cross-Chain XCM Dapp and Workflow Builder for the Polkadot Ecosystem 🪄</t>
  </si>
  <si>
    <t>[Retroactive] Funding Development Costs for Dot Code School PoC - An Interactive Coding School to Build Meaningful Web3 Applications using the Polkadot SDK</t>
  </si>
  <si>
    <t>WagMedia - Collective Content Creation for 26 Weeks</t>
  </si>
  <si>
    <t>substrate-etl 2.0: Polkadot + Kusama Data on Dune (12 months, 3/15/24-3/14/25)</t>
  </si>
  <si>
    <t xml:space="preserve">Big Tipper Proposal : Retroactive fund - Meetup Multi Chain 2023 - Curitiba, Brazil </t>
  </si>
  <si>
    <t>2nd installment for the referendum #196 already approved (2/3)</t>
  </si>
  <si>
    <t>Kalatori — non-custodial Polkadot/AssetHub payment gateway for eCommerce</t>
  </si>
  <si>
    <t>Milestone 4 Report: Polkadot x EasyA Hackathons at Harvard and in London (#60DaysOfPolkadot)</t>
  </si>
  <si>
    <t>Subsquid - Public data indexing Infrastructure for Polkadot and Kusama (Q3 2023)</t>
  </si>
  <si>
    <t xml:space="preserve"> Proposal for retroactive funding of Fellowship product development.</t>
  </si>
  <si>
    <t>Ignite Polkadot | Campaign #1</t>
  </si>
  <si>
    <t>Polkadot Blockchain Academy - funding and reimbursement for costs associated with Wave 4 in Hong Kong.</t>
  </si>
  <si>
    <t xml:space="preserve">Unchained (by Laura Shin) X Polkadot - Sponsorship Proposal </t>
  </si>
  <si>
    <t>Infrastructure funding for Polkadot Asset Hub #2 -  Components</t>
  </si>
  <si>
    <t>Reimburse AssetHub HRMP channel deposit</t>
  </si>
  <si>
    <t>NFT XCM</t>
  </si>
  <si>
    <t>Continuous Coverage on Ivan on Tech for a FULL YEAR</t>
  </si>
  <si>
    <t>Community Memecoin launch marketing campaign</t>
  </si>
  <si>
    <t>Polkadot Decoded 2023, final tranche (June, Copenhagen, DK)</t>
  </si>
  <si>
    <t>A Chain of Blocks - ACOBJason - 6 Months Continual Polkadot EcoSystem News &amp; Explanations</t>
  </si>
  <si>
    <t>Marketing Support NoSpec</t>
  </si>
  <si>
    <t>Finding and fixing a vulnerability in broker-pallet</t>
  </si>
  <si>
    <t>Chopsticks Web for dry run governance proposals and more</t>
  </si>
  <si>
    <t>Maintenance &amp; Support Substrate Python API (Oct-Dec 2023)</t>
  </si>
  <si>
    <t>Representing Polkadot on Radio Intereconomía &amp; BDZ, the Main Spanish Web3 Event</t>
  </si>
  <si>
    <t>ink! + Ethereum RPC = ethink!. Proposal-01: PoC and Prototype.</t>
  </si>
  <si>
    <t>Polkadot Southeast Asia Developer Community Expansion for 1 Year Operation</t>
  </si>
  <si>
    <t>Polkadot Developers Conference // sub0 September 19-20, 2023 in Lisbon, Portugal - Final tranche</t>
  </si>
  <si>
    <t>Polkadot in Finance: A Strategic Partnership Development Proposal</t>
  </si>
  <si>
    <t xml:space="preserve">Behind the Code II' - A Web Documentary series - OpenGov proposal </t>
  </si>
  <si>
    <t>Marketing Support NoSpec Tipper 2</t>
  </si>
  <si>
    <t>PolkaWarriors - Cultivate a robust &amp; collaborative community of Polkadot in Vietnam</t>
  </si>
  <si>
    <t>Big Tip for Content in Portuguese - Verbo DotSama</t>
  </si>
  <si>
    <t>Retroactive tip for Polkadot hackathon brunch in Dubai and Budapest</t>
  </si>
  <si>
    <t>DOT Experts Tip for Hector Bulgarini for Proposal #379: NFT XCM</t>
  </si>
  <si>
    <t>Treasury Proposal: Marketing and media proposal for Polkadot in China</t>
  </si>
  <si>
    <t>Private Transfers of DOT</t>
  </si>
  <si>
    <t>Retroactive reimburesement for para upgrade fees contributions</t>
  </si>
  <si>
    <t>Retroactive Funding for ORML, Chopsticks, and Subway</t>
  </si>
  <si>
    <t>DOT Experts Tip for OnlyDeFiGuy for Proposal #432 | Bifrost vDOT liquidity loan</t>
  </si>
  <si>
    <t>OpenZeppelin x Polkadot Ecosystem Growth Phase M2</t>
  </si>
  <si>
    <t>POLKADOT IRL CAMPAIGN #2 - BERLIN TAXIS</t>
  </si>
  <si>
    <t>Polkadot Branding and Differentiation Partnership with Cointelegraph</t>
  </si>
  <si>
    <t>[Retroactive] SubWallet 14 Months Development</t>
  </si>
  <si>
    <t>Project Glove: Introducing Capital Efficiency and Pseudo-Anonymity on top of OpenGov</t>
  </si>
  <si>
    <t>Redot #1: Polkadot Restaking and Enabling Polkadot DA Capabilities</t>
  </si>
  <si>
    <t>Tip for 2023 Treasury Budget Analysis</t>
  </si>
  <si>
    <t>Tip for Educational Content: OpenGov Thought Leadership</t>
  </si>
  <si>
    <t>3nd installment for the referendum #196 already approved (3/3)</t>
  </si>
  <si>
    <t>Retroactive Funding for Mimir - A Powerful Multisig Management Application For Polkadot Ecosystem</t>
  </si>
  <si>
    <t>Polkadot Hackathon Global Series 2024: North America Edition</t>
  </si>
  <si>
    <t>Polkadot-API: development financing</t>
  </si>
  <si>
    <t>Project Proposal: Integration &amp; Support for  Moonbeam</t>
  </si>
  <si>
    <t>Setup of two Swiss Foundations for DED and Mythos</t>
  </si>
  <si>
    <t>Big Tip for a Portuguese/English educational channel</t>
  </si>
  <si>
    <t>Big Tip For Market Mobster Polkadot Content Since 2020</t>
  </si>
  <si>
    <t xml:space="preserve">NoSpec Content Creator Support. </t>
  </si>
  <si>
    <t>Polkadot Decoded 2024 treasury spend tranche 1/2</t>
  </si>
  <si>
    <t>Small Tips for Retroactive Content</t>
  </si>
  <si>
    <t>Retroactive tip for work done on exchanging a member in the ranked collective</t>
  </si>
  <si>
    <t>Polkassembly Social Contract 2024</t>
  </si>
  <si>
    <t>Polkadot Ecosystem Discord Risk Mitigation</t>
  </si>
  <si>
    <t>Retroactive Tip For Independent Content Creation</t>
  </si>
  <si>
    <t>Funding Development Costs to Expand Dot Code School – Bridging the Gap Between Online Learning and Real-World Web3 Development with Local Coding Environments</t>
  </si>
  <si>
    <t>Polkadot Greece (Retroactive)</t>
  </si>
  <si>
    <t>Proposal: 2024 Polkadot Decoded China (Hong Kong) July 27-28 (Time TBD, usually two weeks after the Flagship Decoded)</t>
  </si>
  <si>
    <t>LiteSend - remittance service secured by Polkadot</t>
  </si>
  <si>
    <t>Implementing a Polkadot-native system parachain for data storage: Phase 1/3</t>
  </si>
  <si>
    <t>Veles project proposal - Carbon credits pallet</t>
  </si>
  <si>
    <t xml:space="preserve">Swissborg Proposal - A One Month Polkadot Awareness Campaign </t>
  </si>
  <si>
    <t>Treasury Proposal: Futarchy, a New Signal Generating Tech for Polkadot Governance</t>
  </si>
  <si>
    <t>Milestone 1: EasyA x Polkadot Developer Growth via In-Person Hackathons and Crash Courses (#180DaysOfPolkadot)</t>
  </si>
  <si>
    <t>Retroactive funding for developing the RFCs Referenda Bot</t>
  </si>
  <si>
    <t>[Medium Spender] Referendum #506</t>
  </si>
  <si>
    <t>Polkadot sponsorship for LIFT Learning - A Fenasbac + Central Bank of Brazil initiative</t>
  </si>
  <si>
    <t xml:space="preserve">Big Tipper Proposal: ETHDenver Official Afterparty (Bash) Polkadot Airdrop </t>
  </si>
  <si>
    <t>Parachain Runtime Builder - Treasury</t>
  </si>
  <si>
    <t>Representation of Polkadot at the NERDCONF 6th Edition event in Mexico City at the BBVA Tower.</t>
  </si>
  <si>
    <t>Reimbursement for lost pool rewards</t>
  </si>
  <si>
    <t xml:space="preserve"> Polkadot Developer Community in China Expansion for 1 Year Operation</t>
  </si>
  <si>
    <t>Universal Hybrid Substrate Faucet</t>
  </si>
  <si>
    <t>OpenGov Discord Voting Bot Development</t>
  </si>
  <si>
    <t>Talisman Unified Retroactive Proposal #2</t>
  </si>
  <si>
    <t>Token Terminal x Polkadot data partnership - Polkadot ecosystem on Token Terminal and their partner platforms (Bloomberg, MarketVector)</t>
  </si>
  <si>
    <t>Polkadot Pulse Dubai Edition &amp; Networking Night @ Token2049, Dubai</t>
  </si>
  <si>
    <t>{bash} Events (the PMEI team) - a music and technology sandbox | onboarding users into Polkadot through music</t>
  </si>
  <si>
    <t>Tip for maintenance of the ORML pallets</t>
  </si>
  <si>
    <t>Polkadot Hydration: Liquidity Incentives</t>
  </si>
  <si>
    <t>Pinkdrop: Powering User Engagement and Ecosystem Growth</t>
  </si>
  <si>
    <t>Proposal: Codigo Brazuca + Polkadot Brazil - Tech Academy - from Basic to Advanced  -  8 Months Track</t>
  </si>
  <si>
    <t>Retroactive Tip For Solo Content Creation</t>
  </si>
  <si>
    <t>PolkaWorld Ops and Maintenance proposal：2024.4 - 2025.4</t>
  </si>
  <si>
    <t>Continuation of work through Messari Protocol Services</t>
  </si>
  <si>
    <t>StellaSwap Incentive Program</t>
  </si>
  <si>
    <t>RegionX | Coretime Marketplace for Polkadot</t>
  </si>
  <si>
    <t>Polkadot Blockchain Academy - Wave 5 in person and remote - Singapore 20th May to 20th June 2024</t>
  </si>
  <si>
    <t>Polkadot @ Coindesk Consensus</t>
  </si>
  <si>
    <t>Brave Browser Advertising Campaign Discussion</t>
  </si>
  <si>
    <t>Polkadot P2P Network Health Weekly Reports</t>
  </si>
  <si>
    <t>Funding for Decentralized Social Media Editorial Board</t>
  </si>
  <si>
    <t>Polkadot Agents Program - Phase 1</t>
  </si>
  <si>
    <t>Telenova: Polkadot Wallet built into Telegram. Retroactive Funding for 6 months</t>
  </si>
  <si>
    <t>Polkadot x The Tie Partnership to Increase Institutional Exposure and Access</t>
  </si>
  <si>
    <t>Conor Daly Indy500 Replacement Ref</t>
  </si>
  <si>
    <t xml:space="preserve">PolkaBot.AI - Decentralized AI education hub on Polkadot </t>
  </si>
  <si>
    <t>Subsquid Migration to ArrowSquid &amp; Indexing Upgrades</t>
  </si>
  <si>
    <t>ink! Analyzer: Retroactive funding for ink! v5 support</t>
  </si>
  <si>
    <t>Discord Governance Bot Self Tip Request - 0xTaylor</t>
  </si>
  <si>
    <t>Proposal for Polkadot OpenGov Funding: WEB3DEV Bootcamp for Rust and Pallets Learning</t>
  </si>
  <si>
    <t>Tip for Adam Steeber + Kusamarian concerning #514 Conor Daly - 2024 Indianapolis 500 Sponsorship</t>
  </si>
  <si>
    <t>Subsquare polkadot fellowship support milestone 1</t>
  </si>
  <si>
    <t>TEACHMEDEFI - Growing Polkadot’s Mindshare in the Crypto Space</t>
  </si>
  <si>
    <t>DOTCAST /This_is_the_DOT</t>
  </si>
  <si>
    <t>OG Tracker 2.0</t>
  </si>
  <si>
    <t>Polkadot in Spanish X account and Marketing Decentralization</t>
  </si>
  <si>
    <t>Maintenance &amp; Support Substrate Python API (Jan-Mar 2024)</t>
  </si>
  <si>
    <t>#644 Polkadot - Sports Sponsorship Fund</t>
  </si>
  <si>
    <t>The Block x Polkadot</t>
  </si>
  <si>
    <t>Magnet Milestone 3 Proposal: An Appchain Tech Stack leverages the Coretime Model to enhance DOT use cases and facilitate Polkadot's growth</t>
  </si>
  <si>
    <t>POLKADOT IRL CAMPAIGN #5 - POLKADOT X LYFT NYC</t>
  </si>
  <si>
    <t>PolkaBiz  - Where founders forge investment-ready innovations.</t>
  </si>
  <si>
    <t>Tip for Polkadot Presentation at Vienna Crypto Meetup</t>
  </si>
  <si>
    <t>Tip Request for @OnlyDeFiGuy for the Expert Report on Referendum #561</t>
  </si>
  <si>
    <t>Polkadot Beam Sponsorship at ETHPrague 2024</t>
  </si>
  <si>
    <t>⧓ Apillon Platform - Milestone 2 Proposal</t>
  </si>
  <si>
    <t>Retroactive Tip for Portuguese Content Creation</t>
  </si>
  <si>
    <t>52 Weeks of Kus Coverage ❤️🤖</t>
  </si>
  <si>
    <t>Retrospective Funding Proposal of the Polkadot HK Event</t>
  </si>
  <si>
    <t>Infinity Wallet - A unique native desktop Wallet &amp; Web3 Browser - Milestone 1</t>
  </si>
  <si>
    <t>Retroactive self-tip Request for Maintenance and Ongoing Development Validator Dashboard and Services</t>
  </si>
  <si>
    <t>Retroactive Polkadot Event in Guadalajara Mexico - Talent Land 2024</t>
  </si>
  <si>
    <t>Improving Polkadot’s Presence In the U.S. With The Texas Blockchain Council</t>
  </si>
  <si>
    <t>Nova Spektr Milestone 4 Proposal: OpenGov voting and delegation, Support for complex account structures, Flexible multisigs, Operation basket, Assets Portfolio view, Fellowship voting, Web-hosted app</t>
  </si>
  <si>
    <t>Polkadot Aligned Sponsorship at Proto Layers @ Prague [cancelled]</t>
  </si>
  <si>
    <t>Pop Network | Enabling simple and powerful smart contract development, with DOT</t>
  </si>
  <si>
    <t xml:space="preserve">Polkadot Q2 Marketing Campaigns by Distractive </t>
  </si>
  <si>
    <t xml:space="preserve"> Integration of Avata with the Polkadot Ecosystem</t>
  </si>
  <si>
    <t>G6 Networks: Polkadot Ecosystem Expansion with Institutions</t>
  </si>
  <si>
    <t>Polkadot-API: Apr-Jul development financing</t>
  </si>
  <si>
    <t>Sponsorship and Side Event: Merge Madrid</t>
  </si>
  <si>
    <t>The operating cost for the research organization Polkadot Ecology Research Institute for 2024/4-2025/3</t>
  </si>
  <si>
    <t>BlockDeep Labs: Ecosystem Services Proposal for Polkadot Treasury</t>
  </si>
  <si>
    <t xml:space="preserve">Elevating the Polkadot Ecosystem: Encode x Polkadot Programme 2024 </t>
  </si>
  <si>
    <t>Ongoing Development of Gossamer (16 months)</t>
  </si>
  <si>
    <t>Retroactive Funding Request for PolkadotPrague 2023 Marketing Costs</t>
  </si>
  <si>
    <t>Tip Request for Fardeen Haque for Awesome Dot</t>
  </si>
  <si>
    <t xml:space="preserve">Top Up for Polkadot at Consensus </t>
  </si>
  <si>
    <t>Polkadot @ Coinfest Asia 2024</t>
  </si>
  <si>
    <t>TIP: Gamer Streaming Reimbursement</t>
  </si>
  <si>
    <t>ink! + Ethereum RPC = ethink!. Proposal-02: Getting Testnet-Ready.</t>
  </si>
  <si>
    <t>The Gray Paper Interview' Retrospective Funding for Post-Production</t>
  </si>
  <si>
    <t>Polkadot Insider 52 weeks Operation (May 2024 - May 2025)</t>
  </si>
  <si>
    <t>Tip Ajay Dhore for transferring the polkadot_api npm package</t>
  </si>
  <si>
    <t>Proposal: Establish the Polkadot Community Foundation to represent DOT holders IRL</t>
  </si>
  <si>
    <t>Decoded 2024 Sponsorship for active community members</t>
  </si>
  <si>
    <t>Reimbursement - Polkadot Pulse Dubai Edition &amp; Polkamix w/ Afrojack @ Token2049, Dubai</t>
  </si>
  <si>
    <t>Onboarding Established Generative Artists to Polkadot Asset Hub and driving user engagement</t>
  </si>
  <si>
    <t>Polkadot Blockchain Academy Wave 5 Singapore - Demo day seed prize fund proposal</t>
  </si>
  <si>
    <t>CoinMarketCap x Polkadot 6 months integration (Renewable)</t>
  </si>
  <si>
    <t>Runtime Verification: Advanced Rust Property Test Verification for Polkadot Ecosystem</t>
  </si>
  <si>
    <t>Polkadot @ Blockchain Rio 2024</t>
  </si>
  <si>
    <t>Learn Polkadot Tip for Polkadot Brand Being Elevated by Conor Daly and Inter Miami</t>
  </si>
  <si>
    <t>Test the brand-new spend() extrinsic (resubmission of 708)</t>
  </si>
  <si>
    <t>Open source alternative to centralized polkadot API gateways and node as a service</t>
  </si>
  <si>
    <t>POLKADOT IRL CAMPAIGN #6 - THE CITY &amp; CANARY WHARF, LONDON UK</t>
  </si>
  <si>
    <t>Retroactive Payments for {bash} + adding Zebu Live Official Closing Party</t>
  </si>
  <si>
    <t>HEROIC x Polkadot sponsorship</t>
  </si>
  <si>
    <t>The JAM Spring Time Tour &amp; Top Up - The Kus x Key Pictures</t>
  </si>
  <si>
    <t>Retroactive Tip - Reimbursement for Miami trip wrt Polkadot x Inter Miami proposal</t>
  </si>
  <si>
    <t>OG Tracker 2.0 Top Up</t>
  </si>
  <si>
    <t>Recovering lost funds for local initiative</t>
  </si>
  <si>
    <t>2nd Milestone Request for Rewards and Fees for Polkadot Prodigy Hackathon 2024</t>
  </si>
  <si>
    <t>AIWeb3 Chinese Unit(爱Web3 中文社区) operation June. 2024 - Dec. 2024</t>
  </si>
  <si>
    <t>DOTphin Event Multipass by Sovereign Nature with WalletConnect integration &amp; upgradeable, dynamic NFTs by Unique Network</t>
  </si>
  <si>
    <t>Proposal: Funding for Design and Development of XCQ, the Cross-Consensus Query Language</t>
  </si>
  <si>
    <t>ink! Analyzer: Retroactive funding for ink! 4.x to 5.0 migration features, and other major improvements (56,750 USDT)</t>
  </si>
  <si>
    <t>Developer tools for Polkadot-API</t>
  </si>
  <si>
    <t>Top-up of Proposal 657 due to DOT price change.</t>
  </si>
  <si>
    <t>Maintenance for the substrate-api-client Jul-24 to Dec-24</t>
  </si>
  <si>
    <t>Untitled</t>
  </si>
  <si>
    <t>[Retroactive] RegionX Corehub | Parachain management</t>
  </si>
  <si>
    <t>Polkadot Ecosystem vCISO Program w/Spearbit</t>
  </si>
  <si>
    <t>DOTCAST /This_is_the_DOT Top Up</t>
  </si>
  <si>
    <t>Presentation on Augmented Reality Advertising for Polkadot by Overthereality</t>
  </si>
  <si>
    <t xml:space="preserve">Polkadot in Spanish Editorial Board and Marketing Top Up </t>
  </si>
  <si>
    <t>Open-Source Registrar Development Continuity</t>
  </si>
  <si>
    <t>A reactive library for building Substrate front-end</t>
  </si>
  <si>
    <t>Polkadot Business Development in Brazil - Continuation of Operations</t>
  </si>
  <si>
    <t xml:space="preserve"> Free Beer Stand &amp; BD/Networking Space at Polkadot Decoded</t>
  </si>
  <si>
    <t>Polkadot.js UI Bug When Initiating A Parathread for Parachain Auction</t>
  </si>
  <si>
    <t>Big Tips for Content in Portuguese - JOÃO HAZIM - 440 DOT</t>
  </si>
  <si>
    <t>Retroactive - Participation of Polkadot in Unlock summit 2024 Mexico, Puebla Talk + Workshop</t>
  </si>
  <si>
    <t>Verified Organization Badges on Twitter/X for Parachains, Top Wallets &amp; Comms Channels</t>
  </si>
  <si>
    <t xml:space="preserve"> Top Up request: Universal Hybrid Substrate Faucet</t>
  </si>
  <si>
    <t>Child Bounties</t>
  </si>
  <si>
    <t>last_status_change</t>
  </si>
  <si>
    <t>USD latest</t>
  </si>
  <si>
    <t>evaluated Category</t>
  </si>
  <si>
    <t>evaluated Subcategory</t>
  </si>
  <si>
    <t>description</t>
  </si>
  <si>
    <t>Child Bounty 1 - March 2022 - Dubstard</t>
  </si>
  <si>
    <t>Child Bounty 1 - March 2022 - pastaMan</t>
  </si>
  <si>
    <t>Child Bounty 1 - March 2022 - frankywild</t>
  </si>
  <si>
    <t>Child Bounty 10 - March and April reward for General Curator Mark Crince</t>
  </si>
  <si>
    <t>Child Bounty 10 - March and April reward for General Curator Abdulbee</t>
  </si>
  <si>
    <t>Child Bounty 1 - April 2022 - Dubstard</t>
  </si>
  <si>
    <t>Child Bounty 1 - April 2022 - pastaMan</t>
  </si>
  <si>
    <t>Child Bounty 1 - April 2022 - frankywild</t>
  </si>
  <si>
    <t>Child Bounty 1 - April 2022 - Vegas_life</t>
  </si>
  <si>
    <t>Child Bounty 11 - April 2022 - Vegas life</t>
  </si>
  <si>
    <t>Child Bounty 11 - April 2022 - Dubstard</t>
  </si>
  <si>
    <t>Child Bounty 11 - April 2022 - Frankywild</t>
  </si>
  <si>
    <t>Child Bounty 11 - April 2022 - pastaMan</t>
  </si>
  <si>
    <t>Task 10 - May 2022 - Mark Crince Dot Control</t>
  </si>
  <si>
    <t>Task 10 - May 2022 - Abdulbee</t>
  </si>
  <si>
    <t>Task 1 - May 2022 - franky wild</t>
  </si>
  <si>
    <t>Task1- May 2022 - pastaman</t>
  </si>
  <si>
    <t>Task 11 - May 2022 - frankywild</t>
  </si>
  <si>
    <t>Task 11 - May 2022 - pastaman</t>
  </si>
  <si>
    <t>Task 2b - Database for sites takedown - pastaMan</t>
  </si>
  <si>
    <t>Task 10 - June 2022 - Mark Crince</t>
  </si>
  <si>
    <t>Task 11 - June 2022 - Frankywild</t>
  </si>
  <si>
    <t>Task 11 - June 2022 - PastaMan</t>
  </si>
  <si>
    <t>Task 10 - June 2022 - Abdulbee</t>
  </si>
  <si>
    <t>Task 1 - June 2022 - Frankywild</t>
  </si>
  <si>
    <t>Task 1 - June 2022 - PastaMan</t>
  </si>
  <si>
    <t>Task 1 - June 2022 - Tim Janssen</t>
  </si>
  <si>
    <t>Task 2b - July 2022 - Tim Janssen</t>
  </si>
  <si>
    <t>July 2022 - Task 10 - Abdulbee</t>
  </si>
  <si>
    <t>July 2022 - Task 11 - Frankywild</t>
  </si>
  <si>
    <t>July 2022 - Task 11 - pastaMan</t>
  </si>
  <si>
    <t>July 2022 - Task 11 - Tim Janssen</t>
  </si>
  <si>
    <t>https://github.com/paritytech/frontier/security/advisories/GHSA-hc8w-mx86-9fcj</t>
  </si>
  <si>
    <t>Typeform yearly subscription</t>
  </si>
  <si>
    <t>Task 11 - July 2022 - PastaMan</t>
  </si>
  <si>
    <t>Task 11 - July 2022 - Frankywild</t>
  </si>
  <si>
    <t>Task 11 - July 2022 - Tim Jansen</t>
  </si>
  <si>
    <t>Task 1 - August 2022 - PastaMan</t>
  </si>
  <si>
    <t>Task 1 - August 2022 - Frankywild</t>
  </si>
  <si>
    <t>Task 1 - August 2022 - Tim Janssen</t>
  </si>
  <si>
    <t>Task 11 - August 2022 - frankywild</t>
  </si>
  <si>
    <t>Task 11 - August 2022 - pastaMan</t>
  </si>
  <si>
    <t>Task 11 - August 2022 - Tim Janssen</t>
  </si>
  <si>
    <t>Task 10 - August 2022 - Abdulbee</t>
  </si>
  <si>
    <t>Task 10 - August 2022 - BERRYZ</t>
  </si>
  <si>
    <t>Task 2c - Educational material on how to detect scam sites and submit them for takedown - frankywild</t>
  </si>
  <si>
    <t>Polkadot Metaverse Olympics - Budapest - Six</t>
  </si>
  <si>
    <t>Polkadot World conference - Madrid - Albert Burgos</t>
  </si>
  <si>
    <t>April Event in Paris; "Polkadot Ecosystem Talks; Parachains and Beyond" Zoe Meckbach</t>
  </si>
  <si>
    <t>Polkadot Event in Berlin (May) - Polkadot Ecosystem talks - Building Metaverse and NFT Infrastructure- Zoe Meckbach</t>
  </si>
  <si>
    <t>September Event in Berlin; "UI/UX in Web3 and Beyond" Zoe Meckbach</t>
  </si>
  <si>
    <t>Vietnam Blockchain Summit side event - October'22 - SubWallet + ecosystem partners</t>
  </si>
  <si>
    <t>Task 1 - September 2022 - PastaMan</t>
  </si>
  <si>
    <t>Task 1 - September 2022 - Frankywild</t>
  </si>
  <si>
    <t>Task 1 - September 2022 - Tim Janssen</t>
  </si>
  <si>
    <t>Task 10 - Septebmer 2022 - BERRYZ</t>
  </si>
  <si>
    <t>Task 10 General curator reward- Abdulbee</t>
  </si>
  <si>
    <t xml:space="preserve">Task 11: Maintenance of phishing repo- frankywild </t>
  </si>
  <si>
    <t>Task 11: Maintenance of phishing repo- pastaMan</t>
  </si>
  <si>
    <t>Task 11: Maintenance of phishing repo- Tim Janssen</t>
  </si>
  <si>
    <t>Task 2b - October 2022 - Tim Janssen</t>
  </si>
  <si>
    <t>Polkadot meetups in Dodoma - Nicholaus Ngailo</t>
  </si>
  <si>
    <t>DOTBrno - Damsky - November 10 2022</t>
  </si>
  <si>
    <t>Sub0 side events: Breakfasts - November 28-29 - Alexandra Heller</t>
  </si>
  <si>
    <t>Sub0 Dinner - Appilon - Phala - Lisbon Nov. 29</t>
  </si>
  <si>
    <t>Task 5 - October 2022 - Frankywild</t>
  </si>
  <si>
    <t>Task 5 - October 2022 - Tim Janssen</t>
  </si>
  <si>
    <t>Task 11 - October 2022 - Frankywild</t>
  </si>
  <si>
    <t>Task 11 - October 2022 - PastaMan</t>
  </si>
  <si>
    <t>Task 11 - October 2022 - Tim Janssen</t>
  </si>
  <si>
    <t>Task 10 - October 2022 - BerryZ</t>
  </si>
  <si>
    <t>Task 1: Detection and takedown of scam/phishing sites- pastaMan</t>
  </si>
  <si>
    <t>Task 1: Detection and takedown of scam/phishing sites- frankywild</t>
  </si>
  <si>
    <t>Task 1: Detection and takedown of scam/phishing sites- Tim Janssen</t>
  </si>
  <si>
    <t>Task 10 - October 2022 - Abdulbee</t>
  </si>
  <si>
    <t>Task 2b: Database for DNS registrars- Tim Janssen</t>
  </si>
  <si>
    <t>Polkadot Meetups in Munich - September and October - Saro Posa</t>
  </si>
  <si>
    <t>Task 7 - Milestone 1 - Themanwithoutaname</t>
  </si>
  <si>
    <t>Task 7 - Milestone 1 - Tim Janssen</t>
  </si>
  <si>
    <t>Task 7 - Milestone 1 - Maarmapa</t>
  </si>
  <si>
    <t>Polkadot Meetup at the Nile University in Abuja on May 12 by Maimunat Ibrahim</t>
  </si>
  <si>
    <t>Polkadot Meetups in Kampala - From March 31 to October 28, 2022 - Kamala Immaculate</t>
  </si>
  <si>
    <t>Introduction to Polkadot for developers - with the Macedonia Blockchain Group - October 12 - Dimche Risteski</t>
  </si>
  <si>
    <t xml:space="preserve">Vietnam Blockchain Summit side event - Second distribution - October'22 - SubWallet + ecosystem partners </t>
  </si>
  <si>
    <t>Polkadot Meetup in Brno - May 16, 2022 - Petr Mensik</t>
  </si>
  <si>
    <t>Polkadot Community Meetup in Berlin - Nov 7, 2022 - Carina Hahn</t>
  </si>
  <si>
    <t>Polkadot meetups in Kigali - From January 26 to September 30, 2022 - Joab Niwagaba</t>
  </si>
  <si>
    <t>Polkameetup Latam in Santiago - January 14, 2022 - Maarmapa Maldonado</t>
  </si>
  <si>
    <t>Task 4: Discord Tools-Milestone1-Bread</t>
  </si>
  <si>
    <t>The Sub0 Well-Being Retreat - Nov. 27-29, 2022 - Yip Ta</t>
  </si>
  <si>
    <t>Sub0 Opening Event - Lisbon - 27th November 2022</t>
  </si>
  <si>
    <t>ParisDotComm - July 29-21, 2022 - Team rewards</t>
  </si>
  <si>
    <t>ParisDotComm - July 29-21, 2022 - Team rewards (part 2 - issue with plancks on child bounty 93)</t>
  </si>
  <si>
    <t>Polkadot LATAM Day - December 15 - Mario Maldonado</t>
  </si>
  <si>
    <t>Polkadot Meetup in Mexico - December 17 - Polkadot Mexico</t>
  </si>
  <si>
    <t>Polkadot Meetups in Madrid - July 18 and Sept 1 - Guillermo and Rossmarie</t>
  </si>
  <si>
    <t>reimbursement of funds for setting up anti-scam executive team accounts - Frankywild</t>
  </si>
  <si>
    <t>Task 1 - November 2022 - Pastaman</t>
  </si>
  <si>
    <t>Task 1 - November 2022 - Frankywild</t>
  </si>
  <si>
    <t>Task 1 - November 2022 - Tim Janssen</t>
  </si>
  <si>
    <t>Task 10 (General curator reward) - November 2022 - Mims4life</t>
  </si>
  <si>
    <t>Task 11: Maintenance of phishing repo- frankywild</t>
  </si>
  <si>
    <t>Polkadot Unbounded in BKK - Demember 10th - Phala and Polkadot Ambassadors</t>
  </si>
  <si>
    <t>Task 10 (General curator reward) - November 2022 - Kamala Immaculate</t>
  </si>
  <si>
    <t>Task 5 - Fixed child curator reward - November 2022 - Mims4life</t>
  </si>
  <si>
    <t>Task 10 (General curator reward) - November 2022 - Abdulbee</t>
  </si>
  <si>
    <t>Task 2b (Database for DNS registrars) - November 2022 - Tim Janssen</t>
  </si>
  <si>
    <t>3 side events during the Polkadot Blockchain Academy in BA</t>
  </si>
  <si>
    <t>Polkadot Metaverse Olympics - Budapest - Six - second payout</t>
  </si>
  <si>
    <t>Polkadot World - Madrid - Albert - 2nd payout</t>
  </si>
  <si>
    <t>Task 2b- Database of DNS registrars- Tim Janssen- December 2022</t>
  </si>
  <si>
    <t>Task 11 - December 2022 - frankywild</t>
  </si>
  <si>
    <t>Task 11 - December 2022 - PastaMan</t>
  </si>
  <si>
    <t>Task 11 - December 2022 - Tim Janssen</t>
  </si>
  <si>
    <t>Task 1: Detection and takedown of scam/phishing sites -December 2022 - pastaMan</t>
  </si>
  <si>
    <t>Task 1: Detection and takedown of scam/phishing sites -December 2022 -frankywild</t>
  </si>
  <si>
    <t>Task 1: Detection and takedown of scam/phishing sites -December 2022 - Tim Janssen</t>
  </si>
  <si>
    <t>Task 5 - December 2022 - Frankywild</t>
  </si>
  <si>
    <t>Task 5 - December 2022 - Tim Janssen</t>
  </si>
  <si>
    <t>Bond for Anti-Scam bounty top-up</t>
  </si>
  <si>
    <t>Polkadot Meetups in Gulu - Brian Ahimbisibwe - Jan.30 - April 3 - June 12 2022</t>
  </si>
  <si>
    <t>Polkadot Meetups in Goma - Abraham Mugisha - Jan.30 -&gt; Sept 31 2022</t>
  </si>
  <si>
    <t>Academy Open Nights - Jose Belossi (Pepe) - Jan 19th, 25th, and Feb 1st, 2023</t>
  </si>
  <si>
    <t>Polkadot Event Mexico City - Cesar Garcia Escobedo - Aug 20-22, 2022</t>
  </si>
  <si>
    <t>Polkadot in USe - EthDenver side event - by WebZero</t>
  </si>
  <si>
    <t>Polkadot meetup in Soroti - Sept. 17, 2022 - Okot Joshua</t>
  </si>
  <si>
    <t>Bounty Curator Fee: September - December 2022 - Zoe Meckbach</t>
  </si>
  <si>
    <t>Bounty Curator Fee: September - December 2022 - Mark Ryan</t>
  </si>
  <si>
    <t>Polkadot World 2nd Edition - Feb. 24 in Madrid - Rossmarie and Georgi</t>
  </si>
  <si>
    <t>The Future of Polkadot event - Sub0 - November 30, 2022</t>
  </si>
  <si>
    <t>Polkadot Meetup Feb. 11, 2023 - Central Asia - Alex PromoTeam</t>
  </si>
  <si>
    <t>MetTel Innovation Summit 2023: Polkadot Sponsorship - April 25 - Alan Vey</t>
  </si>
  <si>
    <t>Paris Blockchain Week: Women in Web3 Dinner - March 23 - Lea Narzis</t>
  </si>
  <si>
    <t>Task 1 (sites takedown) - January and February 2023 - Pastaman</t>
  </si>
  <si>
    <t>Task 1 (sites takedown) - January and February 2023 - Frankywild</t>
  </si>
  <si>
    <t>Task 1 (sites takedown) - January and February 2023 - Tim Janssen</t>
  </si>
  <si>
    <t>Rewards for 2 Meetups in Colombia - Simon Leon</t>
  </si>
  <si>
    <t>Rewards for Introduction of Polkadot in Kigali City - Joab Niwagaba</t>
  </si>
  <si>
    <t>13th Polkadot Meetup in Hungary - Vktrometer#8040</t>
  </si>
  <si>
    <t>Rewards for 2 Polkadot Meetups in Munich - Saro Posa</t>
  </si>
  <si>
    <t>1st Meetup at the Polkadot Hub in Bali - Gabor</t>
  </si>
  <si>
    <t>Rewards for Central Asia Polkadot Days - Alex Promoteam</t>
  </si>
  <si>
    <t>14th Polkadot Hungary Meetup in Budapest - Vktrometer#8040</t>
  </si>
  <si>
    <t>Rewards for Polkadot World meetup in Madrid - Georgi Ivanov</t>
  </si>
  <si>
    <t>Task 10 (General curator reward) - December 2022, January/February 2023 - Mims4life</t>
  </si>
  <si>
    <t>Task 10 (General curator reward) - Second half of February 2022 - Cappex</t>
  </si>
  <si>
    <t>Task 11- Maintenance of phishing repo (January and February reward)- frankywild</t>
  </si>
  <si>
    <t xml:space="preserve">Task 11-Maintenance of phishing repo (January and February reward)- pastaMan </t>
  </si>
  <si>
    <t xml:space="preserve">Task 11-Maintenance of phishing repo (January and February reward) - Tim Janssen </t>
  </si>
  <si>
    <t>Task 10 General Curator reward (December, January and February)- KANDY</t>
  </si>
  <si>
    <t>Task 10- GC- Abdulbee- December, February, January</t>
  </si>
  <si>
    <t>Polkadot Side Event during Web3 festival in Hong Kong - Hao Ding - April 11, 2023</t>
  </si>
  <si>
    <t>Lightning Boat - Dam Sky - December 5, 2022</t>
  </si>
  <si>
    <t>EU Ambassador Gathering - Barcelona - Mimi and Albert</t>
  </si>
  <si>
    <t>Polkasunset - Feb 6th, 2023, Jose Belossi</t>
  </si>
  <si>
    <t>Task 5- Taking down sites- Tim Janssen- January and Febuary</t>
  </si>
  <si>
    <t>Task 5- Taking down sites- frankywild-January February</t>
  </si>
  <si>
    <t xml:space="preserve">Task 2b- Database of DNS Registrars(January and February rewards)- Tim Janssen </t>
  </si>
  <si>
    <t xml:space="preserve">ZK Hackathon - Lisbon - Hector </t>
  </si>
  <si>
    <t>Beyond The Chain Vietnam: Stepping Into Web3 With Polkadot - April 8, 2023 - Mabel Nguyen</t>
  </si>
  <si>
    <t>2 Polkadot Meetups in Dubai - Angela K. - January 26 and March 4, 2023</t>
  </si>
  <si>
    <t>Meetup rewards - Polkadot Meetup in Dubai - January 26, 2023 - Angela K.</t>
  </si>
  <si>
    <t>Meetup rewards - 3 Polkadot Meetups in Ljubljana - October - February 2023 - Patrik K.</t>
  </si>
  <si>
    <t>Meetup rewards - Polkadot Meetup in Zagreb - February 16 2023 - Patrik K.</t>
  </si>
  <si>
    <t>Blockchain Week - Rome - May - Marco</t>
  </si>
  <si>
    <t>3 side events during the Polkadot Blockchain Academy in BA - payout difference minus leftover budget</t>
  </si>
  <si>
    <t>Zprize collab winners 1</t>
  </si>
  <si>
    <t>Zprize collab winners 2</t>
  </si>
  <si>
    <t>Zprize collab winners 3</t>
  </si>
  <si>
    <t>Task 5 - March 2023 - Frankywild</t>
  </si>
  <si>
    <t>Task 5 - March 2023 - Tim Janssen</t>
  </si>
  <si>
    <t>Task 10 (GC Reward) - March 2023 - Cappex</t>
  </si>
  <si>
    <t xml:space="preserve">Task 1-Detection and takedown of scam/phishing sites march 2023 reward-pastaMan </t>
  </si>
  <si>
    <t>Task 1-Detection and takedown of scam/phishing sites march 2023 reward- frankywild</t>
  </si>
  <si>
    <t>Task 1-Detection and takedown of scam/phishing sites march 2023 reward- Tim Janssen</t>
  </si>
  <si>
    <t>Task 10- General curator reward march 2023- Abdulbee</t>
  </si>
  <si>
    <t>Task 2b- Databases for DNS Registrars March 2023 reward- Tim Janssen</t>
  </si>
  <si>
    <t>Task 10 - March 2023 - General Curator rewards - Mims4life</t>
  </si>
  <si>
    <t>Berlin Blockchain Week - WebZero - second payout</t>
  </si>
  <si>
    <t>Academy Open Nights - Jose Belossi (Pepe) - second payout</t>
  </si>
  <si>
    <t>Task 10 - March 2023 - General Curator rewards - Kamala</t>
  </si>
  <si>
    <t>Task 7 - Milestone 2+3 - Paradox</t>
  </si>
  <si>
    <t>Task 7 - Milestone 2+3 - cmalize</t>
  </si>
  <si>
    <t>Task 7 - Milestone 2+3 - themanwithoutaame</t>
  </si>
  <si>
    <t>Task 7 Milestone 2+3 - Tim Janssen</t>
  </si>
  <si>
    <t xml:space="preserve">Task 7 Milestone 2+3 - Maarmapa </t>
  </si>
  <si>
    <t>Task 11 - March 2023 - Frankywild</t>
  </si>
  <si>
    <t>Task 11 - March 2023 - Pastaman</t>
  </si>
  <si>
    <t>Task 11 - March 2023 - Tim Janssen</t>
  </si>
  <si>
    <t xml:space="preserve">Task 6- Have different entities add the GH phishing repo to their databases (one-off) milestones 1 +2  rewards -Maarmapa </t>
  </si>
  <si>
    <t>Paris Blockchain Week: Women in Web3 Dinner - Lea Narzis - Outstanding Reward</t>
  </si>
  <si>
    <t>6 to 8 Polkadot Meetups in the Adriatic region - Patrik K - From April to August, 2023</t>
  </si>
  <si>
    <t>PolkadotBled Mini-Conference - Damsky  - April 29, 2023</t>
  </si>
  <si>
    <t>Polkadot Side event - Austin Consensus - WebZero</t>
  </si>
  <si>
    <t>Polkadot in USe - Denver - 2nd payout - WebZero</t>
  </si>
  <si>
    <t>https://github.com/paritytech/frontier/security/advisories/GHSA-fcmm-54jp-7vf6</t>
  </si>
  <si>
    <t>Polkadot at BlockSplit: sponsorship and side event - May 22-24 - Xylo Drone</t>
  </si>
  <si>
    <t>Polkadot Workshop in Spanish (Rust, Ink! and Substrate courses) in Mexico City - June 7-9 - Polkadot Hub</t>
  </si>
  <si>
    <t>6 Polkadot Meetups in San Francisco with Ecosystem Teams - from April 24 - Yuvia Mendoza</t>
  </si>
  <si>
    <t>HackaDOT 2023 - June 9-11 - Soyoun(Raf)Jung</t>
  </si>
  <si>
    <t>Task 1 (sites takedown) - April 2023 - Pastaman</t>
  </si>
  <si>
    <t>Task 1 (sites takedown) - April 2023 - Frankywild</t>
  </si>
  <si>
    <t>Task 1 (sites takedown) - April 2023 - Tim Janssen</t>
  </si>
  <si>
    <t>General curator reward - Cappex - April 2023</t>
  </si>
  <si>
    <t>General Curator Reward -  Abdulbee - April 2023</t>
  </si>
  <si>
    <t>General Adminstration task reward - Abdulbee - April 2023</t>
  </si>
  <si>
    <t>General Adminstration task reward - FrankyWild - April 2023</t>
  </si>
  <si>
    <t>General Adminstration task reward - Paradox - April 2023</t>
  </si>
  <si>
    <t>General Adminstration task reward - Tim Janssen - April 2023</t>
  </si>
  <si>
    <t>Task 11 - April 2023 - Frankywild</t>
  </si>
  <si>
    <t>Task 11 - April 2023 - Pastaman</t>
  </si>
  <si>
    <t>Task 11 - April 2023 - Tim Janssen</t>
  </si>
  <si>
    <t>General Curator reward-April 2023- Kamala Immaculate</t>
  </si>
  <si>
    <t>General Administration reward-Cmalize-April 2023</t>
  </si>
  <si>
    <t>Task 2b (Database for DNS registrars) - April 2023 - Tim Janssen</t>
  </si>
  <si>
    <t>Task 7 (Education) - Milestone 4 - Tim Janssen</t>
  </si>
  <si>
    <t>Task 7 (Education) - Milestone 4 - cmalize</t>
  </si>
  <si>
    <t>Task 7 (Education) - Milestone 4 - Maarmapa</t>
  </si>
  <si>
    <t>Task 7 (Education) - Milestone 4 - Javier</t>
  </si>
  <si>
    <t>General administration task - April 2023 - Pastaman</t>
  </si>
  <si>
    <t>Online event: Polkadot Blockchain Academy Q&amp;A - Dimche R - April 3</t>
  </si>
  <si>
    <t>Polkadot Meetup Ljubljana - Patrik K. - April 12</t>
  </si>
  <si>
    <t>Polkadot Meetup Zagreb - Patrik K. - April 25</t>
  </si>
  <si>
    <t>Polkadot Hub Meetup oin Bali - Kresna S. - February 16</t>
  </si>
  <si>
    <t>Introduction to Polkadot's interoperability protocol: XCMP - Viktor V. - March 31</t>
  </si>
  <si>
    <t>Polkadot Meetup in Medellin - Donatello L. - February 23</t>
  </si>
  <si>
    <t>6 Polkadot Meetups in Arusha - Danson T. February - November 2022</t>
  </si>
  <si>
    <t>Limechain - Polkadot Java Host</t>
  </si>
  <si>
    <t>Decoded Viewing Party - Maracaibo, Venezuela - Arlette S.</t>
  </si>
  <si>
    <t>Decoded Viewing Party - Hanoi, Vietnam - DJ Ha Trang</t>
  </si>
  <si>
    <t>Decoded Viewing Party - Bogota, Colombia - Santiago G.</t>
  </si>
  <si>
    <t>NFTs in Prague - KodaCon - June</t>
  </si>
  <si>
    <t>Polkadot Prague - June 5 - KodaCon team</t>
  </si>
  <si>
    <t>Polkadot sponsorship UTXO.23 Prague - June 3 - KodaCon</t>
  </si>
  <si>
    <t>Primavera Pro Madrid - PolkaHaus - May 2023</t>
  </si>
  <si>
    <t>Web3 Foundation - Messari Mainnet - 22 September, 2022</t>
  </si>
  <si>
    <t>Web3 Foundation - BarCamp - 30 November and 1 December 2022</t>
  </si>
  <si>
    <t>Task 1 - May 2023 - Pastaman</t>
  </si>
  <si>
    <t>Task 1 - May 2023 - Frankywild</t>
  </si>
  <si>
    <t>Task 1 - May 2023 - Tim Janssen</t>
  </si>
  <si>
    <t>General administration reward - May 2023 - Frankywild</t>
  </si>
  <si>
    <t>General Curator Reward -  Abdulbee - May 2023</t>
  </si>
  <si>
    <t>General Adminstration task reward - Abdulbee - May 2023</t>
  </si>
  <si>
    <t>General Curator Reward- May 2023-Kamala</t>
  </si>
  <si>
    <t>General Admin Reward-May 2023- Pastaman</t>
  </si>
  <si>
    <t>General Admin Reward-May 2023-Cmalize</t>
  </si>
  <si>
    <t>ParisDotComm - July - Polkadot Francophonie</t>
  </si>
  <si>
    <t>Polkadot Blockchain Academy - Buenos Aires - PolkaSunset 2nd payout</t>
  </si>
  <si>
    <t>General Adminstration task reward - Paradox - May 2023</t>
  </si>
  <si>
    <t>General Adminstration task reward - Tim Janssen - May 2023</t>
  </si>
  <si>
    <t>GC reward - May 2023 - Cappex</t>
  </si>
  <si>
    <t>General Curator Reward - Grizzly - May 2023</t>
  </si>
  <si>
    <t>Task 11 - May 2023 - Frankywild</t>
  </si>
  <si>
    <t>Task 11 - May 2023 - Pastaman</t>
  </si>
  <si>
    <t>Task 11 - May 2023 - Tim Janssen</t>
  </si>
  <si>
    <t>Task 5 May 2023 - Tim</t>
  </si>
  <si>
    <t>POLKADOT JAPAN TOUR 2023 - June 28 - July 26 - Shunsuke Yoshioka</t>
  </si>
  <si>
    <t>Polkadot @ NFT Biarritz - August 21 - G'</t>
  </si>
  <si>
    <t>Polkadot Meetup @ BUIDL Vietnam 2023 - Cris Nguyen - June 26, 2023</t>
  </si>
  <si>
    <t>sub0 Side event Closing Party - t3rn - November 28, 2022</t>
  </si>
  <si>
    <t>Polkadot Blockchain Academy: Side Event in San Francisco - March 29, 2023</t>
  </si>
  <si>
    <t>Polkadot Decoded Satellite Event in Hanoi - July 2023 - Trang Nguyen Subwallet Team</t>
  </si>
  <si>
    <t>Polkadot Decoded Satellite Event in Buenos Aires - July 6 - Polkadot Hub LATAM</t>
  </si>
  <si>
    <t>Decoded 2023 - Viewing Party in Helsinki, Finland</t>
  </si>
  <si>
    <t>Decoded 2023 - Viewing Party in Buenos Aires, Argentina</t>
  </si>
  <si>
    <t>Decoded 2023 - Viewing Party in Guadalajara, Mexico</t>
  </si>
  <si>
    <t>Decoded 2023 - Viewing Party in Monterrey, Mexico</t>
  </si>
  <si>
    <t>Decoded 2023 - Viewing Party in Lima, Peru</t>
  </si>
  <si>
    <t>Decoded 2023 - Viewing Party in Curitiba, Brazil</t>
  </si>
  <si>
    <t>Decoded 2023 - Viewing Party in Omaha, Nebraska, USA</t>
  </si>
  <si>
    <t>Decoded 2023 - Viewing Party in Patagonia, Argentina</t>
  </si>
  <si>
    <t>Decoded 2023 - Viewing Party in Arusha, Tanzania</t>
  </si>
  <si>
    <t>Decoded 2023 - Viewing Party in Mexico City, Mexico</t>
  </si>
  <si>
    <t>Decoded 2023 - Viewing Party in Kigali, Rwanda</t>
  </si>
  <si>
    <t>Decoded 2023 - Viewing Party in Kampala, Uganda</t>
  </si>
  <si>
    <t>Decoded 2023 - Viewing Party in New York City, USA</t>
  </si>
  <si>
    <t>Decoded 2023 - Viewing Party in Colombo, Sri Lanka</t>
  </si>
  <si>
    <t>Decoded 2023 - Viewing Party in Indianapolis, USA</t>
  </si>
  <si>
    <t>Decoded 2023 - Viewing Party in Coimbatore, India</t>
  </si>
  <si>
    <t>Decoded 2023 - Viewing Party in Tampa, USA</t>
  </si>
  <si>
    <t>Decoded 2023 - Viewing Party in Taipei, Taiwan</t>
  </si>
  <si>
    <t>Decoded 2023 - Viewing Party in Rio Grande, Argentina</t>
  </si>
  <si>
    <t>Decoded 2023 - Viewing Party in Bangalore, India</t>
  </si>
  <si>
    <t>Decoded 2023 - Viewing Party in Makati City, Metro Manila, Philippines</t>
  </si>
  <si>
    <t>Decoded 2023 - Viewing Party in Dallas, USA</t>
  </si>
  <si>
    <t>Decoded 2023 Viewing Party in Madrid, Spain</t>
  </si>
  <si>
    <t>Decoded 2023 Viewing Party in Goma, DRC</t>
  </si>
  <si>
    <t>Decoded 2023 Viewing Party in Singapore</t>
  </si>
  <si>
    <t>Decoded 2023 Viewing Party in Bali, Indonesia</t>
  </si>
  <si>
    <t>Polkadot Decoded extraordinary Side Event 2023 - Dubai - Hatem</t>
  </si>
  <si>
    <t>Decoded Viewing Party - Aba Nigeria - Malize fred</t>
  </si>
  <si>
    <t>Decoded Viewing Party - Rio de Janeiro - Raphael Kling</t>
  </si>
  <si>
    <t>Decoded Viewing Party - Tashkent, Uzbekistan - Alex PromoTeam</t>
  </si>
  <si>
    <t>Decoded Viewing Party - Ashley Wright - Toronto Canada</t>
  </si>
  <si>
    <t>Decoded 2023 Viewing Party in Montreal, Quebec, Canada</t>
  </si>
  <si>
    <t>Decoded 2023 Viewing Party in Belgrade, Serbia</t>
  </si>
  <si>
    <t>Decoded 2023 Viewing Party in Budapest, Hungary</t>
  </si>
  <si>
    <t>Decoded 2023 Viewing Party in Stamford Connecticut, USA</t>
  </si>
  <si>
    <t>Decoded 2023 Viewing Party in Sao Paulo, Brazil</t>
  </si>
  <si>
    <t>Polkadot in Blockchain Sao Paulo - Eduardo Cardoso, Maarapa, and Lui5 - June 2023</t>
  </si>
  <si>
    <t>Panel and Networking Event for the Polkadot Ecosystem - Polkadot Decoded Side Event - June 29 - WebZero</t>
  </si>
  <si>
    <t>Social Hour @ Polkadot Decoded 2023 - June 27 - Zoe Meckbach</t>
  </si>
  <si>
    <t>ParisDotComm 2023 - 2nd allocation - July 18-20</t>
  </si>
  <si>
    <t>Task 1 - June 2023 - Pastaman</t>
  </si>
  <si>
    <t>Task 1 - June 2023 - Frankywild</t>
  </si>
  <si>
    <t>Task 1 - June 2023 - Tim Janssen</t>
  </si>
  <si>
    <t>Task 2b - June 2023 - Tim Janssen</t>
  </si>
  <si>
    <t>Task 10 - June 2023 - Cappex</t>
  </si>
  <si>
    <t>General Administration Task Reward- Kamala- June 2023</t>
  </si>
  <si>
    <t>General Administration Task Reward- CMalize- June 2023</t>
  </si>
  <si>
    <t>General Administration Task Reward- Pastaman- June 2023</t>
  </si>
  <si>
    <t>General Adminstration task reward - Paradox - June 2023</t>
  </si>
  <si>
    <t>General Adminstration task reward - Tim Janssen - June 2023</t>
  </si>
  <si>
    <t>General Curator Reward - Grizzly - June 2023</t>
  </si>
  <si>
    <t>Task 10 - June 2023 - Abdulbee</t>
  </si>
  <si>
    <t>General Adminstartion Task - Abdulbee</t>
  </si>
  <si>
    <t>General Adminstartion Task - frankywild</t>
  </si>
  <si>
    <t>Task 5 June 2023 - Tim</t>
  </si>
  <si>
    <t>Task 5 June 2023 - FrankyWild</t>
  </si>
  <si>
    <t>Task 11 - June 2023 - Frankywild</t>
  </si>
  <si>
    <t>Task 11 - June 2023 - Pastaman</t>
  </si>
  <si>
    <t>Task 11 - June 2023 - Tim Janssen</t>
  </si>
  <si>
    <t>PBA Opening Pary - Nodle and PolkaHaus - San Fransisco, CA</t>
  </si>
  <si>
    <t>sub0 side event closing party - 2nd allocation - November 28, 2022</t>
  </si>
  <si>
    <t>Polkadot Meetup in Zug - May 31 - David Bakk</t>
  </si>
  <si>
    <t>Polkadot Meetup in Munich #5 - June 2nd - Saro Posa</t>
  </si>
  <si>
    <t>Polkadot Meetup in Bulgaria - June 17 - Kristiyan G</t>
  </si>
  <si>
    <t>Performance Improvements for Reed Solomon Erasure Coding - M1</t>
  </si>
  <si>
    <t>Polkadot Meetup in Montevideo - February 23 - Mario Maldonado</t>
  </si>
  <si>
    <t xml:space="preserve">Web3 Weekends Tashkent - March 2023 - Alex Morozov </t>
  </si>
  <si>
    <t xml:space="preserve">Polkadot Meetup Ljubljana - June 15 - Patrik Kogoj </t>
  </si>
  <si>
    <t>Web3 Hackfest 2023 - Ho Chi Minh, Vietnam - Subwallet Team</t>
  </si>
  <si>
    <t xml:space="preserve">Protocol Berg, 2023 - Kreuzberg, Berlin -Raul Romanutti </t>
  </si>
  <si>
    <t>Blockchain Futurist Conf. Side Event with PizzaDAO - Toronto, Canada - AJ Recana</t>
  </si>
  <si>
    <t>PBA Closing Party - San Fransisco, USA - Oak Network</t>
  </si>
  <si>
    <t>GC reward - July 2023 - Grizzly</t>
  </si>
  <si>
    <t>Task 2b - July 2023 - Tim Janssen</t>
  </si>
  <si>
    <t>Task 7 - Milestone 5 (Quiz) - Tim janssen</t>
  </si>
  <si>
    <t>Task 7 - Milestone 5 (infographic) - cmalize</t>
  </si>
  <si>
    <t>Task 7 - milestone 5 - Video + task management - maarmaapa</t>
  </si>
  <si>
    <t>Task 7 - milestone 5 (article) - Javier</t>
  </si>
  <si>
    <t>Task 7 - milestone 5 (slides) - Paradox</t>
  </si>
  <si>
    <t>Task 7 - Milestone 5 (Editing/proofreading) - Michelle</t>
  </si>
  <si>
    <t>General Adminstration task reward - Abdulbee - July 2023</t>
  </si>
  <si>
    <t>General Adminstration task reward - Franky - July 2023</t>
  </si>
  <si>
    <t>General Curator Reward - Abdulbee - July 2023</t>
  </si>
  <si>
    <t>General Curator reward -July 2023 - Cappex</t>
  </si>
  <si>
    <t>General Admin Task - July 2023 - Paradox</t>
  </si>
  <si>
    <t>General Admin Task -July 2023 - Tim</t>
  </si>
  <si>
    <t>Task 11 - July 2023 - Frankywild</t>
  </si>
  <si>
    <t>Task 11 - July 2023 - Pastaman</t>
  </si>
  <si>
    <t>Task 11 - July 2023 - Tim Janssen</t>
  </si>
  <si>
    <t>Task 5- Taking down sites - Jully 2023  reward - Tim</t>
  </si>
  <si>
    <t>Task 5 - Taking down sites - July 2023 reward - FrankyWild</t>
  </si>
  <si>
    <t>Task 1 rewards- July 2023- Pastaman</t>
  </si>
  <si>
    <t>Task 1 rewards- July 2023- FrankyWild</t>
  </si>
  <si>
    <t>Task 1 rewards- July 2023- Tim Janssen</t>
  </si>
  <si>
    <t>General Curator Rewards- July 2023- Kamala</t>
  </si>
  <si>
    <t>General Curator Rewards- July 2023- Pastaman</t>
  </si>
  <si>
    <t xml:space="preserve">General Curator Rewards- July 2023- Cmalize </t>
  </si>
  <si>
    <t>Polkadot @ Bali Blockchain Week SOULBOUND - Kresna Sucandra - August 22-23</t>
  </si>
  <si>
    <t>Web3Foundation - Wanxiang Blockchain Week - September 2022</t>
  </si>
  <si>
    <t>Polkadot Prodigy Hackathon - Georgi Ivanov - September 2023</t>
  </si>
  <si>
    <t>Events Bounty Curator Reward - Zoe Mechbach - Jan-April 2023</t>
  </si>
  <si>
    <t>Events Bounty Curator Reward - Mark Ryan - Jan-April 2023</t>
  </si>
  <si>
    <t>Polkadot @ Blockchain Rio 2023 - Sept 12-14, 2023 - John Rhodel</t>
  </si>
  <si>
    <t>House of Chaos - Berlin Blockchain Week - WebZero</t>
  </si>
  <si>
    <t>General Administration - August 2023 - Pastaman</t>
  </si>
  <si>
    <t>General Administration - August 2023 - Tim Janssen</t>
  </si>
  <si>
    <t>General Curation - August 2023 - Grizzly</t>
  </si>
  <si>
    <t>General administration abdulbee - august 2023</t>
  </si>
  <si>
    <t>General administration frankywild - august 2023</t>
  </si>
  <si>
    <t>General administration cmalize - august 2023</t>
  </si>
  <si>
    <t>General curation abdulbee - august 2023</t>
  </si>
  <si>
    <t>General Curation- Kamala Immaculate#5476- August 2023</t>
  </si>
  <si>
    <t>Maintenance of phishing repo- Tim Janssen (Won't DM)#8682- August 2023</t>
  </si>
  <si>
    <t>Maintenance of phishing repo- frankywild#8573- August 2023</t>
  </si>
  <si>
    <t xml:space="preserve">Maintenance of phishing repo- pastaMan#9738- August 2023 </t>
  </si>
  <si>
    <t>General Curator Reward- Cappex-August 2023</t>
  </si>
  <si>
    <t>Task 2b (DNS registrars) - August 2023 - Tim Janssen</t>
  </si>
  <si>
    <t>Task 1 FrankyWild- August 2023</t>
  </si>
  <si>
    <t>Task 1 Reward- PastaMan</t>
  </si>
  <si>
    <t>Task 1 Reward- Tim Janssen</t>
  </si>
  <si>
    <t>Task 5 Reward-FrankyWild- August 2023</t>
  </si>
  <si>
    <t>Task 5 Reward- Tim Janssen- August 2023</t>
  </si>
  <si>
    <t>Mainnet New York - Polkadot and Frens Dinner - AJ and Dillon</t>
  </si>
  <si>
    <t xml:space="preserve"> Sub0 breakfast - Lisbon - Aurora KodaDot</t>
  </si>
  <si>
    <t>Sub0 opening party - Lisbon - WebZero</t>
  </si>
  <si>
    <t>EthRome sponsorship and hackathon - Rome- Pepe Senior Ambassador</t>
  </si>
  <si>
    <t xml:space="preserve"> Cosmoverse sponsorship - Istanbul - Composable finance</t>
  </si>
  <si>
    <t>Sub0 Closing Party - WebZero - Lisbon</t>
  </si>
  <si>
    <t>DOT HK Day - Vincent Chan - Honk Kong</t>
  </si>
  <si>
    <t>Polkadot @Messari Mainnet - W3F - New York City</t>
  </si>
  <si>
    <t>General Adminstration task reward - Abdulbee - September 2023</t>
  </si>
  <si>
    <t>General Adminstration task reward - Tim - September 2023</t>
  </si>
  <si>
    <t>General Curator Reward - Abdulbee - September 2023</t>
  </si>
  <si>
    <t>General Admin bounty - September 2023 - Paradox</t>
  </si>
  <si>
    <t>General Curator reward - September 2023 - Cappex</t>
  </si>
  <si>
    <t>Maintenance of Phishing repo - September 2023 - Frankywild</t>
  </si>
  <si>
    <t>Maintenance of Phishing repo - September 2023 - Pastaman</t>
  </si>
  <si>
    <t>Maintenance of Phishing repo - September 2023 - Tim Janssen</t>
  </si>
  <si>
    <t>General Admin Task - September 2023 - PastaMan</t>
  </si>
  <si>
    <t xml:space="preserve">General Adim Task - September 2023 - FrankyWild </t>
  </si>
  <si>
    <t>General Curator Rewad - September 2023 - Grizzly</t>
  </si>
  <si>
    <t>General Administration-September 2023- CMalize</t>
  </si>
  <si>
    <t xml:space="preserve">General Curation- September 2023- Kamala </t>
  </si>
  <si>
    <t>Task 2b (DNS registrars) - September 2023 - Tim Janssen</t>
  </si>
  <si>
    <t>Task 1 rewards- September 2023- Pastaman</t>
  </si>
  <si>
    <t>Task 1 rewards- September 2023- Frankywild</t>
  </si>
  <si>
    <t>Task 1 rewards- September 2023- TimJanssen</t>
  </si>
  <si>
    <t>Test transaction to Facilitator address</t>
  </si>
  <si>
    <t>Task 5 - Social Media Takedown - September 2023- Tim Janssen</t>
  </si>
  <si>
    <t>Task 5 - Social Media Takedown - September 2023- FrankyWild</t>
  </si>
  <si>
    <t>Payment to MuFi for achitecture milestone</t>
  </si>
  <si>
    <t>Payment to OpenZeppelin for OpenBrush security review</t>
  </si>
  <si>
    <t>Hackadot 2023 -  Sang-Hyun Rhee - South Korea</t>
  </si>
  <si>
    <t>Polkadot Championship 2023 - David Pethes - Budapest</t>
  </si>
  <si>
    <t>Cryto Expo Milan - Patrizia De Bella - Milan</t>
  </si>
  <si>
    <t>Fintech Summit Online Sponsorship - Petr Mensik - Czech Republic</t>
  </si>
  <si>
    <t>Moderation team bounty - 1/2August + September - Frankywild</t>
  </si>
  <si>
    <t>Moderation team bounty - 1/2August + September - LV</t>
  </si>
  <si>
    <t>Moderation team bounty - 1/2August + September - MC</t>
  </si>
  <si>
    <t>Moderation team bounty - 1/2August + September - Mudlebee</t>
  </si>
  <si>
    <t>Moderation team bounty - 1/2August + September - PastaMan</t>
  </si>
  <si>
    <t>Moderation team bounty/curation - 1/2August + September - Abdulbee</t>
  </si>
  <si>
    <t>Moderation team bounty/curation - 1/2August + September - GrizzlyAdams</t>
  </si>
  <si>
    <t>Moderation team bounty - 1/2August + September - Cappex</t>
  </si>
  <si>
    <t>Moderation team bounty - 1/2August + September - Gr33n</t>
  </si>
  <si>
    <t>Moderation team bounty - 1/2August + September - Maarmapa</t>
  </si>
  <si>
    <t>Moderation team bounty - 1/2August + September - MisterCole</t>
  </si>
  <si>
    <t>Moderation team bounty - 1/2August + September - Paradox</t>
  </si>
  <si>
    <t>Moderation team bounty - 1/2August + September - Tim Janssen</t>
  </si>
  <si>
    <t>The second tranche of the Fruhzin/Limechain</t>
  </si>
  <si>
    <t>Payment to Bright Inventions for Milestone 1</t>
  </si>
  <si>
    <t>Payment to Protofire for Milestone 1</t>
  </si>
  <si>
    <t>Payment to Starlay Finance for Milestone 1-1 and 1-2</t>
  </si>
  <si>
    <t>Payment to ChainIDE + Polkaholic for Milestone 1</t>
  </si>
  <si>
    <t>Moderation team bounty - october 2023 - Gr33n</t>
  </si>
  <si>
    <t>Moderation team bounty - october 2023 - Maarmapa</t>
  </si>
  <si>
    <t>Moderation team bounty - october 2023 - MC</t>
  </si>
  <si>
    <t>Moderation team bounty - october 2023 - Mudlebee</t>
  </si>
  <si>
    <t>Moderation team bounty - october 2023 - Paradox</t>
  </si>
  <si>
    <t>Moderation Team reward - October 2023 - Bounty Curator abdulbee</t>
  </si>
  <si>
    <t>Moderation Team reward - October 2023 - Bounty Curator GrizzlyAdams</t>
  </si>
  <si>
    <t>Moderation team bounty- Oct 2023- Cappex</t>
  </si>
  <si>
    <t>Moderation team bounty- Oct 2023- FrankyWild</t>
  </si>
  <si>
    <t>Moderation team bounty- Oct 2023- LV</t>
  </si>
  <si>
    <t>Moderation team bounty- Oct 2023- Mister_Cole</t>
  </si>
  <si>
    <t>Moderation team bounty- Oct 2023- PastaMan</t>
  </si>
  <si>
    <t>Moderation team bounty- Oct 2023- Tim Janssen</t>
  </si>
  <si>
    <t>General curation - Cappex - October 2023</t>
  </si>
  <si>
    <t>Educational track management - Maarmapa - September and October 2023</t>
  </si>
  <si>
    <t>Payment to Archisinal for Milestone 1</t>
  </si>
  <si>
    <t>General administration October 2023 abdulbee</t>
  </si>
  <si>
    <t>General administration October 2023 Tim Janssen</t>
  </si>
  <si>
    <t>General curation October 2023 abdulbee</t>
  </si>
  <si>
    <t>Website hosting October 2023 frankywild</t>
  </si>
  <si>
    <t>Payment to Oak Security for Starlay Finance Security Audit</t>
  </si>
  <si>
    <t>General administration Task- Pastaman - October 2023</t>
  </si>
  <si>
    <t>General administration Task- FrankyWild- October 2023</t>
  </si>
  <si>
    <t>General Curator- Grizzly- October 2023</t>
  </si>
  <si>
    <t>one-time-task- Maarmapa- October 2023</t>
  </si>
  <si>
    <t>General Administration- Oct 2023- Cmalize</t>
  </si>
  <si>
    <t>General Curation- Oct 2023- Kamala</t>
  </si>
  <si>
    <t>Task 1 - October 2023 - Pastaman</t>
  </si>
  <si>
    <t>Task 1 - October 2023 - Tim Janssen</t>
  </si>
  <si>
    <t>Task 1 - October 2023 - Frankywild</t>
  </si>
  <si>
    <t>Task 5 - October 2023 Tim Janssen</t>
  </si>
  <si>
    <t>Task 2b (DNS registrars) - October 2023 - Tim Janssen</t>
  </si>
  <si>
    <t>Maintenance of repo- October 2023- Pastaman</t>
  </si>
  <si>
    <t>Maintenance of repo- October 2023- Frankywild</t>
  </si>
  <si>
    <t>Maintenance of repo- October 2023- TimJanssen</t>
  </si>
  <si>
    <t>Payment to Decentralized Oracles - Milestone 1 - VRF</t>
  </si>
  <si>
    <t>Payment to Starlay Finance for Milestone 2</t>
  </si>
  <si>
    <t>abdulbee#4681 - Curator Reward - November 2023</t>
  </si>
  <si>
    <t>GrizzlyAdams[3/75]#4892 - Curator Reward - November 2023</t>
  </si>
  <si>
    <t>Moderation bounty- November 2023- Gr33nHatt3r</t>
  </si>
  <si>
    <t>Moderation bounty- November 2023- Maarmapa</t>
  </si>
  <si>
    <t>Moderation bounty- November 2023- MC</t>
  </si>
  <si>
    <t>Moderation bounty- November 2023- Muddlebee</t>
  </si>
  <si>
    <t>Moderation bounty- November 2023- Paradox</t>
  </si>
  <si>
    <t>Moderation team bounty - November 2023 - Cappex</t>
  </si>
  <si>
    <t>Moderation team bounty - November 2023 - LV</t>
  </si>
  <si>
    <t>Moderation team bounty - November 2023 - Mister_cole</t>
  </si>
  <si>
    <t>Moderation team bounty - November 2023 - Pastaman</t>
  </si>
  <si>
    <t>Moderation team bounty - November 2023 - Frankywild</t>
  </si>
  <si>
    <t>Moderation team bounty - November 2023 - Tim Janssen</t>
  </si>
  <si>
    <t>Java Host (Fruzhin) Phase 2 child bounty 1st tranche</t>
  </si>
  <si>
    <t>General Administration Task - Paradox - November 2023</t>
  </si>
  <si>
    <t>General Curator - Cappex - November 2023</t>
  </si>
  <si>
    <t>General Admin reward - Pastaman - November 2023</t>
  </si>
  <si>
    <t>General Admin reward - Cmalize - November 2023</t>
  </si>
  <si>
    <t>General curation reward - Grizzly - November 2023</t>
  </si>
  <si>
    <t>Maintenance of phishing repo - November 2023 - Tim Janssen</t>
  </si>
  <si>
    <t>Maintenance of phishing repo - November 2023 - Frankywild</t>
  </si>
  <si>
    <t>Maintenance of phishing repo - November 2023 - Pastaman</t>
  </si>
  <si>
    <t>General curation November 2023 Abdulbee</t>
  </si>
  <si>
    <t>Admin-Op track November 2023 Abdulbee</t>
  </si>
  <si>
    <t>Educational track October 2023 Maarmapa</t>
  </si>
  <si>
    <t>Outreach track November 2023 Grizzlyadams</t>
  </si>
  <si>
    <t>General curation- November 2023- KamalaImmaculate</t>
  </si>
  <si>
    <t>Proactive track Management-November 2023- FrankyWild</t>
  </si>
  <si>
    <t>Reactive track management- November 2023- TimJanssen</t>
  </si>
  <si>
    <t>Task 1 - November 2023 - Frankywild</t>
  </si>
  <si>
    <t>Task 1 - November 2023 - Pastaman</t>
  </si>
  <si>
    <t>Task 1 - November 2023 - Tim Janssen</t>
  </si>
  <si>
    <t>Task 5- Social media take down rewards- November 2023- TimJanssen</t>
  </si>
  <si>
    <t>Polkadot Now India - Rish Kumar - April 2023</t>
  </si>
  <si>
    <t>Events Bounty Curator Reward - Zoe Mechbach - May-August 2023</t>
  </si>
  <si>
    <t>Monetvideo Meetup Difference - Mario Maarmapa - February 2023</t>
  </si>
  <si>
    <t>Blockchain Sao Paolo difference - Mario Maarmapa - June 2023</t>
  </si>
  <si>
    <t>Payment to Bright Inventions for Milestone 2</t>
  </si>
  <si>
    <t>Full Bounty</t>
  </si>
  <si>
    <t>Execution Date</t>
  </si>
  <si>
    <t>USD Execution Date</t>
  </si>
  <si>
    <t>Fellowship Salaries</t>
  </si>
  <si>
    <t>Gov2 2023-H2 Categories</t>
  </si>
  <si>
    <t>Gov2 2024-H1 Categories</t>
  </si>
  <si>
    <t>2023-06</t>
  </si>
  <si>
    <t>Gov 2 All Time Categories &amp; Subcategories</t>
  </si>
  <si>
    <t>Gov 2 2023-H2 Categories &amp; Subcategories</t>
  </si>
  <si>
    <t>Gov 2 2024-H1 Categories &amp; Subcategories</t>
  </si>
  <si>
    <t xml:space="preserve"> Total</t>
  </si>
  <si>
    <t>Status</t>
  </si>
  <si>
    <t>USD Propose Date</t>
  </si>
  <si>
    <t>Track</t>
  </si>
  <si>
    <t>AYEs</t>
  </si>
  <si>
    <t>NAYs</t>
  </si>
  <si>
    <t>Propose Date</t>
  </si>
  <si>
    <t>hide from income statement (represented via child bounties and/or via the balance sheet)</t>
  </si>
  <si>
    <t>bounty-related</t>
  </si>
  <si>
    <t>recurring</t>
  </si>
  <si>
    <t>Notes</t>
  </si>
  <si>
    <t>ratio</t>
  </si>
  <si>
    <t>Name</t>
  </si>
  <si>
    <t>[Reject] Supposed to be Hello World</t>
  </si>
  <si>
    <t>Rejected</t>
  </si>
  <si>
    <t>OpenCommunity Governance</t>
  </si>
  <si>
    <t>SmallSpender</t>
  </si>
  <si>
    <t>Proposal</t>
  </si>
  <si>
    <t>[Whitelisted Caller] Referendum #3: Upgrade Bridge Hub to v9420</t>
  </si>
  <si>
    <t>Executed</t>
  </si>
  <si>
    <t>WhitelistedCaller</t>
  </si>
  <si>
    <t>MediumSpender</t>
  </si>
  <si>
    <t>Nomination Pool Incentives - Fixing an issue with Motion 339</t>
  </si>
  <si>
    <t>BigSpender</t>
  </si>
  <si>
    <t>Fix HostConfiguration</t>
  </si>
  <si>
    <t>Root</t>
  </si>
  <si>
    <t>Polkashots.io Cloud Costs January-April 2023</t>
  </si>
  <si>
    <t>Restructuring of Polkadot Brasil</t>
  </si>
  <si>
    <t>Aibot proposal：June 2023 - August 2023</t>
  </si>
  <si>
    <t>TimedOut</t>
  </si>
  <si>
    <t>A Common Ledger App Compatible With All Polkadot And Kusama Parachains [ retroactive funding for development ]</t>
  </si>
  <si>
    <t>Privacy Sidechains for all Substrate- Based Chains</t>
  </si>
  <si>
    <t>[Whitelisted Caller] Referendum #18 Polkadot v9430</t>
  </si>
  <si>
    <t>[Small Spender] Stakeworld's polkadot RPC and bootnode infrastructure - Q2 2023</t>
  </si>
  <si>
    <t>Treasurer</t>
  </si>
  <si>
    <t>Polkassembly's Registrar Application</t>
  </si>
  <si>
    <t>GeneralAdmin</t>
  </si>
  <si>
    <t>BigTipper</t>
  </si>
  <si>
    <t>Societal - A Homebase for Decentralized Communities</t>
  </si>
  <si>
    <t>OpenGov submission of Motion 420 - Upstream funding Matrix.org Foundation</t>
  </si>
  <si>
    <t>Encointer Treasury Proposal</t>
  </si>
  <si>
    <t>RadiumBlock seeks reimbursement for Polkadot Endpoint Service (Q4 2022 and Q1 2023)</t>
  </si>
  <si>
    <t xml:space="preserve">(Small tipper) Funding for AnimatedCrypto channel </t>
  </si>
  <si>
    <t>Next revision of increasing nomination pool limits &amp; commission</t>
  </si>
  <si>
    <t>Pinknode Public Endpoint for Polkadot in Q4 2022</t>
  </si>
  <si>
    <t>Notifi Vote RE: #1767 Notifi - Communication &amp; Notification Tooling for Polkadot's Broader Ecosystem</t>
  </si>
  <si>
    <t>[Please reject] Erroneous Referendum Submission</t>
  </si>
  <si>
    <t>Polkadot Hubs - Initiative case-study, education and support for future hubs (12 months period)</t>
  </si>
  <si>
    <t>Approve Polkadot Assurance Legion Bounty</t>
  </si>
  <si>
    <t>x</t>
  </si>
  <si>
    <t>GovernGoofed, a proposal to tackle 3 of the most challenging issues in OpenGov V1</t>
  </si>
  <si>
    <t>[Whitelisted Caller] Referendum #51: Open HRMP Channels Between System Parachains</t>
  </si>
  <si>
    <t>DAO_Terminal: Enhancing User Involvement in Polkadot Governance</t>
  </si>
  <si>
    <t>[Auction Admin] Referendum #53: Start an Auction</t>
  </si>
  <si>
    <t>AuctionAdmin</t>
  </si>
  <si>
    <t>[TAKE TWO] Next revision of increasing nomination pool limits &amp; commission</t>
  </si>
  <si>
    <t>Canceling Remaining Auctions and Introducing New Ones</t>
  </si>
  <si>
    <t>[Whitelisted Caller] Referendum #58: Increase Parachain Validators to 250</t>
  </si>
  <si>
    <t>[Reject] incorrect preimage</t>
  </si>
  <si>
    <t>A small tip for media representation</t>
  </si>
  <si>
    <t>A small chatbot for the polkadot wiki</t>
  </si>
  <si>
    <t>vote no pls , I missed preimage :(</t>
  </si>
  <si>
    <t>Treasury Proposal by 727.ventures: Polkadot Wink</t>
  </si>
  <si>
    <t>AIWeb3 Chinese Unit proposal (爱Web3 中文社区提案)  -   PLEASE REJECT THIS, the amount of KSM is not correct!</t>
  </si>
  <si>
    <t>AIWeb3 Chinese Unit proposal (爱Web3 中文社区提案)</t>
  </si>
  <si>
    <t>Security Audit of trustless Ethereum 2.0 Light Client, developed as a Substrate Pallet</t>
  </si>
  <si>
    <t>[FAULTY PREIMAGE, PLEASE REJECT] A Polkadot Ecosystem App Store</t>
  </si>
  <si>
    <t>Finsig SDK for Apple Products</t>
  </si>
  <si>
    <t>Wasm Smart Contracts Bounty #19</t>
  </si>
  <si>
    <t>Runtime Upgrade on Kusama to v9370</t>
  </si>
  <si>
    <t>canceling</t>
  </si>
  <si>
    <t>Blockops Network - Grant Proposal for the development of One-Click Parachain Deployment</t>
  </si>
  <si>
    <t>deleted</t>
  </si>
  <si>
    <t>Bounty to back Apillon Web3 development platform as a common good infrastructure</t>
  </si>
  <si>
    <t>[Staking Admin] Referendum #84: Update System Collator Sets and Configurations</t>
  </si>
  <si>
    <t>StakingAdmin</t>
  </si>
  <si>
    <t>Substrate, XCM rust technical practice videos.</t>
  </si>
  <si>
    <t>Maintenance for the substrate-api-client Feb-23 to Apr-23  -&gt; Wrong KSM PLEASE REJECT</t>
  </si>
  <si>
    <t>OnFinality Unified NFT API</t>
  </si>
  <si>
    <t xml:space="preserve">Proposal: Artificial Intelligence for security monitoring on a network level </t>
  </si>
  <si>
    <t>Specialized Learning Path of Polkadot Ecosystem for Devs</t>
  </si>
  <si>
    <t>Wrong $DOT amount, please nay</t>
  </si>
  <si>
    <t>Patron Milestones 2-7 Development</t>
  </si>
  <si>
    <t>[Retroactive] Polytope Labs: ISMP Research &amp; Development</t>
  </si>
  <si>
    <t>Polkadot journal: A Marketing Proposal for Polkadot/Kusama</t>
  </si>
  <si>
    <t>Community-Centric Blockchain Education: Dacade's Commitment to Polkadot's Growth via learning through sharing</t>
  </si>
  <si>
    <t>LayerX - rollout parachain as Trustless Bridge between Polkadot and Ethereum.</t>
  </si>
  <si>
    <t>Polkasafe - Milestone 2 - Retroactive funding proposal</t>
  </si>
  <si>
    <t>[Whitelisted Caller] Referendum #110: Update Parachain Validation Config</t>
  </si>
  <si>
    <t>Propose Curator for PAL Bounty</t>
  </si>
  <si>
    <t>PolkaWorld Ops and Maintenance proposal：2023.9 - 2023.11</t>
  </si>
  <si>
    <t>Societal: Advanced Treasury, Governance and Member Management Systems for Decentralized Communities</t>
  </si>
  <si>
    <t>Crypto-Friendly Substrate Scaffold Pallets for Every Parachains</t>
  </si>
  <si>
    <t>[Whitelisted Caller] Referendum #122: Register KSM on Asset Hub</t>
  </si>
  <si>
    <t>RadiumBlock: Retroactive funding for High Performance Public Endpoint Service for Polkadot(Q4 2022 and Q1 2023)</t>
  </si>
  <si>
    <t>Void - incorrect spend submitted</t>
  </si>
  <si>
    <t>Allocate DOT Loan for Use Amongst Cross-Ecosystem DeFi within the Cosmos Ecosystem</t>
  </si>
  <si>
    <t>Encointer Treasury Proposal (budget halving)</t>
  </si>
  <si>
    <t>Cancel Old Auctions Schedule - Replaced by New Schedule After OpenGov Inclusion</t>
  </si>
  <si>
    <t>Polkadot @ SXSW 2023, Austin, Texas on March 12th-15th 2023</t>
  </si>
  <si>
    <t>Unbrick Nodle</t>
  </si>
  <si>
    <t>Election of curation team - bounty 19: Wasm Smart Contracts Bounty</t>
  </si>
  <si>
    <t>OnFinality High Performance Public Infrastructure (Q3 2023)</t>
  </si>
  <si>
    <t>Moonbeam: Swap Leases with Parachain 3342</t>
  </si>
  <si>
    <t>Increase MaxMemoryPages to 512MB</t>
  </si>
  <si>
    <t>Refunding AlexPromoTeam GOV1 Treasury Spend Deposit</t>
  </si>
  <si>
    <t>Small Tips retroactive for Content in Portuguese UPDATED (Vote Nay - if you set AYE Change your vote to NAY)</t>
  </si>
  <si>
    <t xml:space="preserve">Ignore / Nay (Duplicate Ref) </t>
  </si>
  <si>
    <t>Notifi - Communication &amp; Notification Tooling for Polkadot's Broader Ecosystem V2 Proposal</t>
  </si>
  <si>
    <t>Bounty: The Genesis Incentive Pool</t>
  </si>
  <si>
    <t>Polkadot System Parachain Collators - Tips</t>
  </si>
  <si>
    <t>Executed_err</t>
  </si>
  <si>
    <t>Retroactive and future maintenance/development of Parachains.info</t>
  </si>
  <si>
    <t>Increase DOT media visibility through media buying and airdrop campaign</t>
  </si>
  <si>
    <t>Moderation Team Bounty Curator Proposal</t>
  </si>
  <si>
    <t>Polkadot Parachain Assets Onramp Bounty Program</t>
  </si>
  <si>
    <t>Tweak Polkadot's Ideal Staking Rate</t>
  </si>
  <si>
    <t>Need to get tip which is not executed in old gov</t>
  </si>
  <si>
    <t>Dubbing Polkadot Decoded 2023 into Italian</t>
  </si>
  <si>
    <t>Proposal for USDC Sufficiency on Polkadot Asset Hub</t>
  </si>
  <si>
    <t>Beyond Raw Data: How Polkascan Transforms Subsquid Aggregates into a User-Friendly Polkadot Experience (Polkadot Treasury Proposal)</t>
  </si>
  <si>
    <t>Featured Research Proposal: Empowering the Polkadot Ecosystem [CryptoEQ]</t>
  </si>
  <si>
    <t>Public rpc services for polkadot including the common chains in Q3 2023</t>
  </si>
  <si>
    <t>ELLIPAL Self-custody Cold Wallet 1 Proposal: DOT/KSM Tokens, Staking,ASTR &amp; GLMR Parachains&amp;Tokens,DOT/KSM/ ASTR/GLMR Swap,WalletConnect v2,Polkadot Wallet Integration</t>
  </si>
  <si>
    <t>Kuma Wallet - Milestone 5</t>
  </si>
  <si>
    <t>Removed</t>
  </si>
  <si>
    <t>Please vote against</t>
  </si>
  <si>
    <t>Polkadot Ecosystem App Store - Dynamic App Pages &amp; Project Reputation System - dotappstore.com</t>
  </si>
  <si>
    <t>💎DOT Airdrop on Terra 2.0 ✅</t>
  </si>
  <si>
    <t>Killed</t>
  </si>
  <si>
    <t>Kill Referendum 203 (Scam Referendum)</t>
  </si>
  <si>
    <t>ReferendumKiller</t>
  </si>
  <si>
    <t>Treasury Proposal: Parachain Loan Financing (PLF) Kapex Parachain</t>
  </si>
  <si>
    <t>Please ignore or disapprove!</t>
  </si>
  <si>
    <t>[Root] Referendum #208</t>
  </si>
  <si>
    <t>[Whitelisted Caller] Referendum #211: Upgrade Polkadot v1,000,000</t>
  </si>
  <si>
    <t>Cancelled</t>
  </si>
  <si>
    <t>Encointer Lease2 Treasury Proposal 2/2</t>
  </si>
  <si>
    <t>ReferendumCanceller</t>
  </si>
  <si>
    <t>KryptosChain Media (The Next Level!) - 6 Months of funding</t>
  </si>
  <si>
    <t>Proof-driven Whistleblowing: Decrease in the Number of Teams in the Ecosystem. Several Posts/Research by Rita2me.</t>
  </si>
  <si>
    <t>Proposal: Funding for the Brazilian Portuguese Language Content Producers Group</t>
  </si>
  <si>
    <t>Non-custodial DOT payments integration for major eCommerce platforms</t>
  </si>
  <si>
    <t xml:space="preserve"> [VOTE NAY - RESUBMISSION IN PROCESS] Activation and retention of developers in Turkey and India for the Polkadot Ecosystem</t>
  </si>
  <si>
    <t>Polkadot Treasury USDT Acquisition</t>
  </si>
  <si>
    <t>Enhance analytics solutions for Polkadot: Chainspect's Treasury Proposal</t>
  </si>
  <si>
    <t>Invalid: Events Bounty V2 Curator Candidacy</t>
  </si>
  <si>
    <t>Events Bounty V2 Curator Candidacy</t>
  </si>
  <si>
    <t>IBC x Largest Polkadot Developer Outreach Proposal</t>
  </si>
  <si>
    <t xml:space="preserve">Cancel Referendum 211 (runtime upgrade) due to bad call </t>
  </si>
  <si>
    <t>Cancel Referendum 241 (runtime upgrade) due to XCM issue</t>
  </si>
  <si>
    <t>Bounty Proposal: Business Prospects for Polkadot in Brazil</t>
  </si>
  <si>
    <t>VOTE NAY IN THIS PROPOSAL 251</t>
  </si>
  <si>
    <t>[Small Spender] Referendum #252: Retroractive funding for Web3 Education and Investment YouTube Channel Proposal</t>
  </si>
  <si>
    <t xml:space="preserve">Vote (NAY) Revised the Tip Proposal - Dotgraphic </t>
  </si>
  <si>
    <t>[Small Spender] Referendum #254: Retroractive funding for Web3 Education and Investment YouTube Channel Proposal</t>
  </si>
  <si>
    <t>MASON VERSLUIS - Medium to High impact Polkadot media promotion</t>
  </si>
  <si>
    <t>Addressing Polkadot's Negative Image on Twitter</t>
  </si>
  <si>
    <t>EatYourCryptos: Creation of Educational Content in Spanish on Youtube</t>
  </si>
  <si>
    <t>A Pink Proposal for $PINK</t>
  </si>
  <si>
    <t>Cancel Referendum 265 - Funding 999,999 DOT for meme coin in the name of Polkadot Marketing.</t>
  </si>
  <si>
    <t>[Whitelisted Caller] Referendum #268: Polkadot v1,000,0001</t>
  </si>
  <si>
    <t>Crypto Crow | Youtube Media Package Funding</t>
  </si>
  <si>
    <t>Clockwise Crypto | Youtube Media Package Funding</t>
  </si>
  <si>
    <t>MineYourBiz  | Youtube Media Package Funding</t>
  </si>
  <si>
    <t>Advancing Decentralization:  @asteeber's Educational Video on Runtime Upgrade</t>
  </si>
  <si>
    <t>Mind The Chart | Youtube Media Package Funding</t>
  </si>
  <si>
    <t>"Mistake in preimage - please Nay"</t>
  </si>
  <si>
    <t>SIAMO TUTTI NON FUNGIBILI | Youtube &amp; Social Media Package Funding</t>
  </si>
  <si>
    <t>Open HRMP channels: AssetHub &lt;&gt; Composable Finance &amp; AssetHub &lt;&gt; Zeitgeist</t>
  </si>
  <si>
    <t>CryptoWendyO | Youtube Media Package Funding</t>
  </si>
  <si>
    <t>Discover Crypto | Youtube Media Package Funding</t>
  </si>
  <si>
    <t>Crypto Blood | Youtube Media Package Funding</t>
  </si>
  <si>
    <t>Wrong Proposal</t>
  </si>
  <si>
    <t>Decentralized Staking Support Group</t>
  </si>
  <si>
    <t xml:space="preserve">Connecting The Dots </t>
  </si>
  <si>
    <t>AfterSide Crypto | 6 MONTHS - Youtube &amp; Social Media Package Funding</t>
  </si>
  <si>
    <t>please vote nay</t>
  </si>
  <si>
    <t>Please reject</t>
  </si>
  <si>
    <t>Quality Content Creation and P2P support - The Bitcoin Army's Orinoco Campaign</t>
  </si>
  <si>
    <t>The HGA Marketing Proposal</t>
  </si>
  <si>
    <t>Wrong Preimage please vote Nay</t>
  </si>
  <si>
    <t>VOTE NAY - WE ARE REPOSTING - Polkadot Brand Awareness Partnership with Real Vision (Raoul Pal)</t>
  </si>
  <si>
    <t>ignore - UI errors</t>
  </si>
  <si>
    <t>Polkadot's Educational Campaign India: A Wise Advice Initiative</t>
  </si>
  <si>
    <t>Effective Media Proposal Evaluation System for the Polkadot Marketing Collective/s (Stage 1: Focus on Builders)</t>
  </si>
  <si>
    <t>Easybuild. Fast Path for Future Polkadot Builders committed to building.</t>
  </si>
  <si>
    <t>Reward for Content already made on Rust</t>
  </si>
  <si>
    <t xml:space="preserve">Bounty 27 Curator Committee Proposal </t>
  </si>
  <si>
    <t>Toni Ghinea - Creating Polkadot Content</t>
  </si>
  <si>
    <t>DAPP CENTRE | Youtube Media Package Funding</t>
  </si>
  <si>
    <t>KryptosChain Short Term Funding</t>
  </si>
  <si>
    <t>#ERROR PLEASE VOTE NAY</t>
  </si>
  <si>
    <t>#ERROR PLEASE VOTE NAY!</t>
  </si>
  <si>
    <t>Bring Adoption for Companies: Empowering BlockSpace with PolkadotSDK as the Core Infrastructure</t>
  </si>
  <si>
    <t>“NacionCrypto” Establishment of Study Group and Development of Technical and Non-Technical Content.</t>
  </si>
  <si>
    <t>Posted in error please vote nay</t>
  </si>
  <si>
    <t>A 12-Month Strategic Alliance proposal: Polkadot and Cheeky Crypto Partner for Decentralized Innovation</t>
  </si>
  <si>
    <t>Building Developer Ecosystems In Turkey &amp; India</t>
  </si>
  <si>
    <t xml:space="preserve"> Crypto Sj Media proposal - Educational &amp; Awareness  Campaign in India</t>
  </si>
  <si>
    <t>DOT Request - UPDATE REJECT THIS REQUEST</t>
  </si>
  <si>
    <t>Proposed Polkadot Auction Schedule 2024</t>
  </si>
  <si>
    <t>Development &amp; Maintenance for Node Red Polkadot bridge, a Client for Low Code IoT Integration</t>
  </si>
  <si>
    <t>Polkadot Colombia Ambassadors: technology education marathon through ten universities in Colombia and one in San Salvador.</t>
  </si>
  <si>
    <t>Open HRMP channels between AssetHub and Polimec</t>
  </si>
  <si>
    <t>test</t>
  </si>
  <si>
    <t>Lark Davis - Proposal for Funding Polkadot Content Creation</t>
  </si>
  <si>
    <t>Bounty Proposal for Public RPCs for Relay and System Chains</t>
  </si>
  <si>
    <t xml:space="preserve">Cancel Ref 341 - Dolpha.com seeking 150,000 DOT </t>
  </si>
  <si>
    <t>Proposal for the Deregistration of Equilibrium Parachain</t>
  </si>
  <si>
    <t>Financial Support for Polkadot Blockchain Academy (PBA).</t>
  </si>
  <si>
    <t>Polkadot IRL ADS Campaign #1 - Out of Home Digital Billboards, Toronto Canada</t>
  </si>
  <si>
    <t>Influencer Marketing Campaign for Polkadot Community Engagement</t>
  </si>
  <si>
    <t>Funding of Polkadot System Parachain Collators</t>
  </si>
  <si>
    <t>Polkadot Music Events Initiative - onboarding fans, artists and builders to Polkadot through music</t>
  </si>
  <si>
    <t>Setting the relay chain's safeXcmVersion to v3</t>
  </si>
  <si>
    <t>BLOX MEDIA GROUP - Media Package</t>
  </si>
  <si>
    <t xml:space="preserve">Executive Search for PolkaDot - Senior BD Executive Search for PolkaDot </t>
  </si>
  <si>
    <t>Boosting NFT Education in Latin America with the Polkadot Ecosystem</t>
  </si>
  <si>
    <t>Promoting the adoption of Polkadot through Gaming - The Great Escape</t>
  </si>
  <si>
    <t xml:space="preserve">THIS PROPOSAL IS AN ERROR. PLEASE IGNORE: THE AMOUNT IS NOT CORRECT. PLEASE VOTE NAY. </t>
  </si>
  <si>
    <t>(please read the important update first) To build the Sónar +D DAO by Polkadot: How blockchain can revolutionize the music industry.</t>
  </si>
  <si>
    <t>Assigning a Curator to Bounty 32 (System Parachain Collator Bounty)</t>
  </si>
  <si>
    <t>Twitter Kols Outreach</t>
  </si>
  <si>
    <t>Error in Submission and Address</t>
  </si>
  <si>
    <t>Small tip to CultureDot for their efforts to market Polkadot at Times Square.</t>
  </si>
  <si>
    <t>Approve Current Fellowship V and VI Dan Members</t>
  </si>
  <si>
    <t>FellowshipAdmin</t>
  </si>
  <si>
    <t>Proposal: Polkadot Brand Awareness Campaign with Crypto Banter - Ran Neuner / PLEASE VOTE NAY</t>
  </si>
  <si>
    <t>Re-submission: Open HRMP channels between AssetHub and Polimec</t>
  </si>
  <si>
    <t>Web3 Association 2024 Sponsorship</t>
  </si>
  <si>
    <t>Error! Please vote NAY</t>
  </si>
  <si>
    <t>Treasury Proposal for Zeeve Wrench - an open-source Parachain Automation Framework</t>
  </si>
  <si>
    <t>Curators Candidates - Bounty #28</t>
  </si>
  <si>
    <t>Building a Polkadot Hub for DevRels, Talent Pipeline and Potential Deal Flow for the Polkadot Ecosystem from the Philippines</t>
  </si>
  <si>
    <t>Open HRMP Channels Between AssetHub And InvArch</t>
  </si>
  <si>
    <t>Upgrade Polkadot v1,001,000</t>
  </si>
  <si>
    <t xml:space="preserve"> Illustrated Book: "The Sacred Coin Quest" - Create a Collective Memory</t>
  </si>
  <si>
    <t>Proposing Curators for Bounty #31</t>
  </si>
  <si>
    <t>Encode Club x Polkadot Education Programming 2023 - A Summary Report of Tranche 4 to Request Funding for Tranche 5</t>
  </si>
  <si>
    <t>Encode x Polkadot 2024 Programming</t>
  </si>
  <si>
    <t>Update Sufficient Asset Minimum Balances</t>
  </si>
  <si>
    <t>Open HRMP channels between AssetHub and Hashed Network</t>
  </si>
  <si>
    <t>Polkadot Watchdogs Governance Monthly Incentive Referendum #1 - VOTE NAY</t>
  </si>
  <si>
    <t>Treasury Proposal: DOT liquidity loan for Bifrost DOT liquid staking token (vDOT) to be returned + DOT Staking rewards to Polkadot Treasury</t>
  </si>
  <si>
    <t>Loans</t>
  </si>
  <si>
    <t>Press Kit Polkadot 2.0</t>
  </si>
  <si>
    <t>Approval of curators for Bounty 33 (marketing bounty)</t>
  </si>
  <si>
    <t>Integrating Polkadot Blockchain for Decentralized Electric Vehicle Charging Network</t>
  </si>
  <si>
    <t>Open HRMP channels between AssetHub and Unique Network</t>
  </si>
  <si>
    <t>Clean up undecodable storage entry</t>
  </si>
  <si>
    <t>Update Polkadot Asset Hub v1,001,001 and Sufficient Asset Minimum Balances</t>
  </si>
  <si>
    <t>Cancelling Referenda 416, 428, and 443 in a batch</t>
  </si>
  <si>
    <t>[PLEASE REJECT] Bridging Minds with TEACHMEDEFI: Growing Polkadot‘s Mindshare in the Crypto Space</t>
  </si>
  <si>
    <t>Mistake in pre-image - please vote NAY</t>
  </si>
  <si>
    <t>Dota: Build up an Inscription Ecosystem on Polkadot</t>
  </si>
  <si>
    <t>De-register parachain ID 2057</t>
  </si>
  <si>
    <t>CryptoRank.io Exclusive Proposal: Empowering Polkadot’s Presence in the Crypto Sphere and Attracting New Active Users</t>
  </si>
  <si>
    <t>The Polkadot Caravan Tour: Bridging the Gap in the U.S. Crypto Landscape</t>
  </si>
  <si>
    <t>USDT and USDC Acquisition for the Treasury</t>
  </si>
  <si>
    <t>Stablecoins</t>
  </si>
  <si>
    <t>Upgrade System to v1.1.2</t>
  </si>
  <si>
    <t>Paseo - Developer Testnet Funding</t>
  </si>
  <si>
    <t>Polkalator</t>
  </si>
  <si>
    <t>Games Bounty [38]</t>
  </si>
  <si>
    <t>BD Bounty [39]</t>
  </si>
  <si>
    <t>Compensate for insufficient `phragmenElection.renounce` unreserve amount</t>
  </si>
  <si>
    <t>Tutorial Media funding for KryptosChain</t>
  </si>
  <si>
    <t>ETHDenver 2024 - Polkadot - Event Recap Video Marketing - Amplify Presence at One of the Largest Blockchain Conferences</t>
  </si>
  <si>
    <t>Formation of new space. Eliminate blockage. Developed for peace!</t>
  </si>
  <si>
    <t>Polkadot Moderation Team Bounty Top-up</t>
  </si>
  <si>
    <t>Polkadot Ambassador Program</t>
  </si>
  <si>
    <t>Refill Marketing Bounty [33]</t>
  </si>
  <si>
    <t>Setting setOnDemandQueueMaxSize to 500</t>
  </si>
  <si>
    <t>The Sónar+D DAO by Polkadot</t>
  </si>
  <si>
    <t>DeFi Infrastructure &amp; Tooling Bounty</t>
  </si>
  <si>
    <t>Bounty Proposal: Business Development Polkadot in Spain &amp; Andorra - VOTE NAY</t>
  </si>
  <si>
    <t>Dot Amplify</t>
  </si>
  <si>
    <t>Unified Wallet And Dapp Interaction</t>
  </si>
  <si>
    <t>Tip for Longtime Polkadot Supporters CryptoWise</t>
  </si>
  <si>
    <t>Set `safeXcmVersion` to 3 for AssetHub, Collectives and BridgeHub</t>
  </si>
  <si>
    <t>Polkadot Community Workspace NYC by Transistor</t>
  </si>
  <si>
    <t>Approval of curators for Bounty 39 (BD bounty)</t>
  </si>
  <si>
    <t>Approval of curators for Bounty 38 (Games bounty)</t>
  </si>
  <si>
    <t>Dot Latam Day 2023 (Retroactive)</t>
  </si>
  <si>
    <t>Open HRMP Channels between AssetHub and Crust Network</t>
  </si>
  <si>
    <t>Conor Daly - 2024 Indianapolis 500 Sponsorship</t>
  </si>
  <si>
    <t>Approved</t>
  </si>
  <si>
    <t>did not properly execute</t>
  </si>
  <si>
    <t>Marketing Bounty Flex [#41] - VOTE NAY</t>
  </si>
  <si>
    <t>Bounty Cleanup Proposal</t>
  </si>
  <si>
    <t>Polkadot Desktop Wallet Tutorial by Altcoin Daily</t>
  </si>
  <si>
    <t>Tip for Common Good Referendum Deposit Clean-up and Validator Payout Bot</t>
  </si>
  <si>
    <t xml:space="preserve">Explainer video for Polkadot 2.0 - easy and understandable </t>
  </si>
  <si>
    <t>(PLEASE REJECT) Read below if you are a PolkadotJS user</t>
  </si>
  <si>
    <t>Rising Karting Star Seeks Polkadot Partnership(withdrawn)</t>
  </si>
  <si>
    <t>Transfer the Lease of Bifrost Parachain 3356 to Bifrost Parachain 2030 to avoid downtime</t>
  </si>
  <si>
    <t>LeaseAdmin</t>
  </si>
  <si>
    <t>Polkadot marketing proposal in Chinese speaking areas</t>
  </si>
  <si>
    <t>Bounty proposal: Business Development Polkadot in Spain &amp; Andorra</t>
  </si>
  <si>
    <t>Error - Vote NAY</t>
  </si>
  <si>
    <t>Refill for marketing bounty number #33 [250k]</t>
  </si>
  <si>
    <t>1TRIBE: Africa On DOT - Phase II</t>
  </si>
  <si>
    <t>Bounty Proposal: [Spanish content and event production bounty]</t>
  </si>
  <si>
    <t>Meetups Bounty [#43]</t>
  </si>
  <si>
    <t>NOTE - Vote Nay [Incorrect Preimage]</t>
  </si>
  <si>
    <t>Inscriptions generator and marketplace (tender offer)</t>
  </si>
  <si>
    <t>Vote Nay</t>
  </si>
  <si>
    <t>POLKADOT &lt;&gt; KUSAMA BRIDGE SECURITY BOUNTY</t>
  </si>
  <si>
    <t>Retroactive Small Tips for Content (February)</t>
  </si>
  <si>
    <t>Initialize Kusama GRANDPA light-client running on Polkadot BridgeHub</t>
  </si>
  <si>
    <t>Request for transferring all the DOT from the hacker's account to the Starlay's account</t>
  </si>
  <si>
    <t>Replaced by Proposal #551 Amharic Chain Polkadot Academy to Small Spender Track</t>
  </si>
  <si>
    <t xml:space="preserve">[VOTE NAY] DED Token birthing phase: "EDs" and technical proposal | On-Demand Governance for Assets on Asset Hub. </t>
  </si>
  <si>
    <t xml:space="preserve">SHITTY PROPOSAL SORRY </t>
  </si>
  <si>
    <t>PolkaMAPS, a DOTins project</t>
  </si>
  <si>
    <t>AmharicChain Polkadot Academy</t>
  </si>
  <si>
    <t>DED Bounty - VOTE NAY</t>
  </si>
  <si>
    <t>BD Bounty (retry)</t>
  </si>
  <si>
    <t>Games Bounty (retry)</t>
  </si>
  <si>
    <t>Polkadot Hydration: Treasury LP</t>
  </si>
  <si>
    <t>Market Operations</t>
  </si>
  <si>
    <t>AMI Bounty Program</t>
  </si>
  <si>
    <t>Cancelling DED Tech Proposal, and Deferring to DED Bounty Fund</t>
  </si>
  <si>
    <t>Please vote to reject! The preimages hash is incorrect.</t>
  </si>
  <si>
    <t>Duplicate of #545 - please ignore</t>
  </si>
  <si>
    <t>Please vote to reject! The preimages hash is incorrect</t>
  </si>
  <si>
    <t>Polkadot Anti-scam Team Bounty Top-up</t>
  </si>
  <si>
    <t>Big Tip for Polkadot Brasil on X</t>
  </si>
  <si>
    <t>Increase Awareness of Polkadot On-Brand Messages via Twitter Ads (5/1/24-12/31/24)</t>
  </si>
  <si>
    <t>Polkadot Runtime Upgrade v1.1.3</t>
  </si>
  <si>
    <t>PBA referendum - vote NAY - incorrect preimage</t>
  </si>
  <si>
    <t>Request withdrawn - replaced by whitelisted caller #593</t>
  </si>
  <si>
    <t>Vote NO - Mistake in submission - New referenda coming shortly -  Polkadot @ Coindesk Consensus</t>
  </si>
  <si>
    <t>Nomination Pool: Remove max pool and max member limits</t>
  </si>
  <si>
    <t>VOTE NAY - ERROR IN PREIMAGE</t>
  </si>
  <si>
    <t>Fund system chains sovereign accounts on Polkadot BridgeHub for Polkadot&lt;&gt;Kusama bridge</t>
  </si>
  <si>
    <t>Open HRMP Channels between AssetHub and Mythos</t>
  </si>
  <si>
    <t>Error - Vote no</t>
  </si>
  <si>
    <t>Requesting a refill for marketing bounty number #33</t>
  </si>
  <si>
    <t>Proposing Curators for the DeFi Infrastructure &amp; Tooling Bounty</t>
  </si>
  <si>
    <t>VOTE NO. Mistake in submission - New referendum coming shrtly</t>
  </si>
  <si>
    <t>Lawsuit against Giotto Bounty</t>
  </si>
  <si>
    <t>Mistake vote NO</t>
  </si>
  <si>
    <t>This is a tip request for Boosting NFT Education in Latin America with the Polkadot Ecosystem</t>
  </si>
  <si>
    <t>Contribution to the Italian Polkadot Community: Funding Request</t>
  </si>
  <si>
    <t>Manta Wallet Retroactive Funding</t>
  </si>
  <si>
    <t>Setting onDemandBaseFee to 0.025 DOT</t>
  </si>
  <si>
    <t>Integration of Polkadot into ChatG (An Ai Chat Startup)</t>
  </si>
  <si>
    <t>Set BEEFY genesis (thus starting BEEFY consensus on Polkadot)</t>
  </si>
  <si>
    <t>VOTE no, wrong track</t>
  </si>
  <si>
    <t>Polkadot Growth Index 📈 and AI Insights 💡</t>
  </si>
  <si>
    <t xml:space="preserve"> Vote Nay</t>
  </si>
  <si>
    <t>Technical Support Bounty #625</t>
  </si>
  <si>
    <t>[Big Tipper] Referendum #626</t>
  </si>
  <si>
    <t>[Revision] Nomination Pool: Remove max pool and max member limits</t>
  </si>
  <si>
    <t>REJECT</t>
  </si>
  <si>
    <t>Approval of curators for Bounty 43 (Meetup bounty)</t>
  </si>
  <si>
    <t>Tip for 7 Polkadot Decentralized Voices</t>
  </si>
  <si>
    <t>Bump parachain validation timeouts</t>
  </si>
  <si>
    <t>Curators Candidates - Bounty #42</t>
  </si>
  <si>
    <t>Mythical Games and Polkadot, a proposal from Mythos Foundation Swiss</t>
  </si>
  <si>
    <t>Set Asset Rates for Treasury Assets</t>
  </si>
  <si>
    <t>CURATORS PROPOSAL FOR BOUNTY 44 - POLKADOT &lt;&gt; KUSAMA BRIDGE SECURITY BUGBOUNTY</t>
  </si>
  <si>
    <t>Polkadot.JS API UI enhancements</t>
  </si>
  <si>
    <t>Upgrade Polkadot to Release v1.2.0</t>
  </si>
  <si>
    <t>Infrastructure Builders Program Bounty</t>
  </si>
  <si>
    <t>(Vote Nay) Polkadot Ecosystem growth campaigns</t>
  </si>
  <si>
    <t>Test Proposal - Please Vote Nay</t>
  </si>
  <si>
    <t>Polkadot AmharicChain Hub: Mastering Polkadot | Empowering Learning</t>
  </si>
  <si>
    <t xml:space="preserve">Semi-Retroactive &amp; Ongoing Funding for Cryptopolitan for Media Boost, Engagement, and Reach 2024 </t>
  </si>
  <si>
    <t>Wrong amount vote nay</t>
  </si>
  <si>
    <t>Polkadot Fleet of Bikes in Paris for the Olympic &amp; Paralympic Games : A Unique &amp; Massive Marketing opportunity.</t>
  </si>
  <si>
    <t>Polkadot Drone Shows Over VELD Music Fest (100K+ Attendance) - Brand Awareness + PR Campaign</t>
  </si>
  <si>
    <t>Polkadot Dapps over Apps</t>
  </si>
  <si>
    <t>Proposal for Ensuring Continuity in Creating Content about Polkadot - VOTE NAY. THE PREIMAGE PROPOSAL IS PULLED</t>
  </si>
  <si>
    <t>Initialize Snowbridge on BridgeHub and AssetHub</t>
  </si>
  <si>
    <t>Proposal for JAM Ratification, Conformance, Performance by Polkadot Fellows</t>
  </si>
  <si>
    <t>Chainalysis analytics solutions on Polkadot Relay Network</t>
  </si>
  <si>
    <t>Proposal for Klaster Integration into the Polkadot Ecosystem</t>
  </si>
  <si>
    <t>Enable async backing on polkadot</t>
  </si>
  <si>
    <t>Curators Candidates - Bounty #40</t>
  </si>
  <si>
    <t>vote NAY</t>
  </si>
  <si>
    <t>Proposal for unlocking $PINK from Phala soverign account to sibling account</t>
  </si>
  <si>
    <t>Polkadot Bridge Hub 1.2.2 upgrade: Unstuck bridge with Kusama</t>
  </si>
  <si>
    <t>Please vote NAY</t>
  </si>
  <si>
    <t>（Wrong commit! Please vote NAY）</t>
  </si>
  <si>
    <t>error - vote NAY</t>
  </si>
  <si>
    <t>Restrict delegations on root and treasurer tracks</t>
  </si>
  <si>
    <t>WishForChange</t>
  </si>
  <si>
    <t>Approve the Polkadot EVM Collective</t>
  </si>
  <si>
    <t>Reducing duration of spending periods</t>
  </si>
  <si>
    <t>Reducing inflation - VOTE NAY</t>
  </si>
  <si>
    <t>Wrong preimage - Please vote NAY</t>
  </si>
  <si>
    <t>Test the brand-new spend() extrinsic</t>
  </si>
  <si>
    <t>NFT in Polkadot, the first book on NFTs in the Polkadot ecosystem.</t>
  </si>
  <si>
    <t>Implement Optimistic Project Funding</t>
  </si>
  <si>
    <t>VOTE NO - DUPLICATE</t>
  </si>
  <si>
    <t>Incentivize Interlay iBTC capacity as Polkadot common good</t>
  </si>
  <si>
    <t>Proposal Outdated - Do Not Vote: LAOS already won Auction 68 with SF Bid</t>
  </si>
  <si>
    <t>Establishing an Insurance Bounty to increase fiscal efficiency of Polkadot treasury</t>
  </si>
  <si>
    <t>Open HRMP channels between AssetHub and SORA</t>
  </si>
  <si>
    <t xml:space="preserve">REJECT </t>
  </si>
  <si>
    <t>Please vote NAY - Wrong preimage</t>
  </si>
  <si>
    <t>#727 Semi-Retroactive Proposal for the translation of the Polkadot Wiki to Hungarian</t>
  </si>
  <si>
    <t>Marketing support to help raise a new  US$100 Million Polkadot Ecosystem Fund</t>
  </si>
  <si>
    <t>Please, VOTE NAY</t>
  </si>
  <si>
    <t>PREMATURE UN-NOTE OF PREIMAGE - BERLIN TAXI - REFILL #1 - WILL NOT EXECUTE</t>
  </si>
  <si>
    <t>Kampela hardware cold signer productizing proposal</t>
  </si>
  <si>
    <t>Changing the curves of the referendums that were affected by extended confirmation periods</t>
  </si>
  <si>
    <t>Move Part of Treasury to Asset Hub</t>
  </si>
  <si>
    <t>Express Lane</t>
  </si>
  <si>
    <t>Empower Polkadot Playground - Educate With Game For Highschool and University</t>
  </si>
  <si>
    <t>MobilePolka: Unveiling Polkadot's Depths on the Go</t>
  </si>
  <si>
    <t>VOTE NAY</t>
  </si>
  <si>
    <t>Polkadot 2.0 Definition</t>
  </si>
  <si>
    <t>Bringing Stellar Liquidity to Polkadot: Loan DOT Collateral for Pendulum’s Spacewalk Bridge Vaults</t>
  </si>
  <si>
    <t>Propose Curator for IBP</t>
  </si>
  <si>
    <t>Should we abolish DV?</t>
  </si>
  <si>
    <t>PRE-IMAGE ERROR - VOTE NAY</t>
  </si>
  <si>
    <t>Pilot MOU Proposal for a Collaboration between the Polkadot Ecosystem and the Founder Institute:</t>
  </si>
  <si>
    <t>Replacing curators for events bounty 17</t>
  </si>
  <si>
    <t>Replacing curators for event bounty 17 (backup)</t>
  </si>
  <si>
    <t>Make DED the official meme coin of Polkadot</t>
  </si>
  <si>
    <t>dotafair: Fair Launch Chain,  A zero-threshold Fair Launch platform aims to build a DOT-based public benefit chain ecosystem, adding more use cases and adoption for DOT.</t>
  </si>
  <si>
    <t>Pease VOTE NAY, parameter is wrong</t>
  </si>
  <si>
    <t>Kinera, a Decentralised Media Platform [CANCELLED]</t>
  </si>
  <si>
    <t xml:space="preserve">Events Bounty Top Up Proposal </t>
  </si>
  <si>
    <t>Events</t>
  </si>
  <si>
    <t>Proposal for the Development of SubstrateSQL Server</t>
  </si>
  <si>
    <t>Ignore - superceded by 781</t>
  </si>
  <si>
    <t>DOT Experts Tip for OnlyDeFiGuy for Proposal #684 Chainalysis analytics solutions in DOT</t>
  </si>
  <si>
    <t>DOT Experts Tip for OnlyDeFiGuy for Proposal #684 Chainalysis analytics solutions in USD</t>
  </si>
  <si>
    <t>VOTE NAY, WRONG PRE-IMAGE</t>
  </si>
  <si>
    <t>Chainalysis analytics solutions on Polkadot Network</t>
  </si>
  <si>
    <t>Cancel Chainanalysis ref</t>
  </si>
  <si>
    <t>Cancel root ref #693</t>
  </si>
  <si>
    <t>Proposal for DED Bounties: Revitalizing Community Engagement</t>
  </si>
  <si>
    <t>Polkadot Relayers Incubator 2024</t>
  </si>
  <si>
    <t>failed to execute</t>
  </si>
  <si>
    <t>[Whitelisted Caller] Upgrade Polkadot v1.2.4</t>
  </si>
  <si>
    <t>Beamex PERPadot: DOT LP Depth Loan, a significant DOT liquidity depth on Beamex Perpetual Exchange</t>
  </si>
  <si>
    <t xml:space="preserve">Beamex PERPadot: Liquidity Incentives  program to attract liquidity and onboard new users to the Polkadot ecosystem via Perpetual Trading </t>
  </si>
  <si>
    <t>Polkadot Dapps over Apps (REVISED)</t>
  </si>
  <si>
    <t>Inclusion of Moonbeam in marketing narratives</t>
  </si>
  <si>
    <t>Curators Candidates - Bounty #49</t>
  </si>
  <si>
    <t>Ecosystem Test Environment Bounty</t>
  </si>
  <si>
    <t>Polkadot Education Program for Top Ethiopian Universities.</t>
  </si>
  <si>
    <t>Automated Reward Payout Initiative</t>
  </si>
  <si>
    <t>Pre-Image error vote NAY</t>
  </si>
  <si>
    <t>12 Months of Polkadot Advertising on Spotify x 2 Ad Campaigns</t>
  </si>
  <si>
    <t>Pre-Image error, vote NAY</t>
  </si>
  <si>
    <t>error vote no</t>
  </si>
  <si>
    <t>#814 Proposal: Promotion to "VII Dan: Free Master" for Gavin Wood - Evidence below</t>
  </si>
  <si>
    <t>*UPDATED* Polkadot Drone Show + NFT Drop Over VELD Music Fest (100K+ Attendance) - Brand Awareness + PR Campaign</t>
  </si>
  <si>
    <t>Proposal: Adding More Auctions For LP18 On Polkadot</t>
  </si>
  <si>
    <t>Referendum #819 for the Polkadot UX Bounty</t>
  </si>
  <si>
    <t>Title Sponsorship at the Crypto AI Summer Conference</t>
  </si>
  <si>
    <t>Referendum #822 - Refill for marketing bounty number #33</t>
  </si>
  <si>
    <t>Deciding</t>
  </si>
  <si>
    <t>Vote Nay. Is a toturial about How to Request Stable asset USDT, USDC</t>
  </si>
  <si>
    <t>AssetX the new Polkadot Asset Hub DEX</t>
  </si>
  <si>
    <t xml:space="preserve"> Cancelling treasury proposal #774</t>
  </si>
  <si>
    <t>Revolutionizing Social Media for a Better Internet</t>
  </si>
  <si>
    <t>PLEASE VOTE NAY</t>
  </si>
  <si>
    <t>StorageHub’s Codebase Audit</t>
  </si>
  <si>
    <t>Confirming</t>
  </si>
  <si>
    <t>Referendum 631 top up due to DOT price change</t>
  </si>
  <si>
    <t>Funding the Technical Fellowship Sub-Treasury</t>
  </si>
  <si>
    <t>VIRTUNE AB X POLKADOT - ETP CAMPAIGN, SWEDEN &amp; THE NORDICS</t>
  </si>
  <si>
    <t>Inclusion of DED in marketing narratives</t>
  </si>
  <si>
    <t>Retroactive Sponsorship Reimbursement for Polkadot CCTF Yacht event at Token 2049, Dubai</t>
  </si>
  <si>
    <t>Please vote Nay</t>
  </si>
  <si>
    <t xml:space="preserve">BD &amp; Marketing Proposal. Polkadot as the preferred network of chains for digitizing financial assets and similar real world assets </t>
  </si>
  <si>
    <t>Polkadot Education - Polkadot Onboarding for Business</t>
  </si>
  <si>
    <t>Treasury proposal for renewal of API licenses for Blockexplorers</t>
  </si>
  <si>
    <t>Vote NAY</t>
  </si>
  <si>
    <t>Upgrade Polkadot v1.2.5</t>
  </si>
  <si>
    <t>RE-SUBMISSION OF REF #734 - BERLIN TAXI REFILL</t>
  </si>
  <si>
    <t>Decoded 2024:  PopUp Hub for the community</t>
  </si>
  <si>
    <t>VOTE NAY - ERROR PREIMAGE</t>
  </si>
  <si>
    <t>Volatility adjustment for REF651 and REF742</t>
  </si>
  <si>
    <t>Kudos: Unlocking the Full Potential of Polkadot’s Developer Community</t>
  </si>
  <si>
    <t>JUST Retroactive Compensation for Contributions to the Polkadot Ecosystem</t>
  </si>
  <si>
    <t>.</t>
  </si>
  <si>
    <t>Fixed Maximum Supply for Fiscal Certainty</t>
  </si>
  <si>
    <t>lol - NAY</t>
  </si>
  <si>
    <t>please vote no, wrong preimage</t>
  </si>
  <si>
    <t>Inclusion of Hydration in marketing narratives</t>
  </si>
  <si>
    <t xml:space="preserve">Polkadot London Event - Dawn of RWAs </t>
  </si>
  <si>
    <t>Reduce minBalance of USDT/C to 0.01</t>
  </si>
  <si>
    <t>Queueing</t>
  </si>
  <si>
    <t>Polkadot Head Ambassador Application: six / David Pethes</t>
  </si>
  <si>
    <t>six / David Pethes</t>
  </si>
  <si>
    <t>Polkadot Head Ambassador Application: Leemo</t>
  </si>
  <si>
    <t>Leemo</t>
  </si>
  <si>
    <t>Polkadot Head Ambassador Application: Ezio Rojas</t>
  </si>
  <si>
    <t>Ezio Rojas</t>
  </si>
  <si>
    <t>Head Ambassador Application: Max Rebol</t>
  </si>
  <si>
    <t>Max Rebol</t>
  </si>
  <si>
    <t>Inclusion of Novasama Technologies' Products in Marketing Narratives</t>
  </si>
  <si>
    <t>Polkadot Head Ambassador Application: Albert(I Love Cripto)</t>
  </si>
  <si>
    <t>Albert(I Love Cripto)</t>
  </si>
  <si>
    <t>Polkadot Head Ambassador Application: Irina Karagyaur</t>
  </si>
  <si>
    <t>Irina Karagyaur</t>
  </si>
  <si>
    <t xml:space="preserve">(EDIT) VOTE NAY </t>
  </si>
  <si>
    <t>Preimage removed - referendum revoked</t>
  </si>
  <si>
    <t>Incognitee: Productive Privacy Sidechains for DOT, KSM and all Substrate-Based Chains</t>
  </si>
  <si>
    <t>Polkadot Head Ambassador Application: Alice und Bob</t>
  </si>
  <si>
    <t>Alice und Bob</t>
  </si>
  <si>
    <t>Polkadot Head Ambassador Application: Michiko Watanabe</t>
  </si>
  <si>
    <t>Michiko Watanabe</t>
  </si>
  <si>
    <t>[Whitelisted Caller] Upgrade Polkadot: v1.2.6</t>
  </si>
  <si>
    <t>Polkadot Head Ambassador Application: William</t>
  </si>
  <si>
    <t>William</t>
  </si>
  <si>
    <t>Polkadot Head Ambassador Application: Abdulbee</t>
  </si>
  <si>
    <t>Abdulbee</t>
  </si>
  <si>
    <t>Top-up of Proposal #87 due to DOT price change</t>
  </si>
  <si>
    <t>#876 Polkadot Head Ambassador Application: Lorena (Blockya)</t>
  </si>
  <si>
    <t>Lorena (Blockya)</t>
  </si>
  <si>
    <t>Proposal: Expanding the Polkadot ecosystem with Polkadot for Beginners (book) v2</t>
  </si>
  <si>
    <t>Wrong pre-image, please vote NO</t>
  </si>
  <si>
    <t>Preparing</t>
  </si>
  <si>
    <t>Polkadot Head Ambassador Application: Zoé</t>
  </si>
  <si>
    <t>Zoé</t>
  </si>
  <si>
    <t>Polkadot Head Ambassador Application: Mario Altenburger</t>
  </si>
  <si>
    <t>Mario Altenburger</t>
  </si>
  <si>
    <t>cl0w for security</t>
  </si>
  <si>
    <t>Polkadot Head Ambassador Application: Remy</t>
  </si>
  <si>
    <t>Remy</t>
  </si>
  <si>
    <t>Requesting "Top Up" of Ref #601 due to DOT price change</t>
  </si>
  <si>
    <t>[Fellowship Admin] Referendum #884</t>
  </si>
  <si>
    <t>Should we allow EVM compatible contracts on Asset Hub?</t>
  </si>
  <si>
    <t>Kampela Productizing Proposal, Redux</t>
  </si>
  <si>
    <t>Resubmission of Promotion to "VII Dan: Free Master" for Gavin Wood - Evidence below</t>
  </si>
  <si>
    <t>Enable approval voting protocol improvements</t>
  </si>
  <si>
    <t xml:space="preserve">Polkadot Head Ambassador Application: Angelina </t>
  </si>
  <si>
    <t>Angelina Kakiiza (Dubai, UAE)</t>
  </si>
  <si>
    <t>[Whitelisted Caller] Make WETH asset sufficient and set asset metadata</t>
  </si>
  <si>
    <t>Please vote Nay - Technical issues with Pure Proxy</t>
  </si>
  <si>
    <t>Mexican Collective</t>
  </si>
  <si>
    <t>Proposal: OpenZeppelin x Polkadot Ecosystem Growth Phase M3</t>
  </si>
  <si>
    <t>Asia Blockchain Summit 2024 Sponsorship</t>
  </si>
  <si>
    <t>Inclusion of Dot Code School in Marketing Narratives</t>
  </si>
  <si>
    <t>Requesting "Top Up" of Approved Ref #644 due to DOT price change</t>
  </si>
  <si>
    <t>[Whitelisted Caller] Update Max HRMP Channels</t>
  </si>
  <si>
    <t>2024 Polkadot Hackathons (September 2024 in Singapore and November 2024 in Bangkok)</t>
  </si>
  <si>
    <t xml:space="preserve">pre-image pulled </t>
  </si>
  <si>
    <t>Revised Proposal: Polkadot Sponsorship of traditional Family Office Investment Conference Series</t>
  </si>
  <si>
    <t>Head Ambassador Proposal for Polkadot - Georgi #900</t>
  </si>
  <si>
    <t>Georgi</t>
  </si>
  <si>
    <t>PLEASE VOTE NAY 😅</t>
  </si>
  <si>
    <t>Polkadot Head Ambassador Application: Mexican Collective</t>
  </si>
  <si>
    <t>PolkaVM Solidity IDE</t>
  </si>
  <si>
    <t>"Reward Mode" - Unlocking Gaming Rewards with Polkadot.  TapNation is introducing 734,366 new users to the Polkadot ecosystem, adding 73,437 new wallets every month throughout the partnership period.</t>
  </si>
  <si>
    <t>Please reject.</t>
  </si>
  <si>
    <t>Hope Clary For Head Ambassador Team</t>
  </si>
  <si>
    <t>Establish a rule for "top up"</t>
  </si>
  <si>
    <t>Polkadot Head Ambassador Application:  Rish</t>
  </si>
  <si>
    <t>Polkadot Head Ambassador Application | Cris, Patricia, Tin</t>
  </si>
  <si>
    <t>Treasury Proposal: Polkadot Bounty Manager UI Development</t>
  </si>
  <si>
    <t>Full Disclosure for Head Ambassador Sponsorship - Whistle-Blower Series Part 1</t>
  </si>
  <si>
    <t>Referendum 912 posted on the wrong track</t>
  </si>
  <si>
    <t>Ecosystem Agent Tip for Adam Steeber's bounty &amp; multisig tutorial</t>
  </si>
  <si>
    <t>Top Up | RegionX Coretime Marketplace for Polkadot</t>
  </si>
  <si>
    <t>Referendum for PolkaDotJobs.xyz: A Polkadot Native Job Board Provided as a Public Good</t>
  </si>
  <si>
    <t>Dot Play Bounty</t>
  </si>
  <si>
    <t>PROPOSAL -  FHE-WASM Research and Development for the Polkadot Ecosystem</t>
  </si>
  <si>
    <t>Removing curators from Spanish bounty</t>
  </si>
  <si>
    <t>Refill for marketing bounty number #33 - 500k DOT</t>
  </si>
  <si>
    <t>Polkadot Head Ambassador Application: Adam Clay Steeber 🇺🇸</t>
  </si>
  <si>
    <t xml:space="preserve">Polkadot User Segments &amp; Conversions 👨‍👩‍👧‍👦 for Ink!, Pallets &amp; XCM </t>
  </si>
  <si>
    <t>Removing curators from Games Bounty [38]</t>
  </si>
  <si>
    <t>Polkadot Head Ambassador for Gaming Application - Angie Dalton</t>
  </si>
  <si>
    <t>KAGOME – the C++ implementation of Polkadot Host milestone 3</t>
  </si>
  <si>
    <t>status</t>
  </si>
  <si>
    <t>USD Proposal Time</t>
  </si>
  <si>
    <t>beneficiary</t>
  </si>
  <si>
    <t>proposal_time</t>
  </si>
  <si>
    <t>inherited Category</t>
  </si>
  <si>
    <t>inherited Subcategory</t>
  </si>
  <si>
    <t>half-year</t>
  </si>
  <si>
    <t>Claimed</t>
  </si>
  <si>
    <t>1FgdNoPRwo8oUsGVxWyivf3eyAvCF1NsBecZhbYU1Kb5HGx</t>
  </si>
  <si>
    <t>Added</t>
  </si>
  <si>
    <t>Dart and Task Management Rewards - Hector -  May 2024</t>
  </si>
  <si>
    <t>157syWyZt7yPWbSPpjmVhzeYHA8pc3kk8eV1qUnHrAXeWJCU</t>
  </si>
  <si>
    <t>PolkadotxBlockchaincon2024</t>
  </si>
  <si>
    <t>13gzrNGhMUZpVsuH3rBTt9g3CJrs7iRVHagKicb3GD6RbppB</t>
  </si>
  <si>
    <t>Spanish Bounty CE_37</t>
  </si>
  <si>
    <t>1qAsfc59XsRLiy3DZfc4buS4umW6Q4xaJcWALj1eguZTi75</t>
  </si>
  <si>
    <t>15akZwzufEzFzfh18y4Q81Ci8TXyvH6hyUkRrxJED2MjEYhe</t>
  </si>
  <si>
    <t>Active</t>
  </si>
  <si>
    <t>Amended Zapper Integration for Astar, Moonbeam, Acala and HydraDX Milestone 1</t>
  </si>
  <si>
    <t>Amended Ramp Network AssetHub Integration and Parachain on-ramps</t>
  </si>
  <si>
    <t>Amended KuCoin AssetHub Integration</t>
  </si>
  <si>
    <t>Java Host (Fruzhin) Phase 2 child bounty second tranche</t>
  </si>
  <si>
    <t>1HomBzZwkpQjhm3e9hQJ2AVFPmV4Ppon9ycCo91bh88xmGn</t>
  </si>
  <si>
    <t>Meetup - Polkapizza Lisbon, Portugal</t>
  </si>
  <si>
    <t>12WQMLv8itdKJ83R4y3qNGYCRrsU6bFjyd4ZvcE4tmJoSiPv</t>
  </si>
  <si>
    <t>centrifuge-cantina-2405</t>
  </si>
  <si>
    <t>12wnTQnY3qUTCofi792fTdf9HpQQ6jmyxrVdwyT6X2Jed4Yg</t>
  </si>
  <si>
    <t>16Hw2qwttttQ8tMCPLwnX3wegtsaTYD9gGakKbAHDb9PW3g5</t>
  </si>
  <si>
    <t>14jHouxT1VbhBDw93VW8Z89p139Qgu7ECHz3zxM2CpQEDJDB</t>
  </si>
  <si>
    <t>15Fyr14f5Eq9xxioo2JoNw53eZnCJNZBrob8ZYuXz4DTTouP</t>
  </si>
  <si>
    <t>1pHpxvp2CYscDreozYQdBkJkUkLFQftxQTAwMs5M1a6GRBf</t>
  </si>
  <si>
    <t>13YWynHAu8F8uKZFbQwvPgJ67xizvo21HCEQU3Ke8z1XHoyT</t>
  </si>
  <si>
    <t>12owmS8Sobqxfx6KK9vk9e67FqnGpZdmxCFCRFptzZdsoujC</t>
  </si>
  <si>
    <t>14EQvBy9h8xGbh2R3ustnkfkF514E7wpmHtg27gDaTLM2str</t>
  </si>
  <si>
    <t>15MV2nX6BEoiBz8Ua2xNta19sVBKT7kiw2MEHdu2Jd9a4VaC</t>
  </si>
  <si>
    <t>16WWmr2Xqgy5fna35GsNHXMU7vDBM12gzHCFGibQjSmKpAN</t>
  </si>
  <si>
    <t>13Jpq4n3PXXaSAbJTMmFD78mXAzs8PzgUUQd5ve8saw7HQS5</t>
  </si>
  <si>
    <t>13xAUHVDyG1v9LLHYtMm7XZFyKNVxoj47oWV431XQ9kjXN38</t>
  </si>
  <si>
    <t>13TUNfEBCi6xw5ZQgxYAwbCsALSuDfqDWMfbHigZNgncuV6v</t>
  </si>
  <si>
    <t>13JsTxizvEUEeewFagowtFQaWpHbADWCoSkTGAY7QTSkvtWF</t>
  </si>
  <si>
    <t>12ELL9BzwsGGM948o3cBduLgxuBwpC6eUmgExTGnXqSfikqq</t>
  </si>
  <si>
    <t>15V2eerTdn7GwAudPkLiWWq7PJdZinx7Lx7qSq9nTNTBHi2j</t>
  </si>
  <si>
    <t>13pgVrB53DyS7wLeGWkDYUSBYBTageJDjEqXLqxsqJBismsV</t>
  </si>
  <si>
    <t>15XF37GkxgRJakURR4jycdrJnqWQctT5yUPzqLn81TZmwBDF</t>
  </si>
  <si>
    <t>15vvAhHcmop8PjP5QNr3mXzX1oesv6vjun25iSgMe9YpDezv</t>
  </si>
  <si>
    <t>14Gn7SEmCgMX7Ukuppnw5TRjA7pao2HFpuJo39frB42tYLEh</t>
  </si>
  <si>
    <t>16Lcg6kZiDywR3YEHDdi6nHQhGnCYTiE2gxQ92DDQq2SZ1PQ</t>
  </si>
  <si>
    <t>14aGNTNA9RMbuy73V8LJRCNszmBtiiKEmYZjdXp4GFNo1fpt</t>
  </si>
  <si>
    <t>16dApD2ox2qV2mA3u2xiR72kyAGE7MLbDxepZUFkcSJz3Gmw</t>
  </si>
  <si>
    <t>12jNpcKMqYbiDhucsr6TDrto3MdRtrBLbuDvTh3FprZeVbpb</t>
  </si>
  <si>
    <t>14dfHJDm27ep5eAtgXqr1wjUYnK3p5LhgzLcYVX3tHRFsVo9</t>
  </si>
  <si>
    <t>14gL78nk3rVZamwGg33VuEa1koYC3rcoymFcPGXKbJ7JKyHZ</t>
  </si>
  <si>
    <t>167xwLzY4z3uNBMQSdDJmPnLgPKBY1SRsvQXbyaeHcnwd4um</t>
  </si>
  <si>
    <t>PendingPayout</t>
  </si>
  <si>
    <t>LuckyFriday.io produced 16226/16297 blocks; SR: 14.9439, CR: 41.9807</t>
  </si>
  <si>
    <t>Reward for curator (pastaMan) as a portion from total 596.0525</t>
  </si>
  <si>
    <t>14tcZ9ibPGdMwb7XXE4QChgVuJU1xXTvDFpV3E1HpMajbBsH</t>
  </si>
  <si>
    <t>0xf09fa78a2049636562657267204e6f64657320f09fa78a2070726f64756365642031343138322f313631373620626c6f636b733b2053523a2031332e313539312c2043523a2033362e39363639</t>
  </si>
  <si>
    <t>14icei1ZMoG9QtKBFDk4y1eMR756q2TREuRAi2BanJ9MJVPL</t>
  </si>
  <si>
    <t>0x506f6c6b61646f74746572735ce29b93434f52452070726f64756365642031353830382f313631373620626c6f636b733b2053523a2031342e363637382c2043523a2034312e32303532</t>
  </si>
  <si>
    <t>LuckyFriday.io produced 16112/16176 blocks; SR: 0 (Invulnerable), CR: 41.9976</t>
  </si>
  <si>
    <t>DPSTK produced 15818/16176 blocks; SR: 0 (Invulnerable), CR: 41.2313</t>
  </si>
  <si>
    <t>14xSXydBVvuMMaNduDXwWcckt3BziSB8Sa7o34Jt9z2aMGxX</t>
  </si>
  <si>
    <t>Staker Space\Statemint produced 14796/16176 blocks; SR: 0 (Invulnerable), CR: 38.5673</t>
  </si>
  <si>
    <t>14wQoaBqk718MgNxp3qdpqHnEgmTTmTkcVnYuxMWWvYr3DXb</t>
  </si>
  <si>
    <t>Chris-Staking\bridgehub produced 16176/16176 blocks; SR: 15.0093, CR: 42.1644</t>
  </si>
  <si>
    <t>14fbxKv81FF9wxyidiD4jrYokbF428KJBrB5DsgipQp6Yrmm</t>
  </si>
  <si>
    <t>Sik | crifferent.de produced 14212/16176 blocks; SR: 13.1870, CR: 37.0451</t>
  </si>
  <si>
    <t>15wepZh1jWNqxBjsgErm8HmYiE21n79c5krQJeTsYAjHddeM</t>
  </si>
  <si>
    <t>Lucky Friday Bounty 50 payouts https://github.com/ibp-network/ChildBounties</t>
  </si>
  <si>
    <t>14AakQ4jAmr2ytcrhfmaiHMpj5F9cR6wK1jRrdfC3N1oTbUz</t>
  </si>
  <si>
    <t>1ArdZJtNUrZsfidfn1t69xHaSWwzf6PQNdLEUpcnVmbkZc5</t>
  </si>
  <si>
    <t>13GtCixw3EZARj52CVbKLrsAzyc7dmmYhDV6quS5yeVCfnh1</t>
  </si>
  <si>
    <t>1MrurrNb4VTrRJUXT6fGxHFdmwwscqHZUFkMistMsP8k5Nk</t>
  </si>
  <si>
    <t>Turboflakes Bounty 50 payouts https://github.com/ibp-network/ChildBounties</t>
  </si>
  <si>
    <t>15XG22uwqzdqWuBV91zBEfdgZ9UK9eCff4sTBHH6hTvLQKAi</t>
  </si>
  <si>
    <t>14d2kv44xf9nFnYdms32dYPKQsr5C9urbDzTz7iwU8iHb9az</t>
  </si>
  <si>
    <t>1y6CPLgccsysCEii3M7jQF834GZsz9A3HMcZz3w7RjGPpBL</t>
  </si>
  <si>
    <t>15iA5hpjUecWBbf38Nfegwmtyux25o3LrGaNodfZDxq5nXXE</t>
  </si>
  <si>
    <t>123kFHVth2udmM79sn3RPQ81HukrQWCxA1vmTWkGHSvkR4k1</t>
  </si>
  <si>
    <t>16ce9zrmiuAtdi9qv1tuiQ1RC1xR6y6NgnBcRtMoQeAobqpZ</t>
  </si>
  <si>
    <t>1EHRUR7YL8aeqeCT4LGFq9qrTpEiH1dCikh3n2j1CSbL2c8</t>
  </si>
  <si>
    <t>1333zsMafds2sKAr8nG3zwXTCHPYv2Nm6CRgakpu6YVGt7nM</t>
  </si>
  <si>
    <t>15JNnCt8g2ZmHHs1UMNxx6YUUMf6zvK6DwtN8ds4Lu1NWWER</t>
  </si>
  <si>
    <t>12e7u2ZtFo9Fxp3ZQhTqJHV619AyntdXwghKzkyWk4XFU4Sj</t>
  </si>
  <si>
    <t>1U9NbBVpku7VYWtGE5CFTyyaTVTNBrfyXDNETK89uGDD6wm</t>
  </si>
  <si>
    <t>1TtCbdG7LjYwry8bYK6zV3xq2XAnXod4jf2htxH2NE1Wf2Q</t>
  </si>
  <si>
    <t>12upgS3u7rhcWSFCXuv2GFzvXvW6Qf2YKajZUnMBxz3LPjEi</t>
  </si>
  <si>
    <t>12itHPhSz9YKzydpCBPSxewfAJYZuReRPTP5qSuD5LPSeA41</t>
  </si>
  <si>
    <t>15PvcMShyUasPpKKTpgJckBbcdDNz1k52NWGfahVXP5ZSSh1</t>
  </si>
  <si>
    <t>13dLY5aynbYDCy1DxQYQGjd4yy5uSeVtA4pLdR7SrcxZyvT1</t>
  </si>
  <si>
    <t>15LpomjmegxcrVwT7zDPvScWtx6FVYoTLxEkSzqwr3po9TCc</t>
  </si>
  <si>
    <t>Radium Block Q1 &amp; Q2 https://github.com/paseo-network/payouts/issues/19 &amp; https://github.com/paseo-network/payouts/issues/18</t>
  </si>
  <si>
    <t>Dwellier Q1 &amp;Q2 https://github.com/paseo-network/payouts/issues/17 &amp; https://github.com/paseo-network/payouts/issues/16</t>
  </si>
  <si>
    <t>12uRdiaA7utebXJBBgDNCPswvTxzTdHLd8hZDUJWL1rwcvzz</t>
  </si>
  <si>
    <t>April/May Curator Awards Zoe</t>
  </si>
  <si>
    <t>146ZZqm2cMHLf3ju7oc8M9JnPaAktuADAKThagKnXqzjPJbZ</t>
  </si>
  <si>
    <t>April/May Curator Awards Hutch</t>
  </si>
  <si>
    <t>14oK8ctVWT9D1xdaN3hcHz5RBMDFfzQ6vXBpNaZj8v83TnWA</t>
  </si>
  <si>
    <t>13DxmMjYqto1AWsMUSkN8JYNHX6d2vBhuSmapB5iYnEiYaxX</t>
  </si>
  <si>
    <t>15WPvoetNGCk6EyQbCodKAZFqrs2Q4Dk9d3k3Lk2F9nsiYUK</t>
  </si>
  <si>
    <t>Canceled</t>
  </si>
  <si>
    <t>Zapper Integration for Astar, Moonbeam, Acala and HydraDX Milestone 1</t>
  </si>
  <si>
    <t>Zapper Integration for Astar, Moonbeam, Acala and HydraDX</t>
  </si>
  <si>
    <t>Ramp Network AssetHub Integration and Parachain on-ramps</t>
  </si>
  <si>
    <t>KuCoin AssetHub Integration</t>
  </si>
  <si>
    <t>13eEKEbD3hvRJy1THBopwV3MrLjyGyND1gSb8H5UuXxDYTRV</t>
  </si>
  <si>
    <t>14zKb5ZByuhLHEiwQFSDHmXovf3mUi8aeC5dHLZFqUo5rpef</t>
  </si>
  <si>
    <t>14ay13nhw4QcqrHqWM75gXhVaZTZ5Qe7GUXiv8iueBzeHAwP</t>
  </si>
  <si>
    <t>14R3uMgjsv4sZ6B5mp1HTL2it1EmJbBST7P7DjSiqwrYbnmr</t>
  </si>
  <si>
    <t>12rgvnVZa3ci6hD9xMSn2qQZV6xkdc4Fb2ja2MPVQEodH3Cz</t>
  </si>
  <si>
    <t>12oRVrKXBq1S4T1onxBEzqdpR5V1Uf8yE31dbuDZfQ8sGLWo</t>
  </si>
  <si>
    <t>12mDFyhRGnP9LsL56GjP65QxFNgCUxFuNZQQG4DSxtR3Tgm7</t>
  </si>
  <si>
    <t>12cnYWf4NvJVmuPFM8kQzc9CAM8Qtey1PvvxGDFd5aJ799XN</t>
  </si>
  <si>
    <t>12WSnw6ocUpUFLGVvJwXoXRK9Gk7AC8AZ7cXkRakUgAjzLyx</t>
  </si>
  <si>
    <t>12P1AJysFNNjDtTuXndBydMkcHZRjJxbw6zz1AgLhvA3JySd</t>
  </si>
  <si>
    <t>12EhX2KXrzWqTtU5pENPyFrFrZfUgj7DouvTMU4FQ9Tfe6m3</t>
  </si>
  <si>
    <t>1EvYZwJ25wgUzMqJ61AadwTtaHr6BVosPcyK4goohUDqmjY</t>
  </si>
  <si>
    <t>13B5zGLfXBhRpiQ1xcnsNeqbHHcRRRpBCL41xCJxdYmYoHdW</t>
  </si>
  <si>
    <t>11Ft2vZgZGuLyn9pZGSVDzYFkYQq2E23ywzRcJ6t2EdzkMA</t>
  </si>
  <si>
    <t>1249Qsh72ZcXFjLEDKAp879SfmFpzQMqb1qQKcfkdZgqbt3a</t>
  </si>
  <si>
    <t>12dR4JYh1iPkaJXLSTbqz9iUpm6diRces6wJ6SAjkhmnwixN</t>
  </si>
  <si>
    <t>1emX4nsNHZwbbCej7UMC8gKNpXoy1K3ABwRmnVJLg5Z2PU6</t>
  </si>
  <si>
    <t>12bprALAt9PYJ5gqcLpLfevnGH1Lfwnkk5CyZYaWqatGJ37i</t>
  </si>
  <si>
    <t>1BqHUUwZ6kuRhFZTdbhPwSmwxVnGdCVJTsUf1FU2DXWtEwc</t>
  </si>
  <si>
    <t>Content creation May - H3ct0r4lph4</t>
  </si>
  <si>
    <t>14zUPG9wpRdfNGLJqU2xcABBxXStd5d4TP8GHz2CFFZSbD4A</t>
  </si>
  <si>
    <t>15cZn8K1DaE7qiBWK6mGFJMKYKjFrALTVwe5urpD9PzKSsPY</t>
  </si>
  <si>
    <t>15D2JM548bqRuE45aDmeF2WqiKC56WtNnRmCxVSree9YKwVb</t>
  </si>
  <si>
    <t>Translation TT 13</t>
  </si>
  <si>
    <t>1yCg8NSCgjS4K5KDK5DZGhxUCxmgVyhyG6vBPn5wqUmLuYo</t>
  </si>
  <si>
    <t>written content CE 22</t>
  </si>
  <si>
    <t>1vfmouKGWQEJSpUWRqYrYLZ865ps6M7TDSu5kgfSV6tPxLf</t>
  </si>
  <si>
    <t>14BA8G99RW6xxgu4q3Ks5GVQaA5g4wApn4JPeXbLiEU2Pent</t>
  </si>
  <si>
    <t>14DjaZJk7hXERyrvdoguLiuXeoagHPJFqiRiHNfeTNRohHVx</t>
  </si>
  <si>
    <t>12aj1nedSqMsVhAH5LyYJtjKPNrFWYoEh4FeGmWW2aS4DQQh</t>
  </si>
  <si>
    <t>1WgB9o954mkQi97f36azSwDt7SfRUQuJ1kCyb7Sv1WAUcSe</t>
  </si>
  <si>
    <t>1qr2Xp6Yp94NRvTm4HbVDVZSRBFUnDkVxUjCvRfCyA2JYhh</t>
  </si>
  <si>
    <t>1R9CkkELVZMhVjEMnMoxYAwyEo2riFgBWdt5BLk6BB6rN68</t>
  </si>
  <si>
    <t>1gkGXWr2wr1CqYCKqGHRRsBhL9iCmTy7ubwVgeys4m4tJwQ</t>
  </si>
  <si>
    <t>1n4GEdMsCriWRc4PqcQ2DFTRuufRk7J6kRrPZ9Ym4eRCWqM</t>
  </si>
  <si>
    <t>14btqGNtzVpfwW9y5xYrcK7uSfgjGZKxcYAG3fJo6ujHUVS</t>
  </si>
  <si>
    <t>1wzZiegQfdppPw7Ag3vhhXbYuw47uJLJ5G6eXcKc6feTS5x</t>
  </si>
  <si>
    <t>15Y5pEv8Uk1mFPeFS6aSmExsbwCVv4R3T6vnZKm7sZZTmExp</t>
  </si>
  <si>
    <t>14wDEEnVKZDXVXq2arAmkf1QmnTcwN4fzNJRFoM77YvFxa8T</t>
  </si>
  <si>
    <t>16iEYsszKAiWj8vu5Qor5XC5DY48gkJeytviFGYuy17Uj8xg</t>
  </si>
  <si>
    <t>13RBN6UF43sxkxUrd2H4QSJccvLNGr6HY4v3mN2WtW59WaNk</t>
  </si>
  <si>
    <t>19C7X2ayEGaHbRb7obTd7u2crJhYm6W47XpyLC2jQBGdpif</t>
  </si>
  <si>
    <t>16DFsCgUtntqaz6wiYEMwcco3RBCwo4Dz7doLTTeeudxZWhE</t>
  </si>
  <si>
    <t>13343zPsd3yZhwpAphFysoVQA3De2vDMELVMxbgExpHB5UCg</t>
  </si>
  <si>
    <t>12xRcHjvStkUYgzTh9vyqinN3tUpddgcPnSUcLXZ3ty44Mq1</t>
  </si>
  <si>
    <t>15AZxmt271W7YBo41JrxCYJHqdXhyrXsHhm5paFkd5GpreGP</t>
  </si>
  <si>
    <t>16fZxnwnnzArZ7SRhSWUcEhGCFk2XDUxD54VqtaKRmr6FhNR</t>
  </si>
  <si>
    <t>145pagyyifxGeH1VjbrHf1cPsKasjNNLeAKrFynEfijJAu73</t>
  </si>
  <si>
    <t>HIC PBA Investor Dinner - Harbor Industrial Capital - Hong Kong</t>
  </si>
  <si>
    <t>14x5RbyJxD6KvNyncbJQuJJJ3zHinXg57YKwhJ7q9T9aJq4n</t>
  </si>
  <si>
    <t>Payment to Starlay Finance for Milestone 3</t>
  </si>
  <si>
    <t>12soSZUb7UbsC8iLrTy6dUVkKCfNvQxMMSRtvZJkfQL1BPRX</t>
  </si>
  <si>
    <t>13UVJyLnbVp9RBZYFwFGyDvVd1y27Tt8tkntv6Q7JVPhFsTB</t>
  </si>
  <si>
    <t>15wbv2fXuFoeRcrWK4Q1Y5oM9LfsJyGmMXaUWDoAWXpZzWSp</t>
  </si>
  <si>
    <t>1t3rUtnBQYeEWjwyivvVgTAdnt3Ndm7rPoMtsXxqbN9zery</t>
  </si>
  <si>
    <t>15FsX8EdUftorgXBjtgbdD1NesqVPwfJPL79V5JDvk2CCc9x</t>
  </si>
  <si>
    <t>14WBgUYr1scUwR5rvx7DwgMUhHtdtRyHMkurkU4AZ7wRgFxC</t>
  </si>
  <si>
    <t>13jMGskc98pqSG4xf7KLNRzyjtr26jUxbJnQerrqD4dKyvsh</t>
  </si>
  <si>
    <t>RockX May 24</t>
  </si>
  <si>
    <t>16He6v8w7FYToooNkPudf7YtaEiceLfaXJ3hJwJRGcSPGTgo</t>
  </si>
  <si>
    <t>12mRyiCp9zdh1wEVW5gLLiFBxDPKks72rRXmSupyEK3VAMLf</t>
  </si>
  <si>
    <t>Dwellir May 24</t>
  </si>
  <si>
    <t>15qz4ZLeyXp1i4Jbx7AXiUQVCCLWVXu3dLjcTPHY3v9KGAvL</t>
  </si>
  <si>
    <t>12sMWVvgGNnRrhor2aUskxNq42EiTs4b2AMoCs5RrkVtNs2e</t>
  </si>
  <si>
    <t>1316cTZeHz8HtEjaJRHu8sHbp9brtUmy2LiP74KZXgXhifry</t>
  </si>
  <si>
    <t>1xtra1x2rXfWUxvFqscvUfjuDSx8AdEGhzADsYayZyicWsS</t>
  </si>
  <si>
    <t>112FKz5UNxjXqe3Wowe73a8FHnR5B4R9qi2pbMaXJczGNJsx</t>
  </si>
  <si>
    <t>12Qn3skJCjfbfeU6PCeAA9oV2NFe1xWMoHcEe9LVvFBHA2ei</t>
  </si>
  <si>
    <t>14T3MFxNa4d7pyjRAdKU6tLC8sfde1HBLGNMHKCMFqjWRrrM</t>
  </si>
  <si>
    <t>13ianMHbMJ3J1A7Ft769X2zXgppQzheRMRUFG7AQ77soJVk1</t>
  </si>
  <si>
    <t>16X3CtQVwBvHGJCquvLw1ayG5SWk4qKUHudBDpQVGXBdvqdg</t>
  </si>
  <si>
    <t>15PUkSRWuefDSLbEYp39MJ1zxShrratU4SXaLZanL8Zkren3</t>
  </si>
  <si>
    <t>14oR2K2srg1jTZFxgJ39RttTpWanAmV27qqvxEL5YUeNZv3x</t>
  </si>
  <si>
    <t>138jUztFkrSSYHpBs1EoNNjVLG7hYr7UZYAy4NRQGPhbb6VY</t>
  </si>
  <si>
    <t>15DCme2GJxLz5yBeD3tkz5JFVtRyrBT7pham9aMGGT62yh3c</t>
  </si>
  <si>
    <t>14wyzJLVcCvjXcBnB4DTYvtbobmri5fjAQQKwaRA3JeCxLos</t>
  </si>
  <si>
    <t>13WVhKkqxEzCGqzn7yAT595oDeyRCHEDdW2rUUva5UYaKe3C</t>
  </si>
  <si>
    <t>Q1 2024 Curator awards - Hutch</t>
  </si>
  <si>
    <t>13cLXqkmiEn983QXBoF4Z8KAxyB2ryinm2p43r3qzWrVYwrv</t>
  </si>
  <si>
    <t>12QHu3wumQWxYWXvZJyYuvLSR7H9tJs3jmgdQvL4jkRdG2pn</t>
  </si>
  <si>
    <t>157HbMDJzgicoMvkTGfUQaw1XhknX8iyMU6iqwkZG7eutNJQ</t>
  </si>
  <si>
    <t>15V3YDhibKoqFgQwZtyGNMDPyNtf8XUH2GU7BgRUqCQ1V9ku</t>
  </si>
  <si>
    <t>1eeBEsvYXfjHzwTPYojFnf7XxmJkcTrdTzGfd6zm9fThpC5</t>
  </si>
  <si>
    <t>Simply Staking - Q1 https://github.com/paseo-network/payouts/issues/12</t>
  </si>
  <si>
    <t>13uwV8CBHjv25W3GACLPzzvTu2v9USc2yCQdhrqPhyM3vx6w</t>
  </si>
  <si>
    <t>1gatoakSkH4be8KD9Ekj5xCXMdAiGxieg2NfTg41s2UME5J</t>
  </si>
  <si>
    <t>1srcFWVcPn2oXEKuddMMTGCLQMDdRqxKKo9qpFTi8PA7NW1</t>
  </si>
  <si>
    <t>15AVkixLRA3U7DJbLkmWSzAT4HTbpVeTBqPmsYZThmp2ykBL</t>
  </si>
  <si>
    <t>12pUXtKj7jD3yaxnK6TWKBsxS1JpLUceBKZKMPMH6RiZvjr4</t>
  </si>
  <si>
    <t>13nvTTfbnrxtHsKNqyXK4aWbwmSa4iGYq3UbrEwirZaG4Tmp</t>
  </si>
  <si>
    <t>1Z6t6PFDNHdjGgfud2YDyE1eyxxbP7EvwYfy3QpHTcEmLp5</t>
  </si>
  <si>
    <t>12QRC12udxzxSyFj9Sqs8tE6fzYtuWEjzuRN93CZk85GaSxr</t>
  </si>
  <si>
    <t>163DJtcT4jwNgaMuUkBev8u9FLTP9YGZ4Ari6iBYGXs2RviA</t>
  </si>
  <si>
    <t>15ho9b7DHy1gBxrHCEdi3h38rsJ3A6cSyFzWY1q7JoptW1Jn</t>
  </si>
  <si>
    <t>13jTmeDrv75yy8DVrmTQ5fFs4Dqdo3STF8uRG2DVqAJMgYxe</t>
  </si>
  <si>
    <t xml:space="preserve">CEE Wealth Summit - Scythe Ventures - Vienna, Italy </t>
  </si>
  <si>
    <t>15nKYvAm8Yu9QVK65JWrhfyabhHkWywg21X9gX4GFJo3v4cT</t>
  </si>
  <si>
    <t>RockX Apr 24</t>
  </si>
  <si>
    <t>Dwellir Apr 24</t>
  </si>
  <si>
    <t>14MVAs6jPc7bPW33fC7eTwz4Zf1pD3KWW4tQtrHWUd9w1Phx</t>
  </si>
  <si>
    <t>1fN87Fgj5BUhezFgbLiGbXTMrBVggnmYBX9anzMBky8KaJ5</t>
  </si>
  <si>
    <t>17Mhc2sYRBswwpYiTQp2u1C1DoLQtCs9eDdrAqM1DAHvwee</t>
  </si>
  <si>
    <t>16LjHWJ51bki8X654uCW65ZV7kiAMBDXkay3fWuhxnKLZX99</t>
  </si>
  <si>
    <t>1eAL59EPokQFG4putYKwBjygGu3ewoHtyK3BSrgCMhM9ijf</t>
  </si>
  <si>
    <t>12QzxRyL6ctkHHX8v92f2YUkgy9MGg6SUPCAwk5xUFsXhT1m</t>
  </si>
  <si>
    <t>15tUgqVfVJTMTXGUSGXtV7GwbSDXm73Mga5SnEanbTqELqCi</t>
  </si>
  <si>
    <t>16RgupyxyQJU7UDHX1FF5cjaSjceJ4iVK1nzePMzbsx1nxM4</t>
  </si>
  <si>
    <t>14Uypo3euFeeVJYnUpExxSLbPrc57NTTKzbYHUA6Y5CmUKmr</t>
  </si>
  <si>
    <t>1LXianUEPnzmJiL9Kb4hg56zKyJztqbwh5x8QdUknYuLbQN</t>
  </si>
  <si>
    <t>1C42oGF3s8ztCsc22MA4LKd8BogMJNdVmCgtTXGfxqwjrSb</t>
  </si>
  <si>
    <t>1A3CAKernZo3hGaQYNmfuhK1wLG51VPhV95VH7NrHPVAk8M</t>
  </si>
  <si>
    <t>1KYJX482SpWZXLwtmspF3HiK3TQjms1jH67i4PqENfzYsoC</t>
  </si>
  <si>
    <t>2023 Decoded Viewing Party Rewards - Bamidele Owoseni - Dallas, Texas USA</t>
  </si>
  <si>
    <t>1gvSXTysfJ5F9tjMtuACQyp1dxbLDoYNr7HEQNE2N4dfUXH</t>
  </si>
  <si>
    <t>126uimsLf3xV4BdPWFVntD49ANsN4vJvV8o5SCdRXiUwYS9f</t>
  </si>
  <si>
    <t>16G7wZerqxib8YMDn3FKVfSMp1hky159JdhcGqHzy65F6RXE</t>
  </si>
  <si>
    <t>1t67YMM4myXZ745px9a8PNWhU8FMyYJf5uXGowuwSAnp4x8</t>
  </si>
  <si>
    <t>13B5YyS8u93FKbZYRFGh1BFwYjn5a8zhAJqEXtAWNmY7HzEu</t>
  </si>
  <si>
    <t>1659xQWWCox1Kvems1aSi7sVbECLmyHT4Q5i39pZHMJb8tVc</t>
  </si>
  <si>
    <t>13C9eaMNJPpEqEKRsEJ9P4DKxkb7XWQzeugEfdJkGdVFQPYh</t>
  </si>
  <si>
    <t>2023 Decoded Viewing Party Rewards - Danson Twesigomwe - Arusha,Tanzania</t>
  </si>
  <si>
    <t>15Sn8yJMmGEBMwZYLyr9bV49CPg3apGLNpCT1EdbtYgrnKhr</t>
  </si>
  <si>
    <t>1rv96b4irpdH1dZE767TWzjwWxjH3ctSJRiF6juPVbW5udE</t>
  </si>
  <si>
    <t>13mhGhH1XusScBGqv6GDy7okBTA28hErQgzdibiM1cUgzNgM</t>
  </si>
  <si>
    <t>12aTyHELXwh9jD18FdvsPoNXJsf5cg49Ne7sD2BX6QvuP3GE</t>
  </si>
  <si>
    <t>Polkadot LATAM Day Reimbursement and rewards - LATAM Ambassadors - Online</t>
  </si>
  <si>
    <t>16DNbAdyy6QsTPdDDHL5gt7FaeAQ1UioJA6Pj7aUGJERveFd</t>
  </si>
  <si>
    <t>Curator fee - March 2024 - A.J</t>
  </si>
  <si>
    <t>158sHoKeq7ZesHMLcp2MkxFQpd7caEW6Rcy1md3AK1fuX8ak</t>
  </si>
  <si>
    <t>14rQsJw6kiCEELTTeJ3yTaHWSFRhivuikAb82qKXJ7igeB6v</t>
  </si>
  <si>
    <t>1NFfEH3yspdEgLnhZ5QWgb7B2z5LNCAE3HUo5nDxF5MqTcj</t>
  </si>
  <si>
    <t>15UQ1nhCRRJoWf1C4LBraqCVXS91qPiWLiWQfnS3k8Dk4R79</t>
  </si>
  <si>
    <t>ChainWire Invoice 58689 (Binance EMA 7 days = 10.74 USDT) - In case of any surplus on fund reception's day, the exceeding part must be returned to bounty address, in case of deficit another child bounty request must be issued to cover the difference</t>
  </si>
  <si>
    <t>14YXgiAqian6PWkABXGVhKB43tmbqMwscHLdhHi1qQVBeVQM</t>
  </si>
  <si>
    <t>13g68Lsiu9PvD3Ro8HrM2rmhUPE38rCf4QhyA1FqiYhiEtgB</t>
  </si>
  <si>
    <t>19bsWyxxQs5o2bpAABJD3cRtkRUBqUHZJiyq2zv31jQFRzG</t>
  </si>
  <si>
    <t>12kSJsUGe6eMLqnibadLBJProwwNJBhfC3grB4yoGgkzff2U</t>
  </si>
  <si>
    <t>13u3eUBZyVL1yvFjXXhDizT9wtsyFMPuvgqXXExLJvDnZSP4</t>
  </si>
  <si>
    <t>OnChain Brazil - Gabriella Mena Ogusuku - Sao Paolo</t>
  </si>
  <si>
    <t>123xYo8RqXR6mmCE7pxUh2YG5RnkJi4uj6C3vn4MpDvoyJQT</t>
  </si>
  <si>
    <t>14zU4FXuYU2wmi2PfXLADZW92NRYEw8nfUEvi7sqiJLafJ3A</t>
  </si>
  <si>
    <t>149BsxLw1jXeDnbh9WHd7Pezxyfnpwo3oYnJWWUEPQhsJkDm</t>
  </si>
  <si>
    <t>13jNQeBeocjcKobMqBL9FpvSkQr2oQswFJrn2sy4tNNe8E5f</t>
  </si>
  <si>
    <t>2023 Q4 Curator Awards - Zoe</t>
  </si>
  <si>
    <t>1ABthvYadBjA3vVKZ5caTPvc8qb8WMSng79mf7kxQnzfAij</t>
  </si>
  <si>
    <t>15rox1e8G2SWg6EpyfiGVoH8q63shGXpXSmp7Sz8LYsUTfuN</t>
  </si>
  <si>
    <t>15VRHQD9B2bhzjRxadArYu92uWPrE3GmvFb4NjqUNMqfhgUs</t>
  </si>
  <si>
    <t>16chRF6zGohwhrCvotxt3sB1sLz3pgewC5th123mLoThhQAo</t>
  </si>
  <si>
    <t>15ofDV8nx95Mrfq9rgLfe48GAf8Xcu12WG7cG5HTHFm7AR14</t>
  </si>
  <si>
    <t>15g8f9DZoEjJnneMUREZ1JgGgtmqEmhxAGCJ4JtZNjT8SiZ2</t>
  </si>
  <si>
    <t>13Ec62Cvw9jmPxA23EidSwASPs9X2Vohqv9RCogCfDvXC4c8</t>
  </si>
  <si>
    <t>Task 1 - Jan 2024 - Tim Janssen</t>
  </si>
  <si>
    <t>Task 1 - Jan 2024 - Pastaman</t>
  </si>
  <si>
    <t>Task 1 - Jan 2024 - Frankywild</t>
  </si>
  <si>
    <t>14xeAxD7LSJQmNXn2RQcm6WTJiByv6HKn6T8fTjqX1HeCMwR</t>
  </si>
  <si>
    <t>Task 1 - January 2024 - Tim Janssen</t>
  </si>
  <si>
    <t>Task 1 - January 2024 - Pastaman</t>
  </si>
  <si>
    <t>Task 1 - January 2024 - Frankywild</t>
  </si>
  <si>
    <t>125hDLmQApLutC9S1VQSnvFxk52iMCgyBfQtvk3hA57kzCPc</t>
  </si>
  <si>
    <t>133VgJJgp1s9wxLqgCFxYx6T873hZQNchJM9tmbU6NkYaaqW</t>
  </si>
  <si>
    <t>5 Meetups in Bali - Kresna Sucandra - Bali</t>
  </si>
  <si>
    <t>165n5jnbbkjZNyWaGMDaPzFARr3R89wb7eNtaG9erz2HUyey</t>
  </si>
  <si>
    <t>16jLz2P4i3zorb3tTxk2HR6LKMCkRbo11DfVgjckzjHkPeui</t>
  </si>
  <si>
    <t>13tGJdtNavQZEovGV2ovNtq5ckfyCLS4RiPVwaVfvXq2Jub3</t>
  </si>
  <si>
    <t>14ogWEsaFHYk1rDcRMLVApekUd3np4e1ker81tBF6odd39Q9</t>
  </si>
  <si>
    <t>16S4PEmaYJkP6M8LHqWc7gSg5YVXNPbiGZbsicrgDkmdyf2w</t>
  </si>
  <si>
    <t>12zgSMDwF5xpzcksvEdDzcSFouFNroXGRffgnhogSk1kR7iS</t>
  </si>
  <si>
    <t>14z9caBTF58zah1R7HZbUjMc8Lc5H4tz3sJ5JTaxBYkjWxnU</t>
  </si>
  <si>
    <t>15uvBEdyLUCH4ZEjaQCcWv2afVxLRsdpRaSgMGvdHaDTiPWn</t>
  </si>
  <si>
    <t>13EoVLNYDR7YCEkzX1rGEGEutE1mpCuu7UDmca4BfjRmGCit</t>
  </si>
  <si>
    <t>14RuJvWbTGjC17QnyeXULBVdaRQpYgPcqz6EL5PgNX9jM4KU</t>
  </si>
  <si>
    <t>167dwA1UDmWSBRrFd9dXqXjdk1NRhqVjenT2FbHGDyy44GjS</t>
  </si>
  <si>
    <t>15reUHgnkE9QeH9zUoduCVYAbksTmQXvpMd6L95rBhTNFuGw</t>
  </si>
  <si>
    <t>121Rs6fKm8nguHnvPfG1Cq3ctFuNAVZGRmghwkJwHpKxKjbx</t>
  </si>
  <si>
    <t>13NevqvUKVA8VbQEksjkrT2W7p8wKDyAdZd4CjpsaiPDu1vT</t>
  </si>
  <si>
    <t>166LkcArPr1fxYkWYFYfCnsB3HA8QY5vPTAzkxJCBDDKTMGv</t>
  </si>
  <si>
    <t>1HrXYRi3stRzgPYNGaGMSxngbNAcPr4MLSVQY9PLCBVwvnw</t>
  </si>
  <si>
    <t>14PiQ7uar36zPMgEckA7qWUahYheavRL6NHCbUCkXXRNrFSc</t>
  </si>
  <si>
    <t>16JWPEVHTt1Xeyhw6WaYeXSKkWZCxhBDXX4LM3EwaBH4uSR1</t>
  </si>
  <si>
    <t>14mZzbymFLQputQuxw2ern4BRKQ2igwMjbtrUz6m5BbVRBrc</t>
  </si>
  <si>
    <t>1569WNv839m4iubJNkcp8wocAhXvdPsmLwms6fKXehTiQrkt</t>
  </si>
  <si>
    <t>16Jbt5zru6XdUx1jYRV8AZtGk76ujtUNdd1UVWVVkVvGZ31L</t>
  </si>
  <si>
    <t xml:space="preserve">Cosmoverse sponsorship - Istanbul - Composable finance </t>
  </si>
  <si>
    <t>Sub0 breakfast - Lisbon - Aurora KodaDot</t>
  </si>
  <si>
    <t xml:space="preserve">EthRome sponsorship and hackathon - Rome- Pepe Senior Ambassador </t>
  </si>
  <si>
    <t>Task 1 Rward - PastaMan-August 2023</t>
  </si>
  <si>
    <t>Task 1 Reward- FrankyWild- August 2023</t>
  </si>
  <si>
    <t>14Z3KThT7jK4LtEwq8yshGWkx18BZy5eaW3mmAZKPePH95Xk</t>
  </si>
  <si>
    <t>14H1xWm7LFz8u9FJ2roq9DDymUMyARz5gY736i5TMaSwvKC3</t>
  </si>
  <si>
    <t>13msbKcRkxBR4uypvpnNhF5uarJ8Vqkr1ffrn9eko25QRgo1</t>
  </si>
  <si>
    <t>Task 1 Rewards- July 2023- Cmalize</t>
  </si>
  <si>
    <t>Task 1 Rewareds- July 2023- Tim Janssen</t>
  </si>
  <si>
    <t>Task 1 Rewards- July 2023- FrankyWild</t>
  </si>
  <si>
    <t>Task 1 Rewards- July 2023- Pastaman</t>
  </si>
  <si>
    <t>15jVYrjFWz1aqkJhuzdBGeF1nKcfnVhUUWxyYxiC4tSezMm9</t>
  </si>
  <si>
    <t>136t5kE5YfC1n64Y9Ta6eLYSHaSzTthgHSevmyAPjmJ65V1L</t>
  </si>
  <si>
    <t>15G4hfDNtNhRc82As8Ep2YfvpM5xVdX7De3P9qSdHerGA6wC</t>
  </si>
  <si>
    <t>1st63Adu7W4cB268CvKHfMwq5rJQkzTitBnWsvGrAx83iiT</t>
  </si>
  <si>
    <t>14swtaH1B1rNc4aNHGnW1NC9r7rox11cvqXD7LGjuiujVM6</t>
  </si>
  <si>
    <t>13rR4nr2HvzqQjDMVSmkYverHBxoMKsSr2WriGxwKxG69FcA</t>
  </si>
  <si>
    <t>1Gta7cam3qzcmZkrzwea7ZDgzty1EgP8cCAwWpayw64GtYN</t>
  </si>
  <si>
    <t>13hAqNjMMmvEhk3bEeAB2pHePpc4FfiQQviZefm4G9rvKyfT</t>
  </si>
  <si>
    <t>12Sv81DXeah1B8edXhy7EFgqc68mj9V6zYYoayjGYxSQuebA</t>
  </si>
  <si>
    <t>1eMGwHEaertoHK4GFvY7X4y3qZzEQ13nTdz8G7SAzXnDH2G</t>
  </si>
  <si>
    <t>13H9Z6R1GaWnx7nvX1hgFXPCpzFb76kKEJ3jvy741yJkrz8g</t>
  </si>
  <si>
    <t>123LuJKS65HaBbLSdDS46ByeC7bvQwA1iUhTpmjigQAfUKpK</t>
  </si>
  <si>
    <t>12CHAK3YxJG5pGW6JAGp6Daj8ruRfPwCNbPM7jU8mC2zh2qD</t>
  </si>
  <si>
    <t>13pbJnmDtgzcmjWSkpsazznFzsFNbMvKwsktxqgHtyJqXRhu</t>
  </si>
  <si>
    <t>157CJLc4aa5zV7gij54DJCHGactsWcxbpnbRhY4p82dCW2KQ</t>
  </si>
  <si>
    <t>12mvRSJUwpf6VfWLmgEJjcQgzzh2bCTSvFDwrykmijdzqS5m</t>
  </si>
  <si>
    <t>Decoded 2023 - Makati City, Metro Manila, Philippines</t>
  </si>
  <si>
    <t>13us6Meuo1u7hi7jers7Mh5LTfNEiFDA5g6qEUNeCc2FPEpy</t>
  </si>
  <si>
    <t>14zeBBNT5poHFQwQXFYHoUhgLbsHrpscu2QGRiCNSqH1gf73</t>
  </si>
  <si>
    <t>14m6YPTpa64jusibkvvCov4XsxW2ig7Hy3n23GpN9YVTqhUd</t>
  </si>
  <si>
    <t>13R6AmmjuipkFoR75m9w57ngGed2p5vqCZjT1K3kjf5D28mU</t>
  </si>
  <si>
    <t>13wTKVf96CDX36uBedQ6yiksz4GUQuqo2gfKoTX5EqY5yoDZ</t>
  </si>
  <si>
    <t>13ug3JKbtky4qcZ2SR7kbCrk9tyZMymHxLhPBGLacPmonmEW</t>
  </si>
  <si>
    <t>1ndvErzA6F2gHFXwEqjcPd7qtGnsZDiStpSj4A8LytDJRhf</t>
  </si>
  <si>
    <t>15ibGdxo2BMnfHTafuu9MMS9cGt8WneGeWcpwkrG32Zcn8gV</t>
  </si>
  <si>
    <t>13wmvijsjiRRinbf6g3yp6ZcktsqsjAfQfztGPqy8ipNtAEj</t>
  </si>
  <si>
    <t>14PAhG3VayzwH7B38mWP7GqjaMVjzPqGUKA23Xk5hLMuRWeK</t>
  </si>
  <si>
    <t>12okq3NN2F9SfwrY6MGApoUDQnJY9dijkyXPtLzzbdNcV5du</t>
  </si>
  <si>
    <t>1VhpWfsZ9zamjxnJQWJ6SVZRrhzAbyp11udmB9VM1ZVtPzt</t>
  </si>
  <si>
    <t>14V4wQA94N6fddsvCxRFLmvgd9ioueJpxgVogyV8FCfCnPsu</t>
  </si>
  <si>
    <t>15EAQHGMubtYTvXtQJtM8sVznqTjNHPoms1RYq8g6C5oHBoe</t>
  </si>
  <si>
    <t>1NffySg1JFijUrJhbYwox4XjD5qdLmUjaD5pQm2BwsLQcP3</t>
  </si>
  <si>
    <t>1EKRJey3fBmXVZS5CpLkRrEN9HxxYrXKrm7rYTxuTDKKZTz</t>
  </si>
  <si>
    <t>1g7gWHPydxLk71dwAzWF82dPCjrpJRbiTBYcJiNxTY8hZFi</t>
  </si>
  <si>
    <t>1ZP6xigiPXU7hHoj3ywHF1jQ4cAv4Jpw4Q4wy7aBHem6erj</t>
  </si>
  <si>
    <t>12F6yq8qJAULFKvrkVFTXnXfMhtHK7vf73ZKzugNqec7pTx9</t>
  </si>
  <si>
    <t>16akMyoCUJdMiLfSLAendRrm4XFcdG3h4bjvDCWgeSMwD6gT</t>
  </si>
  <si>
    <t>13gkjA3996REhFthyyPu596nzDdSbb1RXEEFwWaY2yLYL2Uk</t>
  </si>
  <si>
    <t>15DPQskycLALmFjGnsB212D1oxDJC2NscHeC65kaWnK62Pcm</t>
  </si>
  <si>
    <t>16FTioT9KiA7hEzDWz8eePdWhLLDEeJZyqXykiHSusNfY8kx</t>
  </si>
  <si>
    <t>12GXLTbzNvXP51scYwZWi1KDdAygsS8TS8Mm8zGdvgV1RpEN</t>
  </si>
  <si>
    <t>15ttNeS1nfEUKKw71UADWxKFBPuzuusDyL633iTySG1SHBub</t>
  </si>
  <si>
    <t>13m5rH4tYcuEj6SM2AmDVmgZo4PFQNmm8qohaSAr73jrqWuU</t>
  </si>
  <si>
    <t>15KRgf9qoRWodsws7REF1WXpsaJDys1igLf7rEaHWndTDasF</t>
  </si>
  <si>
    <t>14gkEwCgG9AbaNPMLBgAh4V9YEdy8LbtS76ER2GVATF3qSr6</t>
  </si>
  <si>
    <t>12nVpyJNX4UyVAx9wYPVA7FaB2MDJnEPSXuNknJyoWvQXD3B</t>
  </si>
  <si>
    <t>1HPKZzzd9nyr2DdvtPxytNMZm3Ld5nh3BBY4Ecgg9JxgL7G</t>
  </si>
  <si>
    <t>12auQ2MnukZEZcjQcKQcygRXerebcUuG5kvy2R95rYaUCcuR</t>
  </si>
  <si>
    <t>16HqymHVxdLtK8jtbur7DusQrfLAVEJZfsQijfxVwhQHiTgU</t>
  </si>
  <si>
    <t>15kFaHsh7qgnzBzAgyjDrxB9fhySEXGCRNDG4UK4gAZTD2TN</t>
  </si>
  <si>
    <t>14j7N612MVBzLDw5rctvExdkF6P73uCoSdkFzdLDFJUYeb9n</t>
  </si>
  <si>
    <t>14EFjQ2iut5WMgYDXNo9pSbMVEczwMuta1SddJ6KhTvGHU7F</t>
  </si>
  <si>
    <t>12EaHwLhfcYrU4vHtiKpp4VgVHtBEMQa1yzUpe1BJi4VD3Kp</t>
  </si>
  <si>
    <t>1c733KazWsgMkCNSft7DPKYFv3zhs9PTbXksXxND46R9TS6</t>
  </si>
  <si>
    <t>151fSxLtpjaBRLGoo1DQB8n8ERLNR6ZduBnmjyzpypegJQp9</t>
  </si>
  <si>
    <t>16NsH1tTBATkX82ZKRjQ6LB7nnePDoAupR3ZxPvDpcp6VWWa</t>
  </si>
  <si>
    <t>15yPxY4HBSp6oS765bKGSDUF8wnsoG5soLhw3EC1gKe5GJWa</t>
  </si>
  <si>
    <t>16YTH2eUZNH3ASDvHqyADyGhjcyxGfGXeo5q8z8DgVSn9xvZ</t>
  </si>
  <si>
    <t>13p7Fnvg9aYFpumyBF7GRhA1HH1oMZArAc3XX7dQCpX5qMTW</t>
  </si>
  <si>
    <t>13iWJcXHfxLuX1dum8N9LPJY5Uhr5aVEE491hofUVtkgHDaB</t>
  </si>
  <si>
    <t>14wSnALBUv51KjbnFhb4wBMLcqzh5kAsAM9XXFvLZQAE6NPG</t>
  </si>
  <si>
    <t>13CeHxBVttt4oeLNxbuhULNWfwnF4ykgPu69ejDKgdVUHg6w</t>
  </si>
  <si>
    <t>14hBwSVmH7MKfbcGDW6D79zPaFKfRUAn6sAuz9UY8ZDCm4rt</t>
  </si>
  <si>
    <t>1C5wY8SubUnURiDQUbQ5U4V9sL3hzjwiLiveGp1X4idptRq</t>
  </si>
  <si>
    <t>Polkadot meetup in Madrid - July 28, 2022 - Guillitolmo</t>
  </si>
  <si>
    <t>13kyP9tRzQkShbY2cNUuwrpAfDTCksyHsGzkZ646WiX54xwJ</t>
  </si>
  <si>
    <t>16AnoF5NQY3xZ6ovcsTWBhQDxWKB7AcExbj9u3a1juGtmTJ3</t>
  </si>
  <si>
    <t>Sub0 Side Event - Closing Party - 28 November 2022 - Matheus Braga de Moraes and ecosystem teams</t>
  </si>
  <si>
    <t>157gLBq5hiLsG1LYZzDw5xTWpgKrEK4bBPnfwwJgK7BCtyZa</t>
  </si>
  <si>
    <t>13RRFsP5dqAZpm8PmnLXQn8QvsYPyTdEW9FiE3UbkaTEGaem</t>
  </si>
  <si>
    <t>13L1z3C2TWR1Q6LB4JNrH9zsW59FcjqK2uKXaqVqdy4XmD6f</t>
  </si>
  <si>
    <t>13Sj951PJzxMYMcrdmkkh6TGpnMA4VTwmDqvrBCiY1jEVQ6X</t>
  </si>
  <si>
    <t>15iZD84rHAjuvaiKXBj2YAEPRJ8Tt4VS1M79HsYhieTvtJR4</t>
  </si>
  <si>
    <t>14fhQS5myHCh3AQZZoELKpQuy2AfNe5am3PzTDvKi7i172n5</t>
  </si>
  <si>
    <t>remaining DOT</t>
  </si>
  <si>
    <t>Polkadot Pioneers Bounty</t>
  </si>
  <si>
    <t>DeFi Infrastructure and Tooling Bounty</t>
  </si>
  <si>
    <t>BD Bounty</t>
  </si>
  <si>
    <t>BD Bounty in Spain &amp; Andorra</t>
  </si>
  <si>
    <t>Polkadot - Kusama Bridge Security Bounty</t>
  </si>
  <si>
    <t>Technical Support Bounty</t>
  </si>
  <si>
    <t>Security Bug Bounty for Open Runtime Module Library (ORML)</t>
  </si>
  <si>
    <t xml:space="preserve"> </t>
  </si>
  <si>
    <t>type</t>
  </si>
  <si>
    <t>net_flows_dot</t>
  </si>
  <si>
    <t>Inflow</t>
  </si>
  <si>
    <t>fees</t>
  </si>
  <si>
    <t>SUM of net_flows_dot</t>
  </si>
  <si>
    <t>Aggregated Other</t>
  </si>
  <si>
    <t>inflation</t>
  </si>
  <si>
    <t>other</t>
  </si>
  <si>
    <t>transfers</t>
  </si>
  <si>
    <t>bounties</t>
  </si>
  <si>
    <t>burnt</t>
  </si>
  <si>
    <t>proposals</t>
  </si>
  <si>
    <t>Outflow</t>
  </si>
  <si>
    <t>tips</t>
  </si>
  <si>
    <t>Event ID</t>
  </si>
  <si>
    <t>Time</t>
  </si>
  <si>
    <t>Value</t>
  </si>
  <si>
    <t>Price</t>
  </si>
  <si>
    <t>21081600-70</t>
  </si>
  <si>
    <t>20736000-87</t>
  </si>
  <si>
    <t>20390400-85</t>
  </si>
  <si>
    <t>20044800-84</t>
  </si>
  <si>
    <t>19699200-180</t>
  </si>
  <si>
    <t>19353600-56</t>
  </si>
  <si>
    <t>19008000-71</t>
  </si>
  <si>
    <t>18662400-105</t>
  </si>
  <si>
    <t>18316800-68</t>
  </si>
  <si>
    <t>17971200-114</t>
  </si>
  <si>
    <t>17625600-34</t>
  </si>
  <si>
    <t>17280000-24</t>
  </si>
  <si>
    <t>16934400-105</t>
  </si>
  <si>
    <t>16588800-100</t>
  </si>
  <si>
    <t>16243200-22</t>
  </si>
  <si>
    <t>15897600-20</t>
  </si>
  <si>
    <t>Treasury</t>
  </si>
  <si>
    <t>Referendum</t>
  </si>
  <si>
    <t>Proposed</t>
  </si>
  <si>
    <t>USD Proposed</t>
  </si>
  <si>
    <t>Big Tipper</t>
  </si>
  <si>
    <t>Medium Spender</t>
  </si>
  <si>
    <t>Small Spender</t>
  </si>
  <si>
    <t>Big Spender</t>
  </si>
  <si>
    <t>Awarded</t>
  </si>
  <si>
    <t>Small Tipper</t>
  </si>
  <si>
    <t>Polkadot Relayers 2024</t>
  </si>
  <si>
    <t xml:space="preserve">Polkadot - Sports Sponsorship Fund </t>
  </si>
  <si>
    <t>Polkadot Aligned Sponsorship at ProtoLayers 2024 Conference @ Prague</t>
  </si>
  <si>
    <t xml:space="preserve">Conor Daly Indy500 Replacement Ref </t>
  </si>
  <si>
    <t>Decentralized Management of Polkadot 𝕏 Account</t>
  </si>
  <si>
    <t>The Decentralized Future of Business Development for Polkadot</t>
  </si>
  <si>
    <t>Funding Development Costs for Expanding Dot Code School — Interactive Coding School — Bridging the Gap Between Online Learning and Real-World Web3 Development with Local Coding Environments</t>
  </si>
  <si>
    <t>Treasury proposal: DOT liquidity loan for Bifrost DOT liquid staking token (vDOT) to be returned + DOT Staking rewards to Polkadot Treasury</t>
  </si>
  <si>
    <t>Activation and retention of developers in Turkey and India for the Polkadot Ecosystem</t>
  </si>
  <si>
    <t>Nova Spektr Milestone 3 Proposal: Dynamic Derivations, WalletConnect v2, Proxy accounts, Cross-chain transfers, Fiat values, Ethereum address support, Staking improvements, Wallet details, App Store and Microsoft Store</t>
  </si>
  <si>
    <t xml:space="preserve">Security Audit of trustless Ethereum 2.0 Light Client, developed as a Substrate Pallet </t>
  </si>
  <si>
    <t>ink! design security review by OpenZeppelin (treasury proposal 2/2)</t>
  </si>
  <si>
    <t>Zeeve | Infrastructure Costs of Zeeve RPC APIs for 22 Polkadot Parachains - A Treasury Proposal</t>
  </si>
  <si>
    <t>An error occurred during submission. Please reject.</t>
  </si>
  <si>
    <t>Duplicate of #292 (Please reject)</t>
  </si>
  <si>
    <t>Milestone 2 Proposal: Polkadot Developer Hackathons and Crash Course for 1,000 Developers (#60DaysOfPolkadot)</t>
  </si>
  <si>
    <t>Polkadot Decoded 2023 China (Satellite Event) July 15-16, 2023 in Shanghai China</t>
  </si>
  <si>
    <t>Retroactive funding for ORML maintenance Nov 22 to Apr 23</t>
  </si>
  <si>
    <t>Polkadot RPC services Dwellir Q2 2023</t>
  </si>
  <si>
    <t>Polkadot Hubs - Initiative case-study - Please reject, we are posting this to OpenGov!</t>
  </si>
  <si>
    <t>OnFinality - High Performance Public Infrastructure (Q1 2023)</t>
  </si>
  <si>
    <t>Treasury Proposal for Missing Link: Boosting Developer Adoption</t>
  </si>
  <si>
    <t>Proposal: DotsamaPrague 07.06.2022 Retrospective Costs Reimbursement</t>
  </si>
  <si>
    <t>KusaMint - Extension and Further Funding Q2-3 2023</t>
  </si>
  <si>
    <t xml:space="preserve"> Treasury proposal: Dot.alert() operational costs – Q2-Q3 2023</t>
  </si>
  <si>
    <t>Building a better understanding of blockchain across mainstream global media</t>
  </si>
  <si>
    <t>Privacy Sidechains on Statemin*</t>
  </si>
  <si>
    <t>Polkadot education content production extension by Cryptonitas</t>
  </si>
  <si>
    <t>Polkadot Decoded 2023, tranche 2/3 (June, Copenhagen, DK)</t>
  </si>
  <si>
    <t>Smoldot development financing Q2 2023</t>
  </si>
  <si>
    <t>RockX Public RPC Node Support Q4 2022 &amp; New Development Q2 &amp; Q3 2023</t>
  </si>
  <si>
    <t>Treasury Proposal：A supplementary proposal for the 2023/3-2023/8 operating cost for the nonprofit organization Polkadot Ecology Research Institute</t>
  </si>
  <si>
    <t>Polkashots.io maintenance January-April 2023</t>
  </si>
  <si>
    <t>Privacy Transfer and Zk Rollup Pallet with Modern Blockchain Structure</t>
  </si>
  <si>
    <t>SUBWALLET EXTENSION - MILESTONE 3: SubWallet 3rd proposal: Hardware wallet integration (Ledger, Parity Signer, Keystone), Built-in XCM transfer between Polkadot &amp; Kusama and parachains, In-app staking for DOT and KSM, Support USDT on Statemint, Fiat on-ramp and more</t>
  </si>
  <si>
    <t>Motif: Web3 user research platform</t>
  </si>
  <si>
    <t>Polkadot India Follow-Up Proposal for 6 Months Webinar Series</t>
  </si>
  <si>
    <t>Treasury Proposal by Centrifuge: On-Chain Automated Treasury Management (with TWAMM)</t>
  </si>
  <si>
    <t>High Performance Data Indexing Tool (2022)</t>
  </si>
  <si>
    <t xml:space="preserve"> Treasury Proposal by Centrifuge: Support Axelar General Message Passing in the Polkadot ecosystem (via BridgeHub)</t>
  </si>
  <si>
    <t>Hardware signer and key storage Kampela: Milestones 5&amp;6</t>
  </si>
  <si>
    <t>Treasury proposal: The 2023/3-2023/8 operating cost for the nonprofit organization Polkadot Ecology Research Institute</t>
  </si>
  <si>
    <t>Parachain Validation Conformance Testing</t>
  </si>
  <si>
    <t>Continuation of Maintenance &amp; Support for Python Libraries</t>
  </si>
  <si>
    <t>Talisman Proposal: Portal Web Application supporting Nomination Pools and more - Milestone 1</t>
  </si>
  <si>
    <t>Development of a trustless Ethereum 2.0 Light Client as a Substrate pallet</t>
  </si>
  <si>
    <t>Integrate Polkadot RC &amp; Kusama, add DOT &amp; KSM to Quidli</t>
  </si>
  <si>
    <t>Proposal: A Survey of the Polkadot Data Ecosystem</t>
  </si>
  <si>
    <t>Polkadot @ ETHDenver 2023, February 24th - March 5th in Denver, Colorado</t>
  </si>
  <si>
    <t>Anagolay proposal: enabling community contributions for verified creators</t>
  </si>
  <si>
    <t>Polkadot Decoded 2023, tranche 1/3 (June, Copenhagen, DK)</t>
  </si>
  <si>
    <t>Panel for SMEs and Crypto Communities on Polkadot and Stablecoins</t>
  </si>
  <si>
    <t>Polkadot Spending Proposal: DOT Housing for those affected by the Turkish-Syria Earthquake</t>
  </si>
  <si>
    <t>Acala Proposal: Retroactive Funding for Chopsticks Development</t>
  </si>
  <si>
    <t>Polkadot web2/web3 API middleware development - UPDATED: Please Reject</t>
  </si>
  <si>
    <t>Sub.ID Proposal #2: Tx history, Token-centric view, P&amp;L analytics, and more</t>
  </si>
  <si>
    <t>Polkadot Developer Bootcamp - India</t>
  </si>
  <si>
    <t>Invalid proposal - please reject</t>
  </si>
  <si>
    <t>Polkadot Side Event during Web3 festival in HongKong</t>
  </si>
  <si>
    <t>[Please reject] MVP Workshop Treasury Proposal: DotSwap UI &amp; Front-End (a DEX on Statemint)</t>
  </si>
  <si>
    <t>Connect the DOTs</t>
  </si>
  <si>
    <t>Polkadot Developers Conference // sub0 Europe // Milestone 1</t>
  </si>
  <si>
    <t>PolkaWorld Ops and Maintenance proposal：2023.3 - 2023.5</t>
  </si>
  <si>
    <t>Social Contract between Polkassembly and Polkadot Treasury Q1'23</t>
  </si>
  <si>
    <t>Grabber, a tool that incentivizes experts and leaders within the community to boost governance engagement and voter activity.</t>
  </si>
  <si>
    <t>🎁 Airdrop | DOT x Moonbeam</t>
  </si>
  <si>
    <t>Polkadot Now - India, 2023 - India's first ever Polkadot Conference</t>
  </si>
  <si>
    <t>Multix - A simple interface to manage complex multisigs</t>
  </si>
  <si>
    <t>Polkadot Purple Paper / Token Morphism Guidelines</t>
  </si>
  <si>
    <t>Milestone1 Proposal: Polkanext Training Community for Polkadot Ecosystem</t>
  </si>
  <si>
    <t>Milestone 1 Proposal: Polkadot Developer Hackathons and Crash Course for 1,000 Developers (#60DaysOfPolkadot)</t>
  </si>
  <si>
    <t>The Kusamarian - 6 Month Maintenance Funding</t>
  </si>
  <si>
    <t>Sublab proposal #DOT-1: Substrate client improvements, ecosystem tools, and Kotlinization</t>
  </si>
  <si>
    <t>Treasury Proposal: Polkawatch, Decentralization Analytics, Continued Operation and Development</t>
  </si>
  <si>
    <t>Antwerp Crypto Community</t>
  </si>
  <si>
    <t>1TRIBE: Bridging Africa to the Future with Polkadot</t>
  </si>
  <si>
    <t>Encode Club 2023 Proposal Tranche 1</t>
  </si>
  <si>
    <t>POLKADOT EDUCATIONAL HUB IN SPANISH - ROADMAP 2023 Educational development and courses</t>
  </si>
  <si>
    <t>Talisman Proposal: Business-Friendly Polkadot MultiSig</t>
  </si>
  <si>
    <t>Treasury Proposal: Funding Request for Continued Production of RMRK Substrate Pallets</t>
  </si>
  <si>
    <t>Proposal by TeachMeDeFi for a German Educational Platform for Polkadot</t>
  </si>
  <si>
    <t xml:space="preserve">Educate the Spaniard audience about Polkadot </t>
  </si>
  <si>
    <t>SubWallet Mobile App 1st proposal: Comprehensive and consistent multi-platform experience. Account Management, Built-in XCM Transfer, NFT Management, In-app Staking, In-app Browser, Performance Optimization</t>
  </si>
  <si>
    <t>Treasury proposal: sc-simnode continuous development and improvement financing</t>
  </si>
  <si>
    <t>High Performance Public Infrastructure (Q4 2022)</t>
  </si>
  <si>
    <t>Polkadot RPC services Dwellir Q1 2023</t>
  </si>
  <si>
    <t>Treasury proposal: smoldot development financing</t>
  </si>
  <si>
    <t>Experimental Analysis of the Candle Auction for Academic Research</t>
  </si>
  <si>
    <t>Treasury Proposal: Polkadot Hackathon Global Series 2023</t>
  </si>
  <si>
    <t>YieldBay Proposal Phase 2: Yield Farming Dashboard for Dotsama</t>
  </si>
  <si>
    <t>YieldBay Payment Proposal: Milestones 2 and 3 reimbursement for Motion #262</t>
  </si>
  <si>
    <t>Substrate Training Course and Certification</t>
  </si>
  <si>
    <t xml:space="preserve">Polkadot SF Event Tour! </t>
  </si>
  <si>
    <t>Treasury proposal for subsquare/dotreasury new delivered features and development plans</t>
  </si>
  <si>
    <t>Treasury proposal: Dot.alert() operational costs - Q1 2023</t>
  </si>
  <si>
    <t>Unit Masters Proposal - Onboarding people to web3 and the Polkadot ecosystem through education</t>
  </si>
  <si>
    <t>ORML development and maintenance</t>
  </si>
  <si>
    <t>Milestone 2 Proposal: International Blockchain Congress 2022-23 by IBC Media</t>
  </si>
  <si>
    <t>Nova Wallet 3rd Proposal: OpenGov Agile delegations, Staking improvements, Community requested features</t>
  </si>
  <si>
    <t>Subscan - Data Dashboard Customization Toolset</t>
  </si>
  <si>
    <t>Hardware signer and key storage Kampela: Milestones 3&amp;4</t>
  </si>
  <si>
    <t>RadiumBlock Public Endpoint Service for Polkadot (Q3 2022)</t>
  </si>
  <si>
    <t>Polkadot Hackathon: North America prize pool bridging the gap for total amount</t>
  </si>
  <si>
    <t>OneBlock The 2022 Polkadot Winter Hackathon proposal</t>
  </si>
  <si>
    <t>Pro- and Retroactive Funding for Continuous Production of DotLeap Newsletter</t>
  </si>
  <si>
    <t>Snowbridge Funding Proposal</t>
  </si>
  <si>
    <t>PolkaWorld Ops and Maintenance proposal：2022.12 - 2023.2</t>
  </si>
  <si>
    <t>Proposal: ink! design audit by OpenZeppelin</t>
  </si>
  <si>
    <t>Pinknode Public Infrastructure for Q1,Q2,Q3 2022</t>
  </si>
  <si>
    <t>Social Contract between Polkassembly and Polkadot Treasury</t>
  </si>
  <si>
    <t>Framework for building Substrate-compatible Runtimes in Go (Parachains &amp; Solochains)</t>
  </si>
  <si>
    <t>Treasury Proposal by Rust Syndicate: Uptest funding proposal</t>
  </si>
  <si>
    <t>DONOT USE</t>
  </si>
  <si>
    <t>Treasury Proposal by Centrifuge: FUDGE - Core library for local integration-tests in Substrate</t>
  </si>
  <si>
    <t>Treasury proposal: The 2022/9-2023/2 operating cost for the nonprofit organization Polkadot Ecology Research Institute</t>
  </si>
  <si>
    <t>polkaswag.shop - an online swag shop for Polkadot ecosystem</t>
  </si>
  <si>
    <t>Activating developer ecosystem in Turkey for Polkadot</t>
  </si>
  <si>
    <t>OnFinality High Performance Public Infrastructure (Q3 2022)</t>
  </si>
  <si>
    <t>Sequester Common Good Chain - Milestone 1</t>
  </si>
  <si>
    <t>OAK Network San Francisco Polkadot Event Proposal</t>
  </si>
  <si>
    <t xml:space="preserve"> Polkadot RPC services Dwellir Q4 2022</t>
  </si>
  <si>
    <t>Request for Second Allocation: Learn-and-Earn for Polkadot Hackathon Global Series 2022</t>
  </si>
  <si>
    <t>Treasury Proposal: Polkadot on WebSummit</t>
  </si>
  <si>
    <t>UTXO.22</t>
  </si>
  <si>
    <t>Greening the Polkadot Network – Step 2 (Network Carbon Audit)</t>
  </si>
  <si>
    <t>NFT exhibition about environment at UNESCO HQ, Paris</t>
  </si>
  <si>
    <t>Polkaholic.io - Polkadot XCM/Multichain Block Explorer (Q2+Q3 2022)</t>
  </si>
  <si>
    <t>do not use - Replaced by #171</t>
  </si>
  <si>
    <t>Gossamer Ongoing Development Grant</t>
  </si>
  <si>
    <t xml:space="preserve">Proposal: San Francisco Blockchain Week Polkadot Summit </t>
  </si>
  <si>
    <t>Proposal: Polkadot Singapore Event During Token2049</t>
  </si>
  <si>
    <t>Treasury proposal: Dot.alert() operational costs</t>
  </si>
  <si>
    <t>Milestone 2 Proposal: Polkadot Hackathon for 200 Students and Educators</t>
  </si>
  <si>
    <t>Hardware signer and key storage Kampela: Milestones 1&amp;2</t>
  </si>
  <si>
    <t>Milestone 2: SubWallet Proposes to Build the Web3 Multiverse Gateway for Polkadot &amp; Kusama ecosystem</t>
  </si>
  <si>
    <t>Ziggurat: The Network Testing and Stability Framework</t>
  </si>
  <si>
    <t>PolkaWorld Ops and Maintenance proposal：2022.9 - 2022.11</t>
  </si>
  <si>
    <t>Polkadot decentralization analytics, Continued Operation and Improvements.</t>
  </si>
  <si>
    <t>YieldBay Proposal: Listing platform for all dotsama liquidity pools and yield farms</t>
  </si>
  <si>
    <t>OnFinality High Performance Public Infrastructure (Q2 2022)</t>
  </si>
  <si>
    <t>OpenSquare treasury proposal for develiered features and new features development for dotreasury, subsquare and statescan</t>
  </si>
  <si>
    <t>AmsterDOT Hack</t>
  </si>
  <si>
    <t>AmsterDOT Conf</t>
  </si>
  <si>
    <t>Proposal of Substrate Evangelist Program</t>
  </si>
  <si>
    <t>Subscan | Infrastructure Costs of Subscan for Polkadot &amp; Westend &amp; Rococo Networks</t>
  </si>
  <si>
    <t>Omni: Polkadot Enterprise desktop app Treasury Proposal — Milestone 2 — Public releas</t>
  </si>
  <si>
    <t>Fido Wallet(s)</t>
  </si>
  <si>
    <t>Talisman Proposal: Cross-Chain Transaction History Service</t>
  </si>
  <si>
    <t>Treasury Proposal: Anti-Scam Bounty Top-up</t>
  </si>
  <si>
    <t>Polkadot RPC services Dwellir Q3 2022</t>
  </si>
  <si>
    <t>OpenZL: Common Good Zero-Knowledge-Proof Library for Substrate Builders</t>
  </si>
  <si>
    <t>Proposal: Polkaevent - A one stop event discovery platform for the Dotsama ecosystem</t>
  </si>
  <si>
    <t>Opensource UI font for the Dostama ecoysystem</t>
  </si>
  <si>
    <t>Treasury proposal to cover difference in DOT rate from approval to transfer of funds for Decoded 2022: BA Chapter</t>
  </si>
  <si>
    <t>Treasury proposal to cover difference in DOT rate from approval to transfer of funds for Decoded 2022: NY Chapter</t>
  </si>
  <si>
    <t>Proposal: Creation of an open-source KMS, a pool of shared nodes, and a block explorer for Polkadot</t>
  </si>
  <si>
    <t>SubWallet Proposes to Build the Web3 Multiverse Gateway for Polkadot &amp; Kusama ecosystem - Milestone 1</t>
  </si>
  <si>
    <t>Maintenance of web3alert.io Polkadot integration for 6 months</t>
  </si>
  <si>
    <t>Substrate integration in web3alert.io</t>
  </si>
  <si>
    <t>POLKADOT EDUCATIONAL HUB IN SPANISH (Milestone 3)</t>
  </si>
  <si>
    <t>Subsquid - Public data indexing Infrastructure for Polkadot (Q2 2022)</t>
  </si>
  <si>
    <t>Graded Assets &amp; Fractional Uniques (Pallet Development)</t>
  </si>
  <si>
    <t>Milestone 1 Proposal: Polkadot Hackathon for 200 Students and Educators</t>
  </si>
  <si>
    <t>Proposal: Polkadot HackerVilla Indore</t>
  </si>
  <si>
    <t>Proposal : Decoded Side Event, NY: A networking evening in Manhattan, over dinner and drinks on the 29th June</t>
  </si>
  <si>
    <t>Proposal: Polkadot Decoded Berlin Closing Party in Berlin on June 30, 2022</t>
  </si>
  <si>
    <t>Proposal: Polkadot Decoded NYC Opening Party in Manhattan on June 28, 2022</t>
  </si>
  <si>
    <t>Proposal: Polkadot Decoded by Moonbeam in New York, June 29-30, 2022</t>
  </si>
  <si>
    <t>Proposal: Parachain Team Meetup for XCM Knowledge Sharing and Polkadot Decoded (Hangzhou) Afterparty</t>
  </si>
  <si>
    <t>Proposal: Polkadot Decoded by Polka Haus in Buenos Aires, Argentina - June 29-30 2022</t>
  </si>
  <si>
    <t>Proposal: Polkadot Decoded Opening Party by Phala Network in Seoul, June 28, 2022</t>
  </si>
  <si>
    <t>Milestone 1: Title sponsorship International Blockchain Congress (IBC) 2022</t>
  </si>
  <si>
    <t>Proposal for Educational Series at AIBC Americas Summit and Virtual Events</t>
  </si>
  <si>
    <t>Proposal : Creation of sign language based tutorials around the Polkadot and Kusama for people with disabilities.</t>
  </si>
  <si>
    <t>PolkaWorld Ops and Maintenance proposal:  2022/6 - 2022/8</t>
  </si>
  <si>
    <t>Proposal: Polkadot Hackathon: North America Prize Pool</t>
  </si>
  <si>
    <t>Enabling Common-Good Infrastructure at University/College Blockchain Clubs Across the World</t>
  </si>
  <si>
    <t>Polkadot Book for Beginners (final payment)</t>
  </si>
  <si>
    <t>Funding for the Social Experiment to Test the Validator Recommendation Algorithm</t>
  </si>
  <si>
    <t>A Polkadot India Proposal: 3 Polkadot Webinars + 6 Substrate Bootcamps = 12000+ 🦾 India community</t>
  </si>
  <si>
    <t>OnFinality High Performance Public Infrastructure (Q1 2022)</t>
  </si>
  <si>
    <t xml:space="preserve">OneBlock  The 2022 Polkadot Hackathons proposal </t>
  </si>
  <si>
    <t>User experience optimization and new function development of Subscan Multi-sig Tool</t>
  </si>
  <si>
    <t>Polkadot RPC services Dwellir Q2 2022</t>
  </si>
  <si>
    <t>radiumblock.com's Dotsama validator snapshot service for Q1 2022</t>
  </si>
  <si>
    <t>Proposal for Ask! v0.4 (original Ask-lite v0.1, ink! in AssemblyScript)</t>
  </si>
  <si>
    <t>Proposal for production of Polkadot Ecosystem content in Portuguese language Q2</t>
  </si>
  <si>
    <t>Encode Club Polkadot Club - Tranche 4 and 5 funding</t>
  </si>
  <si>
    <t>Treasury proposal: The 2022/3-2022/8 operating cost for the nonprofit organization Polkadot Ecology Research Institute</t>
  </si>
  <si>
    <t>Opensource Brand Typeface</t>
  </si>
  <si>
    <t>3D Badges for Polkadot Ambassadors for PolkaOscar, June 2022</t>
  </si>
  <si>
    <t>Polkassembly Product Improvement Proposal</t>
  </si>
  <si>
    <t>Proposal: Learn-and-Earn Campaigns for Polkadot Hackathon Global Series 2022</t>
  </si>
  <si>
    <t>Helping Supercolony Recover Funds From Treasury Proposal - A new vote on the proposal</t>
  </si>
  <si>
    <t>The Infrastructure Costs of Subscan for Polkadot Network from Sep 2021 to Dec 2021.</t>
  </si>
  <si>
    <t>Cloudflare Enterprise Plan for Subscan from January 2022 to April 2022</t>
  </si>
  <si>
    <t>BrightTreasury - v. 2.0 improvements &amp; features</t>
  </si>
  <si>
    <t>Omni: Polkadot Enterprise desktop app Treasury Proposal - Milestone 1</t>
  </si>
  <si>
    <t>PolkaWorld Ops and Maintenance proposal for 3/2022 - 5/2022</t>
  </si>
  <si>
    <t>OnFinality - High Performance Public Infrastructure (Q4 2021)</t>
  </si>
  <si>
    <t xml:space="preserve"> Libwallet treasury proposal</t>
  </si>
  <si>
    <t xml:space="preserve">DatDot.org </t>
  </si>
  <si>
    <t>ZKValidator virtual event for Polkadot</t>
  </si>
  <si>
    <t>Bright Treasury maintenance 01.2022 - 03.2022 (t)</t>
  </si>
  <si>
    <t xml:space="preserve">6 Polkadot Webinars + 3 Substrate Bootcamps in India </t>
  </si>
  <si>
    <t>Smart Contracts on Polkadot - WASM conference (Virtual)</t>
  </si>
  <si>
    <t>Proposal: Polkadot RPC node Dwellir</t>
  </si>
  <si>
    <t>Polkashots.io maintenance</t>
  </si>
  <si>
    <t>Commission research through the Messari Hub</t>
  </si>
  <si>
    <t>Patract Labs' maintenance cost for Polkadot of 2021</t>
  </si>
  <si>
    <t>Encode Polkadot Tranche 3 (hackathon payments)</t>
  </si>
  <si>
    <t>POLKADOT EDUCATIONAL HUB IN SPANISH (Milestone 2)</t>
  </si>
  <si>
    <t>Treasury Proposal - CryptoLab Staking Website (milestone 2&amp;3)</t>
  </si>
  <si>
    <t>PolkaWorld Ops and Maintenance proposal for 12/2021 - 2/2022</t>
  </si>
  <si>
    <t>Merkle Science - Proposal: Polkadot Transaction Monitoring</t>
  </si>
  <si>
    <t>OnFinality - High Performance Public Infrastructure (Q3 2021)</t>
  </si>
  <si>
    <t>Pinknode - Proposal: Improved dashboard for managing infrastructure</t>
  </si>
  <si>
    <t>#70 Klever Mobile Wallet Inclusion of Polkadot (Milestone one and two)</t>
  </si>
  <si>
    <t>Guide to Polkadot-JS – UX/UI Improvements and Ongoing Maintenance Proposal</t>
  </si>
  <si>
    <t>The Infrastructure Costs of Subscan for Polkadot Network from June 2021 to August 2021</t>
  </si>
  <si>
    <t>POLKADOT EDUCATIONAL HUB IN SPANISH</t>
  </si>
  <si>
    <t>Treasury proposal: The 2021/9-2022/2 operating cost for the nonprofit organization Polkadot Ecology Research Institute</t>
  </si>
  <si>
    <t>Polkadot India Incubator Launch and Evangelist Hiring Proposal - Lumos Labs (Phase 1)</t>
  </si>
  <si>
    <t>Encode Polkadot Club - Tranche 2 proposal</t>
  </si>
  <si>
    <t>A Social Contract between PolkaWorld and Polkadot Treasury - Ops and Maintenance proposal</t>
  </si>
  <si>
    <t xml:space="preserve">@OneBlock The second Polkadot Hackathon Proposal </t>
  </si>
  <si>
    <t>Marketing and PR Proposal for Polkadot in APAC</t>
  </si>
  <si>
    <t>Cloudflare Enterprise Plan for Subscan from August 2021 to October 2021</t>
  </si>
  <si>
    <t>DotScanner.com Kusama Integration &amp; Extra Features Milestones 2-6</t>
  </si>
  <si>
    <t xml:space="preserve"> Funding of Polkadotters community</t>
  </si>
  <si>
    <t>Patract's treasury proposal about Metis M1 (ink! and Ask! Standard Library)</t>
  </si>
  <si>
    <t>Polkashots.io maintenance + improvements</t>
  </si>
  <si>
    <t>Treasury proposal: The June/July/August operating cost for the nonprofit organization Polkadot Ecology Research Institute</t>
  </si>
  <si>
    <t>The Infrastructure Costs of Subscan for Polkadot Network from March 2021 to May 2021</t>
  </si>
  <si>
    <t>Proposal to expand the Polkadot ecosystem with a book for blockchain beginners</t>
  </si>
  <si>
    <t>Figment Treasury Proposal: Figment Learn &amp; DataHub Milestone 5</t>
  </si>
  <si>
    <t>Treasury proposal: The April operating cost for the nonprofit organization Polkadot Ecology Research Institute</t>
  </si>
  <si>
    <t>Patract's Treasury proposal for Europa v0.3 (contract and runtime sandbox)</t>
  </si>
  <si>
    <t>Encode Club - university engagement programme - Phase 1 (out of 5)</t>
  </si>
  <si>
    <t>High Performance Public Infrastructure (Ongoing Costs for Q2 2021)</t>
  </si>
  <si>
    <t>Patract’s treasury proposal for Redspot v0.4 (Wasm contract scaffold)</t>
  </si>
  <si>
    <t xml:space="preserve">Milestone 2 of Governance-focused Mobile App for all Substrate-based networks </t>
  </si>
  <si>
    <t>OpenSquare's treasury proposal for doTreasury polkadot integration</t>
  </si>
  <si>
    <t>PolkaWorld treasury proposal: a website development for Chinese Community</t>
  </si>
  <si>
    <t>SubstraTEE Scalability M8.3</t>
  </si>
  <si>
    <t>Stylo - an offline wallet based on Parity Signer</t>
  </si>
  <si>
    <t>Figment Treasury Proposal: Figment Learn &amp; DataHub Milestone 1-3</t>
  </si>
  <si>
    <t>Proposal: PolkaBTC Beta Testnet Incentives</t>
  </si>
  <si>
    <t>SubstraTEE scalability M8.2</t>
  </si>
  <si>
    <t>PolkaStats treasury expense proposal - operation costs for Polkadot, 21.12.2020 to 21.03.2021</t>
  </si>
  <si>
    <t xml:space="preserve">Fearless Wallet - Stage 3 Proposal - Staking, Libraries expansion, App Improvements </t>
  </si>
  <si>
    <t>Treasury Proposal - High Performance Public Infrastructure (Ongoing Costs for Q1 2021)</t>
  </si>
  <si>
    <t>@Oneblock Substrate Hackathon Proposal</t>
  </si>
  <si>
    <t>Governance-focused Mobile App for all Substrate-based networks</t>
  </si>
  <si>
    <t>Substrate Developer Academy Scholarships</t>
  </si>
  <si>
    <t>Patract Hub's treasury proposal for Europa (sandbox) v0.2</t>
  </si>
  <si>
    <t>LocalCoinSwap Treasury Proposal - Python Substrate libraries upgrade &amp; Polkadot integration: Milestone 2</t>
  </si>
  <si>
    <t>Substrate Hackathon @ Hangzhou, China on Dec.19-20, 2020</t>
  </si>
  <si>
    <t>Patract Hub's treasury proposal for Megaclite (ZKP support) v0.1</t>
  </si>
  <si>
    <t>Patract Hub's treasury proposal for Redspot v0.3</t>
  </si>
  <si>
    <t>The operating expenses of SUBSCAN (Polkadot network) from December 2020 to February 2021</t>
  </si>
  <si>
    <t>Adding DOT to Ramp's SDK and enabling frictionless on-ramping across multiple dapps and wallets</t>
  </si>
  <si>
    <t>LocalCoinSwap Treasury Proposal - Python Substrate libraries upgrade &amp; Polkadot integration</t>
  </si>
  <si>
    <t>Patract Hub’s treasury proposal for Elara v0.2</t>
  </si>
  <si>
    <t>OpenSquare's treasury proposal for a knowledge tip authoring tool</t>
  </si>
  <si>
    <t>Patract Labs' treasury proposal for Elara v0.1</t>
  </si>
  <si>
    <t>Patract Labs' treasury proposal for Europa v0.1</t>
  </si>
  <si>
    <t>SubstraTEE Scalability Proposal</t>
  </si>
  <si>
    <t>Patract Labs' treasury proposal for Redspot v0.2</t>
  </si>
  <si>
    <t>Polkadot Meetup in China - Proposal:#10 (motion 17)</t>
  </si>
  <si>
    <t>Treasury Proposal: Encointer Self-Sovereign Identity Parachain for Polkadot</t>
  </si>
  <si>
    <t>Redspot v0.1, applied by Patract Labs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</si>
</sst>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 [$USD]"/>
    <numFmt numFmtId="165" formatCode="#,##0 [$DOT]"/>
    <numFmt numFmtId="166" formatCode="-#,##0 [$DOT]"/>
    <numFmt numFmtId="167" formatCode="yyyy-mm-dd"/>
    <numFmt numFmtId="168" formatCode="yyyy&quot;-&quot;mm&quot;-&quot;dd"/>
    <numFmt numFmtId="169" formatCode="yyyy-mm"/>
    <numFmt numFmtId="170" formatCode="yyyy-m"/>
  </numFmts>
  <fonts count="19">
    <font>
      <sz val="11.0"/>
      <color theme="1"/>
      <name val="Calibri"/>
      <scheme val="minor"/>
    </font>
    <font>
      <color theme="1"/>
      <name val="Calibri"/>
      <scheme val="minor"/>
    </font>
    <font>
      <b/>
      <color theme="1"/>
      <name val="Calibri"/>
      <scheme val="minor"/>
    </font>
    <font>
      <u/>
      <color rgb="FF0000FF"/>
    </font>
    <font>
      <color rgb="FFFF0000"/>
      <name val="Calibri"/>
      <scheme val="minor"/>
    </font>
    <font>
      <sz val="11.0"/>
      <color theme="1"/>
      <name val="Calibri"/>
    </font>
    <font>
      <b/>
      <color rgb="FFFFFFFF"/>
      <name val="Calibri"/>
      <scheme val="minor"/>
    </font>
    <font>
      <b/>
      <sz val="11.0"/>
      <color theme="1"/>
      <name val="Calibri"/>
    </font>
    <font>
      <u/>
      <color rgb="FF0000FF"/>
    </font>
    <font>
      <sz val="9.0"/>
      <color rgb="FF000000"/>
      <name val="&quot;Google Sans Mono&quot;"/>
    </font>
    <font>
      <u/>
      <color rgb="FF0000FF"/>
    </font>
    <font>
      <u/>
      <color rgb="FF0000FF"/>
    </font>
    <font>
      <u/>
      <sz val="11.0"/>
      <color rgb="FF0000FF"/>
      <name val="Calibri"/>
    </font>
    <font>
      <color rgb="FF000000"/>
      <name val="Calibri"/>
      <scheme val="minor"/>
    </font>
    <font>
      <sz val="11.0"/>
      <color rgb="FF000000"/>
      <name val="Docs-Calibri"/>
    </font>
    <font>
      <sz val="11.0"/>
      <color rgb="FF1E2134"/>
      <name val="Inter"/>
    </font>
    <font>
      <u/>
      <sz val="11.0"/>
      <color rgb="FF0000FF"/>
      <name val="Calibri"/>
    </font>
    <font>
      <u/>
      <sz val="11.0"/>
      <color rgb="FF0000FF"/>
      <name val="Calibri"/>
    </font>
    <font>
      <u/>
      <color rgb="FF0000FF"/>
    </font>
  </fonts>
  <fills count="5">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s>
  <borders count="18">
    <border/>
    <border>
      <top style="dotted">
        <color rgb="FF000000"/>
      </top>
    </border>
    <border>
      <top style="thin">
        <color rgb="FF000000"/>
      </top>
    </border>
    <border>
      <top style="double">
        <color rgb="FF000000"/>
      </top>
    </border>
    <border>
      <left style="thick">
        <color rgb="FFFF0000"/>
      </left>
      <top style="thick">
        <color rgb="FFFF0000"/>
      </top>
    </border>
    <border>
      <top style="thick">
        <color rgb="FFFF0000"/>
      </top>
    </border>
    <border>
      <right style="thick">
        <color rgb="FFFF0000"/>
      </right>
      <top style="thick">
        <color rgb="FFFF0000"/>
      </top>
    </border>
    <border>
      <left style="thick">
        <color rgb="FFFF0000"/>
      </left>
    </border>
    <border>
      <right style="thick">
        <color rgb="FFFF0000"/>
      </right>
    </border>
    <border>
      <left style="thick">
        <color rgb="FFFF0000"/>
      </left>
      <bottom style="thick">
        <color rgb="FFFF0000"/>
      </bottom>
    </border>
    <border>
      <bottom style="thick">
        <color rgb="FFFF0000"/>
      </bottom>
    </border>
    <border>
      <right style="thick">
        <color rgb="FFFF0000"/>
      </right>
      <bottom style="thick">
        <color rgb="FFFF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11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164" xfId="0" applyFont="1" applyNumberFormat="1"/>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165" xfId="0" applyFont="1" applyNumberFormat="1"/>
    <xf borderId="0" fillId="0" fontId="3" numFmtId="0" xfId="0" applyFont="1"/>
    <xf borderId="0" fillId="0" fontId="1" numFmtId="0" xfId="0" applyFont="1"/>
    <xf borderId="1" fillId="0" fontId="1" numFmtId="0" xfId="0" applyBorder="1" applyFont="1"/>
    <xf borderId="1" fillId="0" fontId="2" numFmtId="0" xfId="0" applyAlignment="1" applyBorder="1" applyFont="1">
      <alignment readingOrder="0"/>
    </xf>
    <xf borderId="1" fillId="0" fontId="1" numFmtId="165" xfId="0" applyBorder="1" applyFont="1" applyNumberFormat="1"/>
    <xf borderId="1" fillId="0" fontId="1" numFmtId="164" xfId="0" applyBorder="1" applyFont="1" applyNumberFormat="1"/>
    <xf borderId="0" fillId="0" fontId="2" numFmtId="0" xfId="0" applyFont="1"/>
    <xf borderId="2" fillId="0" fontId="2" numFmtId="0" xfId="0" applyBorder="1" applyFont="1"/>
    <xf borderId="2" fillId="0" fontId="1" numFmtId="0" xfId="0" applyBorder="1" applyFont="1"/>
    <xf borderId="2" fillId="0" fontId="2" numFmtId="0" xfId="0" applyAlignment="1" applyBorder="1" applyFont="1">
      <alignment readingOrder="0"/>
    </xf>
    <xf borderId="2" fillId="0" fontId="1" numFmtId="165" xfId="0" applyBorder="1" applyFont="1" applyNumberFormat="1"/>
    <xf borderId="2" fillId="0" fontId="1" numFmtId="164" xfId="0" applyBorder="1" applyFont="1" applyNumberFormat="1"/>
    <xf borderId="3" fillId="0" fontId="1" numFmtId="0" xfId="0" applyBorder="1" applyFont="1"/>
    <xf borderId="3" fillId="0" fontId="1" numFmtId="165" xfId="0" applyBorder="1" applyFont="1" applyNumberFormat="1"/>
    <xf borderId="3" fillId="0" fontId="1" numFmtId="164" xfId="0" applyBorder="1" applyFont="1" applyNumberFormat="1"/>
    <xf borderId="0" fillId="0" fontId="4" numFmtId="166" xfId="0" applyFont="1" applyNumberFormat="1"/>
    <xf borderId="3" fillId="0" fontId="2" numFmtId="0" xfId="0" applyAlignment="1" applyBorder="1" applyFont="1">
      <alignment readingOrder="0"/>
    </xf>
    <xf borderId="0" fillId="0" fontId="5" numFmtId="0" xfId="0" applyAlignment="1" applyFont="1">
      <alignment vertical="bottom"/>
    </xf>
    <xf borderId="0" fillId="0" fontId="5" numFmtId="0" xfId="0" applyAlignment="1" applyFont="1">
      <alignment readingOrder="0" shrinkToFit="0" vertical="bottom" wrapText="0"/>
    </xf>
    <xf borderId="4" fillId="0" fontId="1" numFmtId="0" xfId="0" applyBorder="1" applyFont="1"/>
    <xf borderId="5" fillId="0" fontId="5" numFmtId="0" xfId="0" applyAlignment="1" applyBorder="1" applyFont="1">
      <alignment readingOrder="0" shrinkToFit="0" vertical="bottom" wrapText="0"/>
    </xf>
    <xf borderId="6" fillId="0" fontId="5" numFmtId="0" xfId="0" applyAlignment="1" applyBorder="1" applyFont="1">
      <alignment readingOrder="0" shrinkToFit="0" vertical="bottom" wrapText="0"/>
    </xf>
    <xf borderId="7" fillId="0" fontId="1" numFmtId="0" xfId="0" applyBorder="1" applyFont="1"/>
    <xf borderId="8" fillId="0" fontId="1" numFmtId="0" xfId="0" applyBorder="1" applyFont="1"/>
    <xf borderId="0" fillId="0" fontId="1" numFmtId="3" xfId="0" applyFont="1" applyNumberFormat="1"/>
    <xf borderId="0" fillId="0" fontId="1" numFmtId="164" xfId="0" applyFont="1" applyNumberFormat="1"/>
    <xf borderId="0" fillId="0" fontId="1" numFmtId="165" xfId="0" applyFont="1" applyNumberFormat="1"/>
    <xf borderId="9" fillId="0" fontId="1" numFmtId="0" xfId="0" applyBorder="1" applyFont="1"/>
    <xf borderId="10" fillId="0" fontId="1" numFmtId="0" xfId="0" applyBorder="1" applyFont="1"/>
    <xf borderId="11" fillId="0" fontId="1" numFmtId="0" xfId="0" applyBorder="1" applyFont="1"/>
    <xf borderId="5" fillId="0" fontId="1" numFmtId="0" xfId="0" applyBorder="1" applyFont="1"/>
    <xf borderId="6" fillId="0" fontId="1" numFmtId="0" xfId="0" applyBorder="1" applyFont="1"/>
    <xf borderId="0" fillId="0" fontId="5" numFmtId="0" xfId="0" applyAlignment="1" applyFont="1">
      <alignment readingOrder="0" vertical="bottom"/>
    </xf>
    <xf borderId="0" fillId="0" fontId="5" numFmtId="164" xfId="0" applyAlignment="1" applyFont="1" applyNumberFormat="1">
      <alignment horizontal="right" vertical="bottom"/>
    </xf>
    <xf borderId="0" fillId="0" fontId="5" numFmtId="165" xfId="0" applyAlignment="1" applyFont="1" applyNumberFormat="1">
      <alignment horizontal="right" vertical="bottom"/>
    </xf>
    <xf borderId="12" fillId="0" fontId="6" numFmtId="0" xfId="0" applyAlignment="1" applyBorder="1" applyFont="1">
      <alignment horizontal="center" readingOrder="0"/>
    </xf>
    <xf borderId="13" fillId="0" fontId="6" numFmtId="0" xfId="0" applyAlignment="1" applyBorder="1" applyFont="1">
      <alignment horizontal="center" readingOrder="0"/>
    </xf>
    <xf borderId="13" fillId="0" fontId="6" numFmtId="0" xfId="0" applyAlignment="1" applyBorder="1" applyFont="1">
      <alignment horizontal="center"/>
    </xf>
    <xf borderId="13" fillId="0" fontId="6" numFmtId="3" xfId="0" applyAlignment="1" applyBorder="1" applyFont="1" applyNumberFormat="1">
      <alignment horizontal="center" readingOrder="0"/>
    </xf>
    <xf borderId="14" fillId="0" fontId="6" numFmtId="3" xfId="0" applyAlignment="1" applyBorder="1" applyFont="1" applyNumberFormat="1">
      <alignment horizontal="center" readingOrder="0"/>
    </xf>
    <xf borderId="15" fillId="0" fontId="1" numFmtId="0" xfId="0" applyAlignment="1" applyBorder="1" applyFont="1">
      <alignment readingOrder="0"/>
    </xf>
    <xf borderId="16" fillId="0" fontId="1" numFmtId="168" xfId="0" applyAlignment="1" applyBorder="1" applyFont="1" applyNumberFormat="1">
      <alignment readingOrder="0"/>
    </xf>
    <xf borderId="16" fillId="0" fontId="1" numFmtId="165" xfId="0" applyAlignment="1" applyBorder="1" applyFont="1" applyNumberFormat="1">
      <alignment readingOrder="0"/>
    </xf>
    <xf borderId="16" fillId="0" fontId="1" numFmtId="164" xfId="0" applyAlignment="1" applyBorder="1" applyFont="1" applyNumberFormat="1">
      <alignment readingOrder="0"/>
    </xf>
    <xf borderId="16" fillId="0" fontId="1" numFmtId="0" xfId="0" applyAlignment="1" applyBorder="1" applyFont="1">
      <alignment readingOrder="0"/>
    </xf>
    <xf borderId="16" fillId="0" fontId="1" numFmtId="0" xfId="0" applyBorder="1" applyFont="1"/>
    <xf borderId="16" fillId="0" fontId="1" numFmtId="3" xfId="0" applyAlignment="1" applyBorder="1" applyFont="1" applyNumberFormat="1">
      <alignment readingOrder="0"/>
    </xf>
    <xf borderId="17" fillId="0" fontId="1" numFmtId="3" xfId="0" applyAlignment="1" applyBorder="1" applyFont="1" applyNumberFormat="1">
      <alignment readingOrder="0"/>
    </xf>
    <xf borderId="16" fillId="0" fontId="1" numFmtId="167" xfId="0" applyAlignment="1" applyBorder="1" applyFont="1" applyNumberFormat="1">
      <alignment readingOrder="0"/>
    </xf>
    <xf borderId="0" fillId="2" fontId="7" numFmtId="3" xfId="0" applyAlignment="1" applyFill="1" applyFont="1" applyNumberFormat="1">
      <alignment vertical="bottom"/>
    </xf>
    <xf borderId="0" fillId="2" fontId="7" numFmtId="3" xfId="0" applyAlignment="1" applyFont="1" applyNumberFormat="1">
      <alignment readingOrder="0" vertical="bottom"/>
    </xf>
    <xf borderId="0" fillId="0" fontId="8" numFmtId="0" xfId="0" applyFont="1"/>
    <xf borderId="0" fillId="0" fontId="1" numFmtId="167" xfId="0" applyFont="1" applyNumberFormat="1"/>
    <xf borderId="0" fillId="3" fontId="5" numFmtId="3" xfId="0" applyAlignment="1" applyFill="1" applyFont="1" applyNumberFormat="1">
      <alignment vertical="bottom"/>
    </xf>
    <xf borderId="0" fillId="3" fontId="5" numFmtId="3" xfId="0" applyAlignment="1" applyFont="1" applyNumberFormat="1">
      <alignment horizontal="right" vertical="bottom"/>
    </xf>
    <xf borderId="0" fillId="0" fontId="5" numFmtId="3" xfId="0" applyAlignment="1" applyFont="1" applyNumberFormat="1">
      <alignment vertical="bottom"/>
    </xf>
    <xf borderId="0" fillId="3" fontId="9" numFmtId="0" xfId="0" applyAlignment="1" applyFont="1">
      <alignment horizontal="left"/>
    </xf>
    <xf borderId="0" fillId="3" fontId="5" numFmtId="3" xfId="0" applyAlignment="1" applyFont="1" applyNumberFormat="1">
      <alignment readingOrder="0" vertical="bottom"/>
    </xf>
    <xf borderId="0" fillId="0" fontId="1" numFmtId="168" xfId="0" applyFont="1" applyNumberFormat="1"/>
    <xf borderId="0" fillId="0" fontId="10" numFmtId="0" xfId="0" applyAlignment="1" applyFont="1">
      <alignment readingOrder="0"/>
    </xf>
    <xf borderId="0" fillId="0" fontId="11" numFmtId="0" xfId="0" applyAlignment="1" applyFont="1">
      <alignment readingOrder="0"/>
    </xf>
    <xf borderId="0" fillId="0" fontId="1" numFmtId="167" xfId="0" applyAlignment="1" applyFont="1" applyNumberFormat="1">
      <alignment readingOrder="0"/>
    </xf>
    <xf borderId="0" fillId="4" fontId="5" numFmtId="0" xfId="0" applyAlignment="1" applyFill="1" applyFont="1">
      <alignment vertical="bottom"/>
    </xf>
    <xf borderId="0" fillId="4" fontId="5" numFmtId="0" xfId="0" applyAlignment="1" applyFont="1">
      <alignment readingOrder="0" vertical="bottom"/>
    </xf>
    <xf borderId="0" fillId="0" fontId="7" numFmtId="0" xfId="0" applyAlignment="1" applyFont="1">
      <alignment readingOrder="0" vertical="bottom"/>
    </xf>
    <xf borderId="0" fillId="0" fontId="7" numFmtId="165" xfId="0" applyAlignment="1" applyFont="1" applyNumberFormat="1">
      <alignment readingOrder="0" vertical="bottom"/>
    </xf>
    <xf borderId="0" fillId="0" fontId="7" numFmtId="164" xfId="0" applyAlignment="1" applyFont="1" applyNumberFormat="1">
      <alignment readingOrder="0" vertical="bottom"/>
    </xf>
    <xf borderId="0" fillId="2" fontId="7" numFmtId="0" xfId="0" applyAlignment="1" applyFont="1">
      <alignment vertical="bottom"/>
    </xf>
    <xf borderId="0" fillId="0" fontId="1" numFmtId="3" xfId="0" applyAlignment="1" applyFont="1" applyNumberFormat="1">
      <alignment readingOrder="0"/>
    </xf>
    <xf borderId="0" fillId="0" fontId="12" numFmtId="0" xfId="0" applyAlignment="1" applyFont="1">
      <alignment readingOrder="0" vertical="bottom"/>
    </xf>
    <xf borderId="0" fillId="0" fontId="5" numFmtId="165" xfId="0" applyAlignment="1" applyFont="1" applyNumberFormat="1">
      <alignment readingOrder="0" vertical="bottom"/>
    </xf>
    <xf borderId="0" fillId="0" fontId="5" numFmtId="164" xfId="0" applyAlignment="1" applyFont="1" applyNumberFormat="1">
      <alignment readingOrder="0" vertical="bottom"/>
    </xf>
    <xf borderId="0" fillId="0" fontId="5" numFmtId="167" xfId="0" applyAlignment="1" applyFont="1" applyNumberFormat="1">
      <alignment readingOrder="0" vertical="bottom"/>
    </xf>
    <xf borderId="0" fillId="3" fontId="5" numFmtId="0" xfId="0" applyAlignment="1" applyFont="1">
      <alignment vertical="bottom"/>
    </xf>
    <xf borderId="0" fillId="3" fontId="5" numFmtId="0" xfId="0" applyAlignment="1" applyFont="1">
      <alignment vertical="bottom"/>
    </xf>
    <xf borderId="0" fillId="4" fontId="5" numFmtId="0" xfId="0" applyAlignment="1" applyFont="1">
      <alignment vertical="bottom"/>
    </xf>
    <xf borderId="0" fillId="4" fontId="5" numFmtId="3" xfId="0" applyAlignment="1" applyFont="1" applyNumberFormat="1">
      <alignment readingOrder="0" vertical="bottom"/>
    </xf>
    <xf borderId="0" fillId="3" fontId="5" numFmtId="0" xfId="0" applyAlignment="1" applyFont="1">
      <alignment readingOrder="0" vertical="bottom"/>
    </xf>
    <xf borderId="0" fillId="4" fontId="5" numFmtId="3" xfId="0" applyAlignment="1" applyFont="1" applyNumberFormat="1">
      <alignment vertical="bottom"/>
    </xf>
    <xf borderId="0" fillId="0" fontId="1" numFmtId="9" xfId="0" applyFont="1" applyNumberFormat="1"/>
    <xf quotePrefix="1" borderId="0" fillId="0" fontId="5" numFmtId="0" xfId="0" applyAlignment="1" applyFont="1">
      <alignment readingOrder="0" vertical="bottom"/>
    </xf>
    <xf borderId="0" fillId="4" fontId="5" numFmtId="0" xfId="0" applyAlignment="1" applyFont="1">
      <alignment readingOrder="0" vertical="bottom"/>
    </xf>
    <xf borderId="0" fillId="0" fontId="13" numFmtId="9" xfId="0" applyFont="1" applyNumberFormat="1"/>
    <xf borderId="0" fillId="3" fontId="14" numFmtId="3" xfId="0" applyAlignment="1" applyFont="1" applyNumberFormat="1">
      <alignment horizontal="left" readingOrder="0"/>
    </xf>
    <xf borderId="0" fillId="3" fontId="15" numFmtId="3" xfId="0" applyAlignment="1" applyFont="1" applyNumberFormat="1">
      <alignment readingOrder="0"/>
    </xf>
    <xf borderId="0" fillId="3" fontId="5" numFmtId="0" xfId="0" applyAlignment="1" applyFont="1">
      <alignment vertical="bottom"/>
    </xf>
    <xf borderId="0" fillId="3" fontId="5" numFmtId="0" xfId="0" applyAlignment="1" applyFont="1">
      <alignment readingOrder="0" vertical="bottom"/>
    </xf>
    <xf borderId="0" fillId="0" fontId="1" numFmtId="168" xfId="0" applyAlignment="1" applyFont="1" applyNumberFormat="1">
      <alignment readingOrder="0"/>
    </xf>
    <xf borderId="0" fillId="2" fontId="5" numFmtId="0" xfId="0" applyAlignment="1" applyFont="1">
      <alignment vertical="bottom"/>
    </xf>
    <xf borderId="0" fillId="3" fontId="5" numFmtId="3" xfId="0" applyAlignment="1" applyFont="1" applyNumberFormat="1">
      <alignment horizontal="right" readingOrder="0" vertical="bottom"/>
    </xf>
    <xf borderId="0" fillId="0" fontId="5" numFmtId="3" xfId="0" applyAlignment="1" applyFont="1" applyNumberFormat="1">
      <alignment readingOrder="0" vertical="bottom"/>
    </xf>
    <xf borderId="0" fillId="3" fontId="9" numFmtId="0" xfId="0" applyAlignment="1" applyFont="1">
      <alignment horizontal="left" readingOrder="0"/>
    </xf>
    <xf borderId="0" fillId="0" fontId="1" numFmtId="0" xfId="0" applyAlignment="1" applyFont="1">
      <alignment readingOrder="0"/>
    </xf>
    <xf borderId="0" fillId="2" fontId="7" numFmtId="0" xfId="0" applyAlignment="1" applyFont="1">
      <alignment horizontal="center" vertical="bottom"/>
    </xf>
    <xf borderId="0" fillId="2" fontId="7" numFmtId="165" xfId="0" applyAlignment="1" applyFont="1" applyNumberFormat="1">
      <alignment horizontal="center" vertical="bottom"/>
    </xf>
    <xf borderId="0" fillId="3" fontId="16" numFmtId="0" xfId="0" applyAlignment="1" applyFont="1">
      <alignment horizontal="right" vertical="bottom"/>
    </xf>
    <xf borderId="0" fillId="3" fontId="5" numFmtId="165" xfId="0" applyAlignment="1" applyFont="1" applyNumberFormat="1">
      <alignment horizontal="right" vertical="bottom"/>
    </xf>
    <xf borderId="0" fillId="4" fontId="17" numFmtId="0" xfId="0" applyAlignment="1" applyFont="1">
      <alignment horizontal="right" vertical="bottom"/>
    </xf>
    <xf borderId="0" fillId="4" fontId="5" numFmtId="165" xfId="0" applyAlignment="1" applyFont="1" applyNumberFormat="1">
      <alignment horizontal="right" vertical="bottom"/>
    </xf>
    <xf borderId="0" fillId="0" fontId="1" numFmtId="169" xfId="0" applyAlignment="1" applyFont="1" applyNumberFormat="1">
      <alignment readingOrder="0"/>
    </xf>
    <xf borderId="0" fillId="0" fontId="1" numFmtId="169" xfId="0" applyFont="1" applyNumberFormat="1"/>
    <xf borderId="0" fillId="0" fontId="1" numFmtId="170" xfId="0" applyFont="1" applyNumberFormat="1"/>
    <xf borderId="0" fillId="0" fontId="1" numFmtId="170" xfId="0" applyAlignment="1" applyFont="1" applyNumberFormat="1">
      <alignment readingOrder="0"/>
    </xf>
    <xf borderId="0" fillId="0" fontId="18" numFmtId="167" xfId="0" applyFont="1" applyNumberFormat="1"/>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5">
    <dxf>
      <font>
        <color rgb="FFFF0000"/>
      </font>
      <fill>
        <patternFill patternType="none"/>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2">
    <tableStyle count="3" pivot="0" name="Detail90-Bounty-style">
      <tableStyleElement dxfId="2" type="headerRow"/>
      <tableStyleElement dxfId="3" type="firstRowStripe"/>
      <tableStyleElement dxfId="4" type="secondRowStripe"/>
    </tableStyle>
    <tableStyle count="3" pivot="0" name="Detail86-Development-Bounty-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pivotCacheDefinition" Target="pivotCache/pivotCacheDefinition3.xml"/><Relationship Id="rId22" Type="http://schemas.openxmlformats.org/officeDocument/2006/relationships/pivotCacheDefinition" Target="pivotCache/pivotCacheDefinition5.xml"/><Relationship Id="rId21" Type="http://schemas.openxmlformats.org/officeDocument/2006/relationships/pivotCacheDefinition" Target="pivotCache/pivotCacheDefinition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pivotCacheDefinition" Target="pivotCache/pivotCacheDefinition2.xml"/><Relationship Id="rId1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Gov2 All Time Categories</a:t>
            </a:r>
          </a:p>
        </c:rich>
      </c:tx>
      <c:overlay val="0"/>
    </c:title>
    <c:plotArea>
      <c:layout/>
      <c:doughnutChart>
        <c:varyColors val="1"/>
        <c:ser>
          <c:idx val="0"/>
          <c:order val="0"/>
          <c:tx>
            <c:strRef>
              <c:f>'Aggregated Pivots'!$L$2</c:f>
            </c:strRef>
          </c:tx>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Pt>
            <c:idx val="6"/>
            <c:spPr>
              <a:solidFill>
                <a:srgbClr val="84A7D1"/>
              </a:solidFill>
            </c:spPr>
          </c:dPt>
          <c:dPt>
            <c:idx val="7"/>
          </c:dPt>
          <c:dPt>
            <c:idx val="8"/>
          </c:dPt>
          <c:dPt>
            <c:idx val="9"/>
          </c:dPt>
          <c:dLbls>
            <c:showLegendKey val="0"/>
            <c:showVal val="0"/>
            <c:showCatName val="0"/>
            <c:showSerName val="0"/>
            <c:showPercent val="0"/>
            <c:showBubbleSize val="0"/>
            <c:showLeaderLines val="1"/>
          </c:dLbls>
          <c:cat>
            <c:strRef>
              <c:f>'Aggregated Pivots'!$K$3:$K$12</c:f>
            </c:strRef>
          </c:cat>
          <c:val>
            <c:numRef>
              <c:f>'Aggregated Pivots'!$L$3:$L$12</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Expenses - 2024-H1</a:t>
            </a:r>
          </a:p>
        </c:rich>
      </c:tx>
      <c:overlay val="0"/>
    </c:title>
    <c:plotArea>
      <c:layout/>
      <c:pieChart>
        <c:varyColors val="1"/>
        <c:ser>
          <c:idx val="0"/>
          <c:order val="0"/>
          <c:tx>
            <c:strRef>
              <c:f>'Aggregated Pivots'!$Z$4:$Z$5</c:f>
            </c:strRef>
          </c:tx>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Lbls>
            <c:showLegendKey val="0"/>
            <c:showVal val="0"/>
            <c:showCatName val="0"/>
            <c:showSerName val="0"/>
            <c:showPercent val="0"/>
            <c:showBubbleSize val="0"/>
            <c:showLeaderLines val="1"/>
          </c:dLbls>
          <c:cat>
            <c:strRef>
              <c:f>'Aggregated Pivots'!$V$6:$V$11</c:f>
            </c:strRef>
          </c:cat>
          <c:val>
            <c:numRef>
              <c:f>'Aggregated Pivots'!$Z$6:$Z$11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4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Polkadot Treasury Expenses - 2023-H2</a:t>
            </a:r>
          </a:p>
        </c:rich>
      </c:tx>
      <c:overlay val="0"/>
    </c:title>
    <c:plotArea>
      <c:layout/>
      <c:pieChart>
        <c:varyColors val="1"/>
        <c:ser>
          <c:idx val="0"/>
          <c:order val="0"/>
          <c:tx>
            <c:strRef>
              <c:f>'Aggregated Pivots'!$X$4:$X$5</c:f>
            </c:strRef>
          </c:tx>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Lbls>
            <c:showLegendKey val="0"/>
            <c:showVal val="0"/>
            <c:showCatName val="0"/>
            <c:showSerName val="0"/>
            <c:showPercent val="0"/>
            <c:showBubbleSize val="0"/>
            <c:showLeaderLines val="1"/>
          </c:dLbls>
          <c:cat>
            <c:strRef>
              <c:f>'Aggregated Pivots'!$V$6:$V$11</c:f>
            </c:strRef>
          </c:cat>
          <c:val>
            <c:numRef>
              <c:f>'Aggregated Pivots'!$X$6:$X$11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sz="14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2023-H2 and 2024-H1</a:t>
            </a:r>
          </a:p>
        </c:rich>
      </c:tx>
      <c:overlay val="0"/>
    </c:title>
    <c:plotArea>
      <c:layout/>
      <c:barChart>
        <c:barDir val="col"/>
        <c:grouping val="stacked"/>
        <c:ser>
          <c:idx val="0"/>
          <c:order val="0"/>
          <c:tx>
            <c:strRef>
              <c:f>'Aggregated Pivots'!$AB$4</c:f>
            </c:strRef>
          </c:tx>
          <c:spPr>
            <a:solidFill>
              <a:schemeClr val="accent1"/>
            </a:solidFill>
            <a:ln cmpd="sng">
              <a:solidFill>
                <a:srgbClr val="000000"/>
              </a:solidFill>
            </a:ln>
          </c:spPr>
          <c:cat>
            <c:strRef>
              <c:f>'Aggregated Pivots'!$AC$3:$AD$3</c:f>
            </c:strRef>
          </c:cat>
          <c:val>
            <c:numRef>
              <c:f>'Aggregated Pivots'!$AC$4:$AD$4</c:f>
              <c:numCache/>
            </c:numRef>
          </c:val>
        </c:ser>
        <c:ser>
          <c:idx val="1"/>
          <c:order val="1"/>
          <c:tx>
            <c:strRef>
              <c:f>'Aggregated Pivots'!$AB$5</c:f>
            </c:strRef>
          </c:tx>
          <c:spPr>
            <a:solidFill>
              <a:schemeClr val="accent2"/>
            </a:solidFill>
            <a:ln cmpd="sng">
              <a:solidFill>
                <a:srgbClr val="000000"/>
              </a:solidFill>
            </a:ln>
          </c:spPr>
          <c:cat>
            <c:strRef>
              <c:f>'Aggregated Pivots'!$AC$3:$AD$3</c:f>
            </c:strRef>
          </c:cat>
          <c:val>
            <c:numRef>
              <c:f>'Aggregated Pivots'!$AC$5:$AD$5</c:f>
              <c:numCache/>
            </c:numRef>
          </c:val>
        </c:ser>
        <c:ser>
          <c:idx val="2"/>
          <c:order val="2"/>
          <c:tx>
            <c:strRef>
              <c:f>'Aggregated Pivots'!$AB$6</c:f>
            </c:strRef>
          </c:tx>
          <c:spPr>
            <a:solidFill>
              <a:schemeClr val="accent3"/>
            </a:solidFill>
            <a:ln cmpd="sng">
              <a:solidFill>
                <a:srgbClr val="000000"/>
              </a:solidFill>
            </a:ln>
          </c:spPr>
          <c:cat>
            <c:strRef>
              <c:f>'Aggregated Pivots'!$AC$3:$AD$3</c:f>
            </c:strRef>
          </c:cat>
          <c:val>
            <c:numRef>
              <c:f>'Aggregated Pivots'!$AC$6:$AD$6</c:f>
              <c:numCache/>
            </c:numRef>
          </c:val>
        </c:ser>
        <c:ser>
          <c:idx val="3"/>
          <c:order val="3"/>
          <c:tx>
            <c:strRef>
              <c:f>'Aggregated Pivots'!$AB$7</c:f>
            </c:strRef>
          </c:tx>
          <c:spPr>
            <a:solidFill>
              <a:schemeClr val="accent4"/>
            </a:solidFill>
            <a:ln cmpd="sng">
              <a:solidFill>
                <a:srgbClr val="000000"/>
              </a:solidFill>
            </a:ln>
          </c:spPr>
          <c:cat>
            <c:strRef>
              <c:f>'Aggregated Pivots'!$AC$3:$AD$3</c:f>
            </c:strRef>
          </c:cat>
          <c:val>
            <c:numRef>
              <c:f>'Aggregated Pivots'!$AC$7:$AD$7</c:f>
              <c:numCache/>
            </c:numRef>
          </c:val>
        </c:ser>
        <c:ser>
          <c:idx val="4"/>
          <c:order val="4"/>
          <c:tx>
            <c:strRef>
              <c:f>'Aggregated Pivots'!$AB$8</c:f>
            </c:strRef>
          </c:tx>
          <c:spPr>
            <a:solidFill>
              <a:schemeClr val="accent5"/>
            </a:solidFill>
            <a:ln cmpd="sng">
              <a:solidFill>
                <a:srgbClr val="000000"/>
              </a:solidFill>
            </a:ln>
          </c:spPr>
          <c:cat>
            <c:strRef>
              <c:f>'Aggregated Pivots'!$AC$3:$AD$3</c:f>
            </c:strRef>
          </c:cat>
          <c:val>
            <c:numRef>
              <c:f>'Aggregated Pivots'!$AC$8:$AD$8</c:f>
              <c:numCache/>
            </c:numRef>
          </c:val>
        </c:ser>
        <c:ser>
          <c:idx val="5"/>
          <c:order val="5"/>
          <c:tx>
            <c:strRef>
              <c:f>'Aggregated Pivots'!$AB$9</c:f>
            </c:strRef>
          </c:tx>
          <c:spPr>
            <a:solidFill>
              <a:schemeClr val="accent6"/>
            </a:solidFill>
            <a:ln cmpd="sng">
              <a:solidFill>
                <a:srgbClr val="000000"/>
              </a:solidFill>
            </a:ln>
          </c:spPr>
          <c:cat>
            <c:strRef>
              <c:f>'Aggregated Pivots'!$AC$3:$AD$3</c:f>
            </c:strRef>
          </c:cat>
          <c:val>
            <c:numRef>
              <c:f>'Aggregated Pivots'!$AC$9:$AD$9</c:f>
              <c:numCache/>
            </c:numRef>
          </c:val>
        </c:ser>
        <c:overlap val="100"/>
        <c:axId val="2079609215"/>
        <c:axId val="655420365"/>
      </c:barChart>
      <c:catAx>
        <c:axId val="20796092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655420365"/>
      </c:catAx>
      <c:valAx>
        <c:axId val="655420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960921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Gov2 All Time Categories</a:t>
            </a:r>
          </a:p>
        </c:rich>
      </c:tx>
      <c:overlay val="0"/>
    </c:title>
    <c:plotArea>
      <c:layout/>
      <c:doughnutChart>
        <c:varyColors val="1"/>
        <c:ser>
          <c:idx val="0"/>
          <c:order val="0"/>
          <c:tx>
            <c:strRef>
              <c:f>'Referenda Pivots'!$J$2</c:f>
            </c:strRef>
          </c:tx>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Pt>
            <c:idx val="5"/>
            <c:spPr>
              <a:solidFill>
                <a:srgbClr val="F79646"/>
              </a:solidFill>
            </c:spPr>
          </c:dPt>
          <c:dPt>
            <c:idx val="6"/>
            <c:spPr>
              <a:solidFill>
                <a:srgbClr val="84A7D1"/>
              </a:solidFill>
            </c:spPr>
          </c:dPt>
          <c:dPt>
            <c:idx val="7"/>
            <c:spPr>
              <a:solidFill>
                <a:srgbClr val="D38582"/>
              </a:solidFill>
            </c:spPr>
          </c:dPt>
          <c:dPt>
            <c:idx val="8"/>
            <c:spPr>
              <a:solidFill>
                <a:srgbClr val="B9CF8B"/>
              </a:solidFill>
            </c:spPr>
          </c:dPt>
          <c:dPt>
            <c:idx val="9"/>
          </c:dPt>
          <c:dLbls>
            <c:showLegendKey val="0"/>
            <c:showVal val="0"/>
            <c:showCatName val="0"/>
            <c:showSerName val="0"/>
            <c:showPercent val="0"/>
            <c:showBubbleSize val="0"/>
            <c:showLeaderLines val="1"/>
          </c:dLbls>
          <c:cat>
            <c:strRef>
              <c:f>'Referenda Pivots'!$I$3:$I$12</c:f>
            </c:strRef>
          </c:cat>
          <c:val>
            <c:numRef>
              <c:f>'Referenda Pivots'!$J$3:$J$12</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2023-Q3, 2023-Q4, 2024-Q1, 2024-Q2 and Grand Total</a:t>
            </a:r>
          </a:p>
        </c:rich>
      </c:tx>
      <c:overlay val="0"/>
    </c:title>
    <c:plotArea>
      <c:layout/>
      <c:barChart>
        <c:barDir val="col"/>
        <c:grouping val="stacked"/>
        <c:ser>
          <c:idx val="0"/>
          <c:order val="0"/>
          <c:tx>
            <c:strRef>
              <c:f>'Referenda Pivots'!$AE$5</c:f>
            </c:strRef>
          </c:tx>
          <c:spPr>
            <a:solidFill>
              <a:schemeClr val="accent1"/>
            </a:solidFill>
            <a:ln cmpd="sng">
              <a:solidFill>
                <a:srgbClr val="000000"/>
              </a:solidFill>
            </a:ln>
          </c:spPr>
          <c:cat>
            <c:strRef>
              <c:f>'Referenda Pivots'!$AF$3:$AI$3</c:f>
            </c:strRef>
          </c:cat>
          <c:val>
            <c:numRef>
              <c:f>'Referenda Pivots'!$AF$5:$AI$5</c:f>
              <c:numCache/>
            </c:numRef>
          </c:val>
        </c:ser>
        <c:ser>
          <c:idx val="1"/>
          <c:order val="1"/>
          <c:tx>
            <c:strRef>
              <c:f>'Referenda Pivots'!$AE$4</c:f>
            </c:strRef>
          </c:tx>
          <c:spPr>
            <a:solidFill>
              <a:schemeClr val="accent2"/>
            </a:solidFill>
            <a:ln cmpd="sng">
              <a:solidFill>
                <a:srgbClr val="000000"/>
              </a:solidFill>
            </a:ln>
          </c:spPr>
          <c:cat>
            <c:strRef>
              <c:f>'Referenda Pivots'!$AF$3:$AI$3</c:f>
            </c:strRef>
          </c:cat>
          <c:val>
            <c:numRef>
              <c:f>'Referenda Pivots'!$AF$4:$AI$4</c:f>
              <c:numCache/>
            </c:numRef>
          </c:val>
        </c:ser>
        <c:ser>
          <c:idx val="2"/>
          <c:order val="2"/>
          <c:tx>
            <c:strRef>
              <c:f>'Referenda Pivots'!$AE$7</c:f>
            </c:strRef>
          </c:tx>
          <c:spPr>
            <a:solidFill>
              <a:schemeClr val="accent3"/>
            </a:solidFill>
            <a:ln cmpd="sng">
              <a:solidFill>
                <a:srgbClr val="000000"/>
              </a:solidFill>
            </a:ln>
          </c:spPr>
          <c:cat>
            <c:strRef>
              <c:f>'Referenda Pivots'!$AF$3:$AI$3</c:f>
            </c:strRef>
          </c:cat>
          <c:val>
            <c:numRef>
              <c:f>'Referenda Pivots'!$AF$7:$AI$7</c:f>
              <c:numCache/>
            </c:numRef>
          </c:val>
        </c:ser>
        <c:ser>
          <c:idx val="3"/>
          <c:order val="3"/>
          <c:tx>
            <c:strRef>
              <c:f>'Referenda Pivots'!$AE$8</c:f>
            </c:strRef>
          </c:tx>
          <c:spPr>
            <a:solidFill>
              <a:schemeClr val="accent4"/>
            </a:solidFill>
            <a:ln cmpd="sng">
              <a:solidFill>
                <a:srgbClr val="000000"/>
              </a:solidFill>
            </a:ln>
          </c:spPr>
          <c:cat>
            <c:strRef>
              <c:f>'Referenda Pivots'!$AF$3:$AI$3</c:f>
            </c:strRef>
          </c:cat>
          <c:val>
            <c:numRef>
              <c:f>'Referenda Pivots'!$AF$8:$AI$8</c:f>
              <c:numCache/>
            </c:numRef>
          </c:val>
        </c:ser>
        <c:ser>
          <c:idx val="4"/>
          <c:order val="4"/>
          <c:tx>
            <c:strRef>
              <c:f>'Referenda Pivots'!$AE$10</c:f>
            </c:strRef>
          </c:tx>
          <c:spPr>
            <a:solidFill>
              <a:schemeClr val="accent5"/>
            </a:solidFill>
            <a:ln cmpd="sng">
              <a:solidFill>
                <a:srgbClr val="000000"/>
              </a:solidFill>
            </a:ln>
          </c:spPr>
          <c:cat>
            <c:strRef>
              <c:f>'Referenda Pivots'!$AF$3:$AI$3</c:f>
            </c:strRef>
          </c:cat>
          <c:val>
            <c:numRef>
              <c:f>'Referenda Pivots'!$AF$10:$AI$10</c:f>
              <c:numCache/>
            </c:numRef>
          </c:val>
        </c:ser>
        <c:ser>
          <c:idx val="5"/>
          <c:order val="5"/>
          <c:tx>
            <c:strRef>
              <c:f>'Referenda Pivots'!$AE$6</c:f>
            </c:strRef>
          </c:tx>
          <c:spPr>
            <a:solidFill>
              <a:schemeClr val="accent6"/>
            </a:solidFill>
            <a:ln cmpd="sng">
              <a:solidFill>
                <a:srgbClr val="000000"/>
              </a:solidFill>
            </a:ln>
          </c:spPr>
          <c:cat>
            <c:strRef>
              <c:f>'Referenda Pivots'!$AF$3:$AI$3</c:f>
            </c:strRef>
          </c:cat>
          <c:val>
            <c:numRef>
              <c:f>'Referenda Pivots'!$AF$6:$AI$6</c:f>
              <c:numCache/>
            </c:numRef>
          </c:val>
        </c:ser>
        <c:overlap val="100"/>
        <c:axId val="1085555253"/>
        <c:axId val="1872862546"/>
      </c:barChart>
      <c:catAx>
        <c:axId val="10855552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1872862546"/>
      </c:catAx>
      <c:valAx>
        <c:axId val="18728625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555525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Head Ambassador Election Votes</a:t>
            </a:r>
          </a:p>
        </c:rich>
      </c:tx>
      <c:overlay val="0"/>
    </c:title>
    <c:plotArea>
      <c:layout/>
      <c:barChart>
        <c:barDir val="col"/>
        <c:ser>
          <c:idx val="0"/>
          <c:order val="0"/>
          <c:tx>
            <c:strRef>
              <c:f>Referenda!$G$1</c:f>
            </c:strRef>
          </c:tx>
          <c:spPr>
            <a:solidFill>
              <a:schemeClr val="accent1"/>
            </a:solidFill>
            <a:ln cmpd="sng">
              <a:solidFill>
                <a:srgbClr val="000000"/>
              </a:solidFill>
            </a:ln>
          </c:spPr>
          <c:cat>
            <c:strRef>
              <c:f>Referenda!$S$2:$S$1667</c:f>
            </c:strRef>
          </c:cat>
          <c:val>
            <c:numRef>
              <c:f>Referenda!$G$2:$G$1667</c:f>
              <c:numCache/>
            </c:numRef>
          </c:val>
        </c:ser>
        <c:ser>
          <c:idx val="1"/>
          <c:order val="1"/>
          <c:tx>
            <c:strRef>
              <c:f>Referenda!$H$1</c:f>
            </c:strRef>
          </c:tx>
          <c:spPr>
            <a:solidFill>
              <a:schemeClr val="accent2"/>
            </a:solidFill>
            <a:ln cmpd="sng">
              <a:solidFill>
                <a:srgbClr val="000000"/>
              </a:solidFill>
            </a:ln>
          </c:spPr>
          <c:cat>
            <c:strRef>
              <c:f>Referenda!$S$2:$S$1667</c:f>
            </c:strRef>
          </c:cat>
          <c:val>
            <c:numRef>
              <c:f>Referenda!$H$2:$H$1667</c:f>
              <c:numCache/>
            </c:numRef>
          </c:val>
        </c:ser>
        <c:ser>
          <c:idx val="2"/>
          <c:order val="2"/>
          <c:tx>
            <c:strRef>
              <c:f>Referenda!$M$1</c:f>
            </c:strRef>
          </c:tx>
          <c:spPr>
            <a:solidFill>
              <a:schemeClr val="accent3"/>
            </a:solidFill>
            <a:ln cmpd="sng">
              <a:solidFill>
                <a:srgbClr val="000000"/>
              </a:solidFill>
            </a:ln>
          </c:spPr>
          <c:cat>
            <c:strRef>
              <c:f>Referenda!$S$2:$S$1667</c:f>
            </c:strRef>
          </c:cat>
          <c:val>
            <c:numRef>
              <c:f>Referenda!$M$2:$M$1667</c:f>
              <c:numCache/>
            </c:numRef>
          </c:val>
        </c:ser>
        <c:ser>
          <c:idx val="3"/>
          <c:order val="3"/>
          <c:tx>
            <c:strRef>
              <c:f>Referenda!$N$1</c:f>
            </c:strRef>
          </c:tx>
          <c:cat>
            <c:strRef>
              <c:f>Referenda!$S$2:$S$1667</c:f>
            </c:strRef>
          </c:cat>
          <c:val>
            <c:numRef>
              <c:f>Referenda!$N$2:$N$1667</c:f>
              <c:numCache/>
            </c:numRef>
          </c:val>
        </c:ser>
        <c:ser>
          <c:idx val="4"/>
          <c:order val="4"/>
          <c:tx>
            <c:strRef>
              <c:f>Referenda!$O$1</c:f>
            </c:strRef>
          </c:tx>
          <c:cat>
            <c:strRef>
              <c:f>Referenda!$S$2:$S$1667</c:f>
            </c:strRef>
          </c:cat>
          <c:val>
            <c:numRef>
              <c:f>Referenda!$O$2:$O$1667</c:f>
              <c:numCache/>
            </c:numRef>
          </c:val>
        </c:ser>
        <c:ser>
          <c:idx val="5"/>
          <c:order val="5"/>
          <c:tx>
            <c:strRef>
              <c:f>Referenda!$P$1</c:f>
            </c:strRef>
          </c:tx>
          <c:cat>
            <c:strRef>
              <c:f>Referenda!$S$2:$S$1667</c:f>
            </c:strRef>
          </c:cat>
          <c:val>
            <c:numRef>
              <c:f>Referenda!$P$2:$P$1667</c:f>
              <c:numCache/>
            </c:numRef>
          </c:val>
        </c:ser>
        <c:ser>
          <c:idx val="6"/>
          <c:order val="6"/>
          <c:tx>
            <c:strRef>
              <c:f>Referenda!$Q$1</c:f>
            </c:strRef>
          </c:tx>
          <c:cat>
            <c:strRef>
              <c:f>Referenda!$S$2:$S$1667</c:f>
            </c:strRef>
          </c:cat>
          <c:val>
            <c:numRef>
              <c:f>Referenda!$Q$2:$Q$1667</c:f>
              <c:numCache/>
            </c:numRef>
          </c:val>
        </c:ser>
        <c:ser>
          <c:idx val="7"/>
          <c:order val="7"/>
          <c:tx>
            <c:strRef>
              <c:f>Referenda!$S$1</c:f>
            </c:strRef>
          </c:tx>
          <c:cat>
            <c:strRef>
              <c:f>Referenda!$S$2:$S$1667</c:f>
            </c:strRef>
          </c:cat>
          <c:val>
            <c:numRef>
              <c:f>Referenda!$S$2:$S$1667</c:f>
              <c:numCache/>
            </c:numRef>
          </c:val>
        </c:ser>
        <c:axId val="948747903"/>
        <c:axId val="268032842"/>
      </c:barChart>
      <c:catAx>
        <c:axId val="9487479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68032842"/>
      </c:catAx>
      <c:valAx>
        <c:axId val="268032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874790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828675</xdr:colOff>
      <xdr:row>47</xdr:row>
      <xdr:rowOff>28575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400050</xdr:colOff>
      <xdr:row>18</xdr:row>
      <xdr:rowOff>104775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771525</xdr:colOff>
      <xdr:row>19</xdr:row>
      <xdr:rowOff>95250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857250</xdr:colOff>
      <xdr:row>42</xdr:row>
      <xdr:rowOff>19050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123825</xdr:colOff>
      <xdr:row>29</xdr:row>
      <xdr:rowOff>161925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25</xdr:col>
      <xdr:colOff>904875</xdr:colOff>
      <xdr:row>39</xdr:row>
      <xdr:rowOff>104775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238125</xdr:colOff>
      <xdr:row>9</xdr:row>
      <xdr:rowOff>9525</xdr:rowOff>
    </xdr:from>
    <xdr:ext cx="8677275" cy="53625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1667" sheet="Referenda"/>
  </cacheSource>
  <cacheFields>
    <cacheField name="#" numFmtId="0">
      <sharedItems containsString="0" containsBlank="1"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904.0"/>
        <n v="69.0"/>
        <n v="70.0"/>
        <n v="71.0"/>
        <n v="796.0"/>
        <n v="73.0"/>
        <n v="74.0"/>
        <n v="75.0"/>
        <n v="76.0"/>
        <n v="77.0"/>
        <n v="78.0"/>
        <n v="79.0"/>
        <n v="80.0"/>
        <n v="81.0"/>
        <n v="82.0"/>
        <n v="83.0"/>
        <n v="84.0"/>
        <n v="85.0"/>
        <n v="86.0"/>
        <n v="87.0"/>
        <n v="88.0"/>
        <n v="89.0"/>
        <n v="90.0"/>
        <n v="91.0"/>
        <n v="92.0"/>
        <n v="93.0"/>
        <n v="94.0"/>
        <n v="95.0"/>
        <n v="96.0"/>
        <n v="97.0"/>
        <n v="98.0"/>
        <n v="99.0"/>
        <n v="601.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599.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582.0"/>
        <n v="371.0"/>
        <n v="372.0"/>
        <n v="373.0"/>
        <n v="374.0"/>
        <n v="375.0"/>
        <n v="376.0"/>
        <n v="559.0"/>
        <n v="378.0"/>
        <n v="379.0"/>
        <n v="380.0"/>
        <n v="381.0"/>
        <n v="382.0"/>
        <n v="383.0"/>
        <n v="384.0"/>
        <n v="385.0"/>
        <n v="386.0"/>
        <n v="387.0"/>
        <n v="388.0"/>
        <n v="389.0"/>
        <n v="390.0"/>
        <n v="391.0"/>
        <n v="392.0"/>
        <n v="393.0"/>
        <n v="394.0"/>
        <n v="395.0"/>
        <n v="541.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96.0"/>
        <n v="483.0"/>
        <n v="484.0"/>
        <n v="485.0"/>
        <n v="486.0"/>
        <n v="487.0"/>
        <n v="488.0"/>
        <n v="489.0"/>
        <n v="490.0"/>
        <n v="491.0"/>
        <n v="492.0"/>
        <n v="493.0"/>
        <n v="494.0"/>
        <n v="495.0"/>
        <n v="482.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396.0"/>
        <n v="542.0"/>
        <n v="543.0"/>
        <n v="544.0"/>
        <n v="545.0"/>
        <n v="546.0"/>
        <n v="547.0"/>
        <n v="548.0"/>
        <n v="549.0"/>
        <n v="550.0"/>
        <n v="551.0"/>
        <n v="552.0"/>
        <n v="553.0"/>
        <n v="554.0"/>
        <n v="555.0"/>
        <n v="556.0"/>
        <n v="557.0"/>
        <n v="558.0"/>
        <n v="377.0"/>
        <n v="560.0"/>
        <n v="561.0"/>
        <n v="562.0"/>
        <n v="563.0"/>
        <n v="564.0"/>
        <n v="565.0"/>
        <n v="566.0"/>
        <n v="567.0"/>
        <n v="568.0"/>
        <n v="569.0"/>
        <n v="570.0"/>
        <n v="571.0"/>
        <n v="572.0"/>
        <n v="573.0"/>
        <n v="574.0"/>
        <n v="575.0"/>
        <n v="576.0"/>
        <n v="577.0"/>
        <n v="578.0"/>
        <n v="579.0"/>
        <n v="580.0"/>
        <n v="581.0"/>
        <n v="370.0"/>
        <n v="583.0"/>
        <n v="584.0"/>
        <n v="585.0"/>
        <n v="586.0"/>
        <n v="587.0"/>
        <n v="588.0"/>
        <n v="589.0"/>
        <n v="590.0"/>
        <n v="591.0"/>
        <n v="592.0"/>
        <n v="593.0"/>
        <n v="594.0"/>
        <n v="595.0"/>
        <n v="596.0"/>
        <n v="597.0"/>
        <n v="598.0"/>
        <n v="162.0"/>
        <n v="600.0"/>
        <n v="100.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2.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68.0"/>
        <n v="905.0"/>
        <n v="906.0"/>
        <n v="907.0"/>
        <n v="908.0"/>
        <n v="909.0"/>
        <n v="910.0"/>
        <n v="911.0"/>
        <n v="912.0"/>
        <n v="913.0"/>
        <n v="914.0"/>
        <n v="915.0"/>
        <n v="916.0"/>
        <n v="917.0"/>
        <n v="918.0"/>
        <n v="919.0"/>
        <n v="920.0"/>
        <n v="921.0"/>
        <n v="922.0"/>
        <n v="923.0"/>
        <n v="924.0"/>
        <n v="925.0"/>
        <m/>
      </sharedItems>
    </cacheField>
    <cacheField name="Title" numFmtId="0">
      <sharedItems containsBlank="1">
        <s v="[Reject] Supposed to be Hello World"/>
        <s v="OpenCommunity Governance"/>
        <s v="Proposal"/>
        <s v="[Whitelisted Caller] Referendum #3: Upgrade Bridge Hub to v9420"/>
        <s v="PolkaWorld Ops and Maintenance proposal：2023.6 - 2023.8"/>
        <s v="KILT Decentralized Identity Provider (DIP) - Polkadot Medium Spender Proposal"/>
        <s v="Saturn Gateway - A Multichain Multisig Application for the Polkadot Ecosystem"/>
        <s v="Nomination Pool Incentives - Fixing an issue with Motion 339"/>
        <s v="Nova Wallet 4th Proposal: Multistaking dashboard, Staking Nomination Pools, WalletConnect v2, New Assets tab UI, Community Requested Features, Reimbursement for delivered features"/>
        <s v="Fix HostConfiguration"/>
        <s v="Polkashots.io Cloud Costs January-April 2023"/>
        <s v="Restructuring of Polkadot Brasil"/>
        <s v="Aibot proposal：June 2023 - August 2023"/>
        <s v="Subsquare and dotreasury new features development plan including governance statistics, dotreasury dark mode, etc"/>
        <s v="Encode Club Tranches 2 and 3"/>
        <s v="Subsquid - Public data indexing Infrastructure for Polkadot and Kusama (Q1 2023)"/>
        <s v="A Common Ledger App Compatible With All Polkadot And Kusama Parachains [ retroactive funding for development ]"/>
        <s v="Privacy Sidechains for all Substrate- Based Chains"/>
        <s v="[Whitelisted Caller] Referendum #18 Polkadot v9430"/>
        <s v="[Small Spender] Stakeworld's polkadot RPC and bootnode infrastructure - Q2 2023"/>
        <s v="Subscan | Infrastructure Costs of Subscan for Polkadot &amp; Westend &amp; Rococo &amp; Statemint &amp; Rockmine  Networks (from July to December 2022)"/>
        <s v="Ledger Apps Maintenance Proposal (Polkadot, Kusama, Statemine, Statemint)"/>
        <s v="Genesis DAO Ecosystem Integration"/>
        <s v="Polkassembly's Registrar Application"/>
        <s v="Proposal: ink! design security review by OpenZeppelin (treasury proposal 2/2)"/>
        <s v="Requesting a return of the submission deposit related to Motion #406."/>
        <s v="[OpenGov] Return of the bond for the rejection of (Gov1) Treasury Proposal #244 (MVP Workshop)"/>
        <s v="Requesting a return of the submission deposit related to Motion #405."/>
        <s v="Returning submission deposit for Anagolay proposal, related to rejecting proposal #256 (more info in the desc.)"/>
        <s v="Societal - A Homebase for Decentralized Communities"/>
        <s v="OpenGov submission of Motion 420 - Upstream funding Matrix.org Foundation"/>
        <s v="Requesting a return of the submission deposit"/>
        <s v="Milestone 2: Polkadot Hackathon Global Series 2023: Europe Edition"/>
        <s v="Encointer Treasury Proposal"/>
        <s v="RadiumBlock seeks reimbursement for Polkadot Endpoint Service (Q4 2022 and Q1 2023)"/>
        <s v="Polkadotters – retroactive and future funding of community powered media for Polkadot &amp; Kusama ecosystem in 2022-2024"/>
        <s v="OneBlock The 2023 Polkadot Summer Hackathon proposal"/>
        <s v="(Big Tipper) Small Funding for KryptosChain Media"/>
        <s v="(Small tipper) Funding for AnimatedCrypto channel "/>
        <s v="Next revision of increasing nomination pool limits &amp; commission"/>
        <s v="Pinknode Public Endpoint for Polkadot in Q4 2022"/>
        <s v="Notifi Vote RE: #1767 Notifi - Communication &amp; Notification Tooling for Polkadot's Broader Ecosystem"/>
        <s v="[Please reject] Erroneous Referendum Submission"/>
        <s v="Polkadot Relayers Incubator 2023"/>
        <s v="Treasury proposal for New Product Development &amp; OpenGov Deployment"/>
        <s v="Funded High Performance Public Infrastructure for the entire Polkadot Ecosystem (OnFinality)"/>
        <s v="Polkadot Hubs - Initiative case-study, education and support for future hubs (12 months period)"/>
        <s v="Approve Polkadot Assurance Legion Bounty"/>
        <s v="Part 1 of 2 request for 1100 DOT deposit reimbursement"/>
        <s v="Part 2 of 2 request for 1100 DOT deposit reimbursement"/>
        <s v="GovernGoofed, a proposal to tackle 3 of the most challenging issues in OpenGov V1"/>
        <s v="[Whitelisted Caller] Referendum #51: Open HRMP Channels Between System Parachains"/>
        <s v="DAO_Terminal: Enhancing User Involvement in Polkadot Governance"/>
        <s v="[Auction Admin] Referendum #53: Start an Auction"/>
        <s v="25-minute contextual primer on Polkadot 2.0"/>
        <s v="[TAKE TWO] Next revision of increasing nomination pool limits &amp; commission"/>
        <s v="Canceling Remaining Auctions and Introducing New Ones"/>
        <s v="Rust, Substrate, ink! technical content for rust developers."/>
        <s v="[Whitelisted Caller] Referendum #58: Increase Parachain Validators to 250"/>
        <s v="[Reject] incorrect preimage"/>
        <s v="A small tip for media representation"/>
        <s v="A small chatbot for the polkadot wiki"/>
        <s v="Metadata for offline signers"/>
        <s v="vote no pls , I missed preimage :("/>
        <s v="Treasury Proposal by 727.ventures: Polkadot Wink"/>
        <s v="AIWeb3 Chinese Unit proposal (爱Web3 中文社区提案)  -   PLEASE REJECT THIS, the amount of KSM is not correct!"/>
        <s v="AIWeb3 Chinese Unit proposal (爱Web3 中文社区提案)"/>
        <s v="Security Audit of trustless Ethereum 2.0 Light Client, developed as a Substrate Pallet"/>
        <s v=" Top Up request: Universal Hybrid Substrate Faucet"/>
        <s v="[FAULTY PREIMAGE, PLEASE REJECT] A Polkadot Ecosystem App Store"/>
        <s v="Finsig SDK for Apple Products"/>
        <s v="Wasm Smart Contracts Bounty #19"/>
        <s v="[Retroactive] RegionX Corehub | Parachain management"/>
        <s v="Rejecting Gov1.0 Treasury Proposals and Facilitating Bond Reimbursement where applicable"/>
        <s v="Runtime Upgrade on Kusama to v9370"/>
        <s v="canceling"/>
        <s v="Smoldot development financing Q3/2023"/>
        <s v="Blockops Network - Grant Proposal for the development of One-Click Parachain Deployment"/>
        <s v="SmallTipper"/>
        <s v="deleted"/>
        <s v="Bounty to back Apillon Web3 development platform as a common good infrastructure"/>
        <s v="OnFinality High Performance Public Infrastructure (Q2 2023)"/>
        <s v="[Staking Admin] Referendum #84: Update System Collator Sets and Configurations"/>
        <s v="DOT holders 🤝 &amp; The Kusamarian 🤖❤️"/>
        <s v="Substrate, XCM rust technical practice videos."/>
        <s v="Maintenance for the substrate-api-client Feb-23 to Apr-23  -&gt; Wrong KSM PLEASE REJECT"/>
        <s v="OnFinality Unified NFT API"/>
        <s v="Proposal: Artificial Intelligence for security monitoring on a network level "/>
        <s v="Gosemble Phase 2 - a Framework for building Substrate-compatible Runtimes in Go (Parachains &amp; Solochains)"/>
        <s v="Specialized Learning Path of Polkadot Ecosystem for Devs"/>
        <s v="Wrong $DOT amount, please nay"/>
        <s v="Infrastructure Funding for Polkadot Asset Hub - Migration of Kusama NFTs"/>
        <s v="Small tip for Polkadot community activation in Finland"/>
        <e v="#ERROR!"/>
        <s v="Milestone 2 and 3 Payment Request – YieldBay: Polkadot’s yield farming dashboard"/>
        <s v="POLKADOT INSIDER - 28 WEEKS OPERATION &amp; GROWTH FUNDING (AUGUST 2023 - FEBRUARY 2024)"/>
        <s v="Patron Milestones 2-7 Development"/>
        <s v="Polkadot Agents Program - Phase 1"/>
        <s v="Milestone 3 Proposal: Polkadot x EasyA Hackathons at Harvard and in London (#60DaysOfPolkadot)"/>
        <s v="[Retroactive] Polytope Labs: ISMP Research &amp; Development"/>
        <s v="Milestone 3: Polkadot Hackathon Global Series 2023"/>
        <s v="Polkadot journal: A Marketing Proposal for Polkadot/Kusama"/>
        <s v="Proposal: OpenZeppelin x Polkadot Ecosystem Growth"/>
        <s v="Community-Centric Blockchain Education: Dacade's Commitment to Polkadot's Growth via learning through sharing"/>
        <s v="LayerX - rollout parachain as Trustless Bridge between Polkadot and Ethereum."/>
        <s v="Polkasafe - Milestone 2 - Retroactive funding proposal"/>
        <s v="[Whitelisted Caller] Referendum #110: Update Parachain Validation Config"/>
        <s v="Propose Curator for PAL Bounty"/>
        <s v="Refunding Pink Node's GOV1 Treasury Spend Deposit"/>
        <s v="Refunding MIDL.DEV's GOV1 Treasury Spend Deposit"/>
        <s v="Refunding Radium Block's GOV1 Treasury Spend Deposit"/>
        <s v="Refunding CCTF's GOV1 Treasury Spend Deposit"/>
        <s v="PolkaWorld Ops and Maintenance proposal：2023.9 - 2023.11"/>
        <s v="Societal: Advanced Treasury, Governance and Member Management Systems for Decentralized Communities"/>
        <s v="Maintenance for the substrate-api-client Sep-23 to Dec-23"/>
        <s v="An Open Communication Layer For Polkadot"/>
        <s v="Multix - Further development and Cypress Dapp testing plugin"/>
        <s v="Crypto-Friendly Substrate Scaffold Pallets for Every Parachains"/>
        <s v="[Whitelisted Caller] Referendum #122: Register KSM on Asset Hub"/>
        <s v="Recognising Paradox's Contributions to Reject Gov 1 Proposals and Release Bonds"/>
        <s v="Magnet Proposal: Polkadot’s Smart Contract Docking Station using DOT as Gas Based on the PAYG Model"/>
        <s v="Nova Spektr Milestone 3 Proposal: Dynamic Derivations, WalletConnect v2, Proxy accounts, Cross-chain transfers, Fiat values, EVM addresses &amp; more"/>
        <s v="RadiumBlock: Retroactive funding for High Performance Public Endpoint Service for Polkadot(Q4 2022 and Q1 2023)"/>
        <s v="Void - incorrect spend submitted"/>
        <s v="Allocate DOT Loan for Use Amongst Cross-Ecosystem DeFi within the Cosmos Ecosystem"/>
        <s v="Encointer Treasury Proposal (budget halving)"/>
        <s v="Cancel Old Auctions Schedule - Replaced by New Schedule After OpenGov Inclusion"/>
        <s v="Polkadot @ SXSW 2023, Austin, Texas on March 12th-15th 2023"/>
        <s v="Unbrick Nodle"/>
        <s v="Election of curation team - bounty 19: Wasm Smart Contracts Bounty"/>
        <s v="Proposal: Building a better understanding of blockchain across mainstream global media"/>
        <s v="Moderation Team Bounty"/>
        <s v="Create &amp; implement RFC14 - Improve locking mechanism for parachains"/>
        <s v="ink!Hub Treasury Proposal "/>
        <s v="OnFinality High Performance Public Infrastructure (Q3 2023)"/>
        <s v="Moonbeam: Swap Leases with Parachain 3342"/>
        <s v="(VOTE NAY!!) Polkadot Parachain Assets Onramp Bounty Program "/>
        <s v="Increasing Hiring Success in Polkadot by Missing Link"/>
        <s v="Increase MaxMemoryPages to 512MB"/>
        <s v="Refunding AlexPromoTeam GOV1 Treasury Spend Deposit"/>
        <s v="Small Tips retroactive for Content in Portuguese UPDATED (Vote Nay - if you set AYE Change your vote to NAY)"/>
        <s v="Subsquid - Public data indexing Infrastructure for Polkadot and Kusama (Q2 2023)"/>
        <s v="KAGOME – the C++ implementation of Polkadot Host milestone 2"/>
        <s v="Ignore / Nay (Duplicate Ref) "/>
        <s v="Notifi - Communication &amp; Notification Tooling for Polkadot's Broader Ecosystem V2 Proposal"/>
        <s v="Untitled"/>
        <s v="Bounty: The Genesis Incentive Pool"/>
        <s v="Polkadot System Parachain Collators - Tips"/>
        <s v="KryptosChain Media Support (Continuation) - Big Tipper Request"/>
        <s v="ink! OpenBrush 8-9, 11 milestone delivery"/>
        <s v="Retroactive and future maintenance/development of Parachains.info"/>
        <s v="Polkadot &amp; Teddy DAO: A New Way to Leverage Charitable Giving in Web3"/>
        <s v="Polkadot System Parachain Collators - Tips - Referenda #151 failed to execute"/>
        <s v="Increase DOT media visibility through media buying and airdrop campaign"/>
        <s v="PolkaWorld Ops and Maintenance proposal：2023.10 - 2024.3"/>
        <s v="Moderation Team Bounty Curator Proposal"/>
        <s v="AIWeb3 Chinese Unit proposal (爱Web3 中文社区提案) - September, 2023 - March, 2024"/>
        <s v="Apillon Platform Milestone 1 Proposal"/>
        <s v="Polkadot P2P Network Health Weekly Reports"/>
        <s v="Polkadot Parachain Assets Onramp Bounty Program"/>
        <s v="Polkadot Nominator Insight Hub. Spreading the Best Nominator Strategies through TOP Nomination Leaderboards"/>
        <s v="Tweak Polkadot's Ideal Staking Rate"/>
        <s v="Maintenance &amp; Support Python Libraries (April to September 2023)"/>
        <s v="A French content hub for Polkadot Ecosystem"/>
        <s v="Need to get tip which is not executed in old gov"/>
        <s v="Coinsider Media Campaign for Polkadot"/>
        <s v="Get tip for substrate PR"/>
        <s v="OpenSquare infrastructure products maintenance(2023 Q2 and Q3) and a new batch of features development"/>
        <s v="Dubbing Polkadot Decoded 2023 into Italian"/>
        <s v="Proposal for USDC Sufficiency on Polkadot Asset Hub"/>
        <s v="SubQuery &lt;&gt; Nova Wallet Common API:  Maintenance Cost For Q1-Q2 2023"/>
        <s v="Polkadot Unity SDK proposal to become a Verified Solution (Part 1)"/>
        <s v="Dot Leap 2: Let's grow!"/>
        <s v="Polkadot Blockchain Academy - retroactive funding for wave 3 of the Academy held at UC Berkeley this Summer."/>
        <s v="Beyond Raw Data: How Polkascan Transforms Subsquid Aggregates into a User-Friendly Polkadot Experience (Polkadot Treasury Proposal)"/>
        <s v="Polkawatch, Decentralization Analytics, Continued Operation and Development"/>
        <s v="Featured Research Proposal: Empowering the Polkadot Ecosystem [CryptoEQ]"/>
        <s v="Polkassembly Social Contract | Maintenance proposal Q3 &amp; Q4’23"/>
        <s v="Cryptozilla - retroactive and continuation of video content production. (Big Tipper)"/>
        <s v="Proposal：Polkadot Hackathon 2023 Winter in HongKong"/>
        <s v="Public rpc services for polkadot including the common chains in Q3 2023"/>
        <s v="Encode latest tranche request"/>
        <s v="ELLIPAL Self-custody Cold Wallet 1 Proposal: DOT/KSM Tokens, Staking,ASTR &amp; GLMR Parachains&amp;Tokens,DOT/KSM/ ASTR/GLMR Swap,WalletConnect v2,Polkadot Wallet Integration"/>
        <s v="Kuma Wallet - Milestone 5"/>
        <s v="Recognizing Alice und Bob and #stakedot"/>
        <s v="Polkadot RPC services Dwellir Q3 2023 (retroactive) "/>
        <s v="Removed"/>
        <s v="DOTCAST - Pursuing quality improvement by spreading honest and true awareness."/>
        <s v="[TrackingChain] Bring Adoption for Companies: Building Infrastructure for Web2 Integration (Big Tipper Discussion)"/>
        <s v="Please vote against"/>
        <s v="Educational content maintenance proposal by Cryptonitas"/>
        <s v="Polkadot Weigher"/>
        <s v="Big Tips for Content in Portuguese - Verbo da Sabedoria Channel"/>
        <s v="Polkadot Ecosystem App Store - Dynamic App Pages &amp; Project Reputation System - dotappstore.com"/>
        <s v="Polkadot Relayers 2023 Milestone 2"/>
        <s v="Proposal: The operating cost for the research organization Polkadot Ecology Research Institute for 2023/10-2024/3"/>
        <s v="💎DOT Airdrop on Terra 2.0 ✅"/>
        <s v="Kill Referendum 203 (Scam Referendum)"/>
        <s v="Treasury Proposal: Parachain Loan Financing (PLF) Kapex Parachain"/>
        <s v="Please ignore or disapprove!"/>
        <s v="Go-Substrate-Rpc-Client - Retroactive Maintenance Grant (Sept 2021 to Dec 2023)"/>
        <s v="[Root] Referendum #208"/>
        <s v="[Retroactive Funding] Dotinsights - A Research Hub &amp; Data Platform for Polkadot &amp; Kusama Ecosystem"/>
        <s v="[Whitelisted Caller] Referendum #211: Upgrade Polkadot v1,000,000"/>
        <s v="Encointer Lease2 Treasury Proposal 2/2"/>
        <s v="KryptosChain Media (The Next Level!) - 6 Months of funding"/>
        <s v="[PRE-IMAGE FIX + RESUBMISSION] Polkadot Ecosystem App Store - Dynamic App Pages &amp; Project Reputation System - dotappstore.com"/>
        <s v="Smoldot development financing Q4/2023"/>
        <s v="Long Overdue Tip for Leemo's Contributions to the Polkadot Ecosystem"/>
        <s v="KryptosChain en Español (Polkadot ecosystem video content in Spanish) - 12 weeks funding"/>
        <s v="BlockchainBrad Educational &amp; Journalist Content - 6 Months funding"/>
        <s v="Proof-driven Whistleblowing: Decrease in the Number of Teams in the Ecosystem. Several Posts/Research by Rita2me."/>
        <s v="PolkaTube: Empowering the Spanish-Speaking Polkadot Ecosystem with RUST Programming, Substrate, and Marketing Content"/>
        <s v="Markedot: Marketplace and marketing with profits for the Polkadot and Kusama  community."/>
        <s v="Polkadot Pulse 1.0 &amp; Polkadot Networking Night @ IBW, ETHIndia Week"/>
        <s v="Proposal: Funding for the Brazilian Portuguese Language Content Producers Group"/>
        <s v="Retroactive funding for 73videos about Polkadot ecosystem(波卡梦龙)"/>
        <s v="AfterSide Crypto in Italian (Polkadot ecosystem video content in Italian) - 2 Videos"/>
        <s v="Retroactive tip for Polkadot booth at Hacktivity Security Festival 2023"/>
        <s v="Non-custodial DOT payments integration for major eCommerce platforms"/>
        <s v=" [VOTE NAY - RESUBMISSION IN PROCESS] Activation and retention of developers in Turkey and India for the Polkadot Ecosystem"/>
        <s v="Polkadot Sanctuary: A Journey of Achievements and Innovations in Bali - Retroactive funding"/>
        <s v="Polkadot Treasury USDT Acquisition"/>
        <s v="Chain Cohort Event Sponsorship - Opportunity to tap more than 1000 developers community and technology university in Vietnam."/>
        <s v="Enhance analytics solutions for Polkadot: Chainspect's Treasury Proposal"/>
        <s v="Title: Polkadot @CoindeskConsensus 2023, April 26-28, 2023 in Austin, Texas"/>
        <s v="Invalid: Events Bounty V2 Curator Candidacy"/>
        <s v="Events Bounty V2 Curator Candidacy"/>
        <s v="Retroactive Funding - Polkasafe Revised Proposal"/>
        <s v="IBC x Largest Polkadot Developer Outreach Proposal"/>
        <s v="Cancel Referendum 211 (runtime upgrade) due to bad call "/>
        <s v="Crafting a Users &amp; Developers Onboarding Funnel"/>
        <s v="Retroactive &amp; Ongoing Funding Rationale: Republik Rupiah - Turning Indonesia into the Polkadot Island's With Education and Community"/>
        <s v="BRA_16-D! Quality improvement of content for the Spanish Comunity by BRA_16-D"/>
        <s v="PROPOSAL FOR ADVANCING DECENTRALIZED FINANCE EDUCATION IN LATIN AMERICA WITH THE POLKADOT ECOSYSTEM"/>
        <s v=" Milestone 4: Polkadot Hackathon Global Series 2023 APAC Edition"/>
        <s v="Cancel Referendum 241 (runtime upgrade) due to XCM issue"/>
        <s v="PR, Content marketing, Social amplifications proposal"/>
        <s v="substrate-etl Retroactive funding: Q3+Q4 2022-Q1+Q2 2023"/>
        <s v="Cryptor. Polkadot AMAs for 2 largest Russian speaking crypto communities."/>
        <s v="Bounty Proposal: Business Prospects for Polkadot in Brazil"/>
        <s v="VOTE NAY IN THIS PROPOSAL 251"/>
        <s v="[Small Spender] Referendum #252: Retroractive funding for Web3 Education and Investment YouTube Channel Proposal"/>
        <s v="Vote (NAY) Revised the Tip Proposal - Dotgraphic "/>
        <s v="[Small Spender] Referendum #254: Retroractive funding for Web3 Education and Investment YouTube Channel Proposal"/>
        <s v="Altcoin Daily - High impact Polkadot media promotion"/>
        <s v="MASON VERSLUIS - Medium to High impact Polkadot media promotion"/>
        <s v="Addressing Polkadot's Negative Image on Twitter"/>
        <s v="DECENTRALISEDCHAIN - Low impact Polkadot media promotion"/>
        <s v="Big Tips for Subtitling and Promoting Kusamarian's Gavin Wood Interview"/>
        <s v="6 months Educational Campaign in India - Crypto India"/>
        <s v="AllInCrypto's Strategic Content and Community Engagement Proposal"/>
        <s v="Tip for Adam Steeber's participation in Dot Take"/>
        <s v="TuPrimerBitcoin: Creation of quality content on Youtube to make the Spanish-speaking Polkadot ecosystem more visible."/>
        <s v="EatYourCryptos: Creation of Educational Content in Spanish on Youtube"/>
        <s v="A Pink Proposal for $PINK"/>
        <s v="Cancel Referendum 265 - Funding 999,999 DOT for meme coin in the name of Polkadot Marketing."/>
        <s v="Revised Tip Proposal After Community Feedback - Dotgraphic "/>
        <s v="[Whitelisted Caller] Referendum #268: Polkadot v1,000,0001"/>
        <s v="Maria Andersen Crypto | Youtube Media Package Funding"/>
        <s v="Crypto Crow | Youtube Media Package Funding"/>
        <s v="Proposal to Fund educational content for MAD CRIPTO MX YouTube Channel and twitter account"/>
        <s v="Clockwise Crypto | Youtube Media Package Funding"/>
        <s v="MineYourBiz  | Youtube Media Package Funding"/>
        <s v="Advancing Decentralization:  @asteeber's Educational Video on Runtime Upgrade"/>
        <s v="Mind The Chart | Youtube Media Package Funding"/>
        <s v="&quot;Mistake in preimage - please Nay&quot;"/>
        <s v="SIAMO TUTTI NON FUNGIBILI | Youtube &amp; Social Media Package Funding"/>
        <s v="Open HRMP channels: AssetHub &lt;&gt; Composable Finance &amp; AssetHub &lt;&gt; Zeitgeist"/>
        <s v="dApp Marvels 💎 - Ink! Ecosystem growth tool"/>
        <s v="CryptoWendyO | Youtube Media Package Funding"/>
        <s v="Discover Crypto | Youtube Media Package Funding"/>
        <s v="Crypto Blood | Youtube Media Package Funding"/>
        <s v="Wrong Proposal"/>
        <s v="Decentralized Staking Support Group"/>
        <s v="Connecting The Dots "/>
        <s v="AfterSide Crypto | 6 MONTHS - Youtube &amp; Social Media Package Funding"/>
        <s v="Polkadot System Parachain Collators - Tips Q4/2023"/>
        <s v="please vote nay"/>
        <s v="Maintenance for the substrate-api-client Jan-24 to Jun-24"/>
        <s v="Please reject"/>
        <s v="Quality Content Creation and P2P support - The Bitcoin Army's Orinoco Campaign"/>
        <s v="The HGA Marketing Proposal"/>
        <s v="Wrong Preimage please vote Nay"/>
        <s v="VOTE NAY - WE ARE REPOSTING - Polkadot Brand Awareness Partnership with Real Vision (Raoul Pal)"/>
        <s v="ignore - UI errors"/>
        <s v="Holder-targeted Audience Growth w/  Addressable.io &amp; The Kusamarian"/>
        <s v="Polkadot's Educational Campaign India: A Wise Advice Initiative"/>
        <s v="Effective Media Proposal Evaluation System for the Polkadot Marketing Collective/s (Stage 1: Focus on Builders)"/>
        <s v="Easybuild. Fast Path for Future Polkadot Builders committed to building."/>
        <s v="Nova Wallet 5th Proposal: Cloud backups, Push Notifications, Proxies, Deeplinks, OpenGov improvements, Network management, Reimbursement"/>
        <s v="Reward for Content already made on Rust"/>
        <s v="Supercharge Polkadot's Brand: Collaborative Partnership with (Mario Nawfal) IBC Ventures"/>
        <s v="Bounty 27 Curator Committee Proposal "/>
        <s v="YouTube Polkadot Round Table Discussion"/>
        <s v="Toni Ghinea - Creating Polkadot Content"/>
        <s v="DAPP CENTRE | Youtube Media Package Funding"/>
        <s v="Talisman Wallet - Retroactive Proposal #1"/>
        <s v="Subscan | Infrastructure Costs of Subscan for Polkadot &amp; Westend &amp; Rococo &amp; Statemint &amp; Rockmine  Networks (from January to September 2023)"/>
        <s v="Oracle Ecosystem Initiative"/>
        <s v="KryptosChain Short Term Funding"/>
        <s v="#ERROR PLEASE VOTE NAY"/>
        <s v="https://github.com/paritytech/polkadot-api/pull/200"/>
        <s v="#ERROR PLEASE VOTE NAY!"/>
        <s v="Bring Adoption for Companies: Empowering BlockSpace with PolkadotSDK as the Core Infrastructure"/>
        <s v="“NacionCrypto” Establishment of Study Group and Development of Technical and Non-Technical Content."/>
        <s v="Increase Awareness of Polkadot On-Brand Narratives via Twitter Ads"/>
        <s v="Bitskwela - Bringing Polkadot to the Thriving Philippine Web 3.0 Community"/>
        <s v="Posted in error please vote nay"/>
        <s v="A 12-Month Strategic Alliance proposal: Polkadot and Cheeky Crypto Partner for Decentralized Innovation"/>
        <s v="Polkadot Brand Awareness Partnership with Real Vision (Raoul Pal)"/>
        <s v="Building Developer Ecosystems In Turkey &amp; India"/>
        <s v=" Crypto Sj Media proposal - Educational &amp; Awareness  Campaign in India"/>
        <s v="Alpha Airdrop - Polkadot Education Content Creation Proposal (6 months)"/>
        <s v="Corespace Weigher"/>
        <s v="DOT Request - UPDATE REJECT THIS REQUEST"/>
        <s v="OG Tracker"/>
        <s v="Proposed Polkadot Auction Schedule 2024"/>
        <s v="Treasury Proposal: An expansive course on Substrate and Polkadot"/>
        <s v="Development &amp; Maintenance for Node Red Polkadot bridge, a Client for Low Code IoT Integration"/>
        <s v="Polkadot Sponsorship @Token 2049, Singapore on September 13th - 14th 2023"/>
        <s v="Polkadot Colombia Ambassadors: technology education marathon through ten universities in Colombia and one in San Salvador."/>
        <s v="Open HRMP channels between AssetHub and Polimec"/>
        <s v="test"/>
        <s v="Polkadot Ecosystem Growth with Key Opinion Leaders"/>
        <s v="Business Expansion with Fintech, Corporate and Institutions in Spain and Andorra"/>
        <s v="Funding for 6 months of Polkadot brand promotion"/>
        <s v="Lark Davis - Proposal for Funding Polkadot Content Creation"/>
        <s v="Bounty Proposal for Public RPCs for Relay and System Chains"/>
        <s v="Scholarship for Polkadot Blockchain Academy Founder's Track"/>
        <s v="Cancel Ref 341 - Dolpha.com seeking 150,000 DOT "/>
        <s v="Polkadot Workshop @ UPR Mayaguez"/>
        <s v="sub0 Asia 2024 - pre-funding request"/>
        <s v="Proposal for the Deregistration of Equilibrium Parachain"/>
        <s v="Financial Support for Polkadot Blockchain Academy (PBA)."/>
        <s v="Polkadot IRL ADS Campaign #1 - Out of Home Digital Billboards, Toronto Canada"/>
        <s v="Influencer Marketing Campaign for Polkadot Community Engagement"/>
        <s v="Polkadot Staking Dashboard: Maintenance and Growth of Polkadot UX Proposal"/>
        <s v="Amplification of important ecosystem posts on X"/>
        <s v=" Polkadot Unity SDK proposal to become a Verified Solution (Part 2)"/>
        <s v="Magnet Milestone 2 Proposal: Polkadot’s Smart Contract Docking Station using DOT as Gas Based on On-demand Coretime Model"/>
        <s v="Retroactive Funding to Pepe Araucano for the Polkadot Meetup Buenos Aires"/>
        <s v="Bagpipes - Powerful No-code Cross-Chain XCM Dapp and Workflow Builder for the Polkadot Ecosystem 🪄"/>
        <s v="Funding of Polkadot System Parachain Collators"/>
        <s v="[Retroactive] Funding Development Costs for Dot Code School PoC - An Interactive Coding School to Build Meaningful Web3 Applications using the Polkadot SDK"/>
        <s v="WagMedia - Collective Content Creation for 26 Weeks"/>
        <s v="substrate-etl 2.0: Polkadot + Kusama Data on Dune (12 months, 3/15/24-3/14/25)"/>
        <s v="Polkadot Music Events Initiative - onboarding fans, artists and builders to Polkadot through music"/>
        <s v="Big Tipper Proposal : Retroactive fund - Meetup Multi Chain 2023 - Curitiba, Brazil "/>
        <s v="2nd installment for the referendum #196 already approved (2/3)"/>
        <s v="RegionX | Coretime Marketplace for Polkadot"/>
        <s v="Milestone 4 Report: Polkadot x EasyA Hackathons at Harvard and in London (#60DaysOfPolkadot)"/>
        <s v="Subsquid - Public data indexing Infrastructure for Polkadot and Kusama (Q3 2023)"/>
        <s v=" Proposal for retroactive funding of Fellowship product development."/>
        <s v="Ignite Polkadot | Campaign #1"/>
        <s v="Polkadot Blockchain Academy - funding and reimbursement for costs associated with Wave 4 in Hong Kong."/>
        <s v="Unchained (by Laura Shin) X Polkadot - Sponsorship Proposal "/>
        <s v="Tip for maintenance of the ORML pallets"/>
        <s v="Reimburse AssetHub HRMP channel deposit"/>
        <s v="NFT XCM"/>
        <s v="Setting the relay chain's safeXcmVersion to v3"/>
        <s v="BLOX MEDIA GROUP - Media Package"/>
        <s v="Continuous Coverage on Ivan on Tech for a FULL YEAR"/>
        <s v="Executive Search for PolkaDot - Senior BD Executive Search for PolkaDot "/>
        <s v="Boosting NFT Education in Latin America with the Polkadot Ecosystem"/>
        <s v="Community Memecoin launch marketing campaign"/>
        <s v="Polkadot Decoded 2023, final tranche (June, Copenhagen, DK)"/>
        <s v="Promoting the adoption of Polkadot through Gaming - The Great Escape"/>
        <s v="A Chain of Blocks - ACOBJason - 6 Months Continual Polkadot EcoSystem News &amp; Explanations"/>
        <s v="THIS PROPOSAL IS AN ERROR. PLEASE IGNORE: THE AMOUNT IS NOT CORRECT. PLEASE VOTE NAY. "/>
        <s v="Marketing Support NoSpec"/>
        <s v="(please read the important update first) To build the Sónar +D DAO by Polkadot: How blockchain can revolutionize the music industry."/>
        <s v="Finding and fixing a vulnerability in broker-pallet"/>
        <s v="Assigning a Curator to Bounty 32 (System Parachain Collator Bounty)"/>
        <s v="Twitter Kols Outreach"/>
        <s v="Universal Hybrid Substrate Faucet"/>
        <s v="Maintenance &amp; Support Substrate Python API (Oct-Dec 2023)"/>
        <s v="Error in Submission and Address"/>
        <s v="Small tip to CultureDot for their efforts to market Polkadot at Times Square."/>
        <s v="Approve Current Fellowship V and VI Dan Members"/>
        <s v="Proposal: Polkadot Brand Awareness Campaign with Crypto Banter - Ran Neuner / PLEASE VOTE NAY"/>
        <s v="Marketing Bounty"/>
        <s v="Re-submission: Open HRMP channels between AssetHub and Polimec"/>
        <s v="Web3 Association 2024 Sponsorship"/>
        <s v="Error! Please vote NAY"/>
        <s v="Representing Polkadot on Radio Intereconomía &amp; BDZ, the Main Spanish Web3 Event"/>
        <s v="Treasury Proposal for Zeeve Wrench - an open-source Parachain Automation Framework"/>
        <s v="ink! + Ethereum RPC = ethink!. Proposal-01: PoC and Prototype."/>
        <s v="Polkadot Southeast Asia Developer Community Expansion for 1 Year Operation"/>
        <s v="Curators Candidates - Bounty #28"/>
        <s v="Polkadot Developers Conference // sub0 September 19-20, 2023 in Lisbon, Portugal - Final tranche"/>
        <s v="Polkadot in Finance: A Strategic Partnership Development Proposal"/>
        <s v="Building a Polkadot Hub for DevRels, Talent Pipeline and Potential Deal Flow for the Polkadot Ecosystem from the Philippines"/>
        <s v="Open HRMP Channels Between AssetHub And InvArch"/>
        <s v="Behind the Code II' - A Web Documentary series - OpenGov proposal "/>
        <s v="Upgrade Polkadot v1,001,000"/>
        <s v="Marketing Support NoSpec Tipper 2"/>
        <s v="PolkaWarriors - Cultivate a robust &amp; collaborative community of Polkadot in Vietnam"/>
        <s v=" Illustrated Book: &quot;The Sacred Coin Quest&quot; - Create a Collective Memory"/>
        <s v="Big Tip for Content in Portuguese - Verbo DotSama"/>
        <s v="Retroactive tip for Polkadot hackathon brunch in Dubai and Budapest"/>
        <s v="DOT Experts Tip for Hector Bulgarini for Proposal #379: NFT XCM"/>
        <s v="Proposing Curators for Bounty #31"/>
        <s v="Encode Club x Polkadot Education Programming 2023 - A Summary Report of Tranche 4 to Request Funding for Tranche 5"/>
        <s v="Treasury Proposal: Marketing and media proposal for Polkadot in China"/>
        <s v="Private Transfers of DOT"/>
        <s v="Encode x Polkadot 2024 Programming"/>
        <s v="Update Sufficient Asset Minimum Balances"/>
        <m/>
        <s v="Open HRMP channels between AssetHub and Hashed Network"/>
        <s v="Polkadot Watchdogs Governance Monthly Incentive Referendum #1 - VOTE NAY"/>
        <s v="Treasury Proposal: DOT liquidity loan for Bifrost DOT liquid staking token (vDOT) to be returned + DOT Staking rewards to Polkadot Treasury"/>
        <s v="Press Kit Polkadot 2.0"/>
        <s v="Approval of curators for Bounty 33 (marketing bounty)"/>
        <s v="Retroactive reimburesement for para upgrade fees contributions"/>
        <s v="Integrating Polkadot Blockchain for Decentralized Electric Vehicle Charging Network"/>
        <s v="Open HRMP channels between AssetHub and Unique Network"/>
        <s v="Retroactive Funding for ORML, Chopsticks, and Subway"/>
        <s v="Clean up undecodable storage entry"/>
        <s v="DOT Experts Tip for OnlyDeFiGuy for Proposal #432 | Bifrost vDOT liquidity loan"/>
        <s v="OpenZeppelin x Polkadot Ecosystem Growth Phase M2"/>
        <s v="Update Polkadot Asset Hub v1,001,001 and Sufficient Asset Minimum Balances"/>
        <s v="Cancelling Referenda 416, 428, and 443 in a batch"/>
        <s v="[PLEASE REJECT] Bridging Minds with TEACHMEDEFI: Growing Polkadot‘s Mindshare in the Crypto Space"/>
        <s v="POLKADOT IRL CAMPAIGN #2 - BERLIN TAXIS"/>
        <s v="Polkadot Branding and Differentiation Partnership with Cointelegraph"/>
        <s v="[Retroactive] SubWallet 14 Months Development"/>
        <s v="Mistake in pre-image - please vote NAY"/>
        <s v="Project Glove: Introducing Capital Efficiency and Pseudo-Anonymity on top of OpenGov"/>
        <s v="Redot #1: Polkadot Restaking and Enabling Polkadot DA Capabilities"/>
        <s v="Dota: Build up an Inscription Ecosystem on Polkadot"/>
        <s v="De-register parachain ID 2057"/>
        <s v="CryptoRank.io Exclusive Proposal: Empowering Polkadot’s Presence in the Crypto Sphere and Attracting New Active Users"/>
        <s v="The Polkadot Caravan Tour: Bridging the Gap in the U.S. Crypto Landscape"/>
        <s v="USDT and USDC Acquisition for the Treasury"/>
        <s v="Upgrade System to v1.1.2"/>
        <s v="Tip for 2023 Treasury Budget Analysis"/>
        <s v="Tip for Educational Content: OpenGov Thought Leadership"/>
        <s v="3nd installment for the referendum #196 already approved (3/3)"/>
        <s v="Retroactive Funding for Mimir - A Powerful Multisig Management Application For Polkadot Ecosystem"/>
        <s v="Polkadot Hackathon Global Series 2024: North America Edition"/>
        <s v="Paseo - Developer Testnet Funding"/>
        <s v="Polkalator"/>
        <s v="Polkadot-API: development financing"/>
        <s v="Project Proposal: Integration &amp; Support for  Moonbeam"/>
        <s v="Setup of two Swiss Foundations for DED and Mythos"/>
        <s v="Games Bounty [38]"/>
        <s v="BD Bounty [39]"/>
        <s v="Big Tip for a Portuguese/English educational channel"/>
        <s v="Big Tip For Market Mobster Polkadot Content Since 2020"/>
        <s v="Compensate for insufficient `phragmenElection.renounce` unreserve amount"/>
        <s v="Tutorial Media funding for KryptosChain"/>
        <s v="NoSpec Content Creator Support. "/>
        <s v="Polkadot Decoded 2024 treasury spend tranche 1/2"/>
        <s v="Small Tips for Retroactive Content"/>
        <s v="ETHDenver 2024 - Polkadot - Event Recap Video Marketing - Amplify Presence at One of the Largest Blockchain Conferences"/>
        <s v="Retroactive tip for work done on exchanging a member in the ranked collective"/>
        <s v="Formation of new space. Eliminate blockage. Developed for peace!"/>
        <s v="Veles project proposal - Carbon credits pallet"/>
        <s v="Polkassembly Social Contract 2024"/>
        <s v="Polkadot Moderation Team Bounty Top-up"/>
        <s v="Polkadot Ecosystem Discord Risk Mitigation"/>
        <s v="Retroactive Tip For Independent Content Creation"/>
        <s v="Polkadot Ambassador Program"/>
        <s v="Refill Marketing Bounty [33]"/>
        <s v="Setting setOnDemandQueueMaxSize to 500"/>
        <s v="Funding Development Costs to Expand Dot Code School – Bridging the Gap Between Online Learning and Real-World Web3 Development with Local Coding Environments"/>
        <s v="Polkadot Greece (Retroactive)"/>
        <s v="Proposal: 2024 Polkadot Decoded China (Hong Kong) July 27-28 (Time TBD, usually two weeks after the Flagship Decoded)"/>
        <s v="LiteSend - remittance service secured by Polkadot"/>
        <s v="Implementing a Polkadot-native system parachain for data storage: Phase 1/3"/>
        <s v="The Sónar+D DAO by Polkadot"/>
        <s v="DeFi Infrastructure &amp; Tooling Bounty"/>
        <s v="Bounty Proposal: Business Development Polkadot in Spain &amp; Andorra - VOTE NAY"/>
        <s v="Dot Amplify"/>
        <s v="Swissborg Proposal - A One Month Polkadot Awareness Campaign "/>
        <s v="Unified Wallet And Dapp Interaction"/>
        <s v="Tip for Longtime Polkadot Supporters CryptoWise"/>
        <s v="Treasury Proposal: Futarchy, a New Signal Generating Tech for Polkadot Governance"/>
        <s v="Milestone 1: EasyA x Polkadot Developer Growth via In-Person Hackathons and Crash Courses (#180DaysOfPolkadot)"/>
        <s v="Retroactive funding for developing the RFCs Referenda Bot"/>
        <s v="Set `safeXcmVersion` to 3 for AssetHub, Collectives and BridgeHub"/>
        <s v="[Medium Spender] Referendum #506"/>
        <s v="Polkadot Community Workspace NYC by Transistor"/>
        <s v="Polkadot sponsorship for LIFT Learning - A Fenasbac + Central Bank of Brazil initiative"/>
        <s v="Approval of curators for Bounty 39 (BD bounty)"/>
        <s v="Approval of curators for Bounty 38 (Games bounty)"/>
        <s v="Dot Latam Day 2023 (Retroactive)"/>
        <s v="Big Tipper Proposal: ETHDenver Official Afterparty (Bash) Polkadot Airdrop "/>
        <s v="Open HRMP Channels between AssetHub and Crust Network"/>
        <s v="Conor Daly - 2024 Indianapolis 500 Sponsorship"/>
        <s v="Marketing Bounty Flex [#41] - VOTE NAY"/>
        <s v="Bounty Cleanup Proposal"/>
        <s v="Polkadot Desktop Wallet Tutorial by Altcoin Daily"/>
        <s v="Parachain Runtime Builder - Treasury"/>
        <s v="Tip for Common Good Referendum Deposit Clean-up and Validator Payout Bot"/>
        <s v="Representation of Polkadot at the NERDCONF 6th Edition event in Mexico City at the BBVA Tower."/>
        <s v="Explainer video for Polkadot 2.0 - easy and understandable "/>
        <s v="(PLEASE REJECT) Read below if you are a PolkadotJS user"/>
        <s v="Rising Karting Star Seeks Polkadot Partnership(withdrawn)"/>
        <s v="Transfer the Lease of Bifrost Parachain 3356 to Bifrost Parachain 2030 to avoid downtime"/>
        <s v="Polkadot marketing proposal in Chinese speaking areas"/>
        <s v="Bounty proposal: Business Development Polkadot in Spain &amp; Andorra"/>
        <s v="Reimbursement for lost pool rewards"/>
        <s v="Error - Vote NAY"/>
        <s v="Refill for marketing bounty number #33 [250k]"/>
        <s v="1TRIBE: Africa On DOT - Phase II"/>
        <s v="Bounty Proposal: [Spanish content and event production bounty]"/>
        <s v="Meetups Bounty [#43]"/>
        <s v="NOTE - Vote Nay [Incorrect Preimage]"/>
        <s v="Inscriptions generator and marketplace (tender offer)"/>
        <s v="Vote Nay"/>
        <s v=" Polkadot Developer Community in China Expansion for 1 Year Operation"/>
        <s v="POLKADOT &lt;&gt; KUSAMA BRIDGE SECURITY BOUNTY"/>
        <s v="Chopsticks Web for dry run governance proposals and more"/>
        <s v="OpenGov Discord Voting Bot Development"/>
        <s v="Retroactive Small Tips for Content (February)"/>
        <s v="Talisman Unified Retroactive Proposal #2"/>
        <s v="Initialize Kusama GRANDPA light-client running on Polkadot BridgeHub"/>
        <s v="Request for transferring all the DOT from the hacker's account to the Starlay's account"/>
        <s v="Replaced by Proposal #551 Amharic Chain Polkadot Academy to Small Spender Track"/>
        <s v="[VOTE NAY] DED Token birthing phase: &quot;EDs&quot; and technical proposal | On-Demand Governance for Assets on Asset Hub. "/>
        <s v="SHITTY PROPOSAL SORRY "/>
        <s v="PolkaMAPS, a DOTins project"/>
        <s v="AmharicChain Polkadot Academy"/>
        <s v="Token Terminal x Polkadot data partnership - Polkadot ecosystem on Token Terminal and their partner platforms (Bloomberg, MarketVector)"/>
        <s v="Polkadot Pulse Dubai Edition &amp; Networking Night @ Token2049, Dubai"/>
        <s v="{bash} Events (the PMEI team) - a music and technology sandbox | onboarding users into Polkadot through music"/>
        <s v="DED Bounty - VOTE NAY"/>
        <s v="BD Bounty (retry)"/>
        <s v="Games Bounty (retry)"/>
        <s v="Infrastructure funding for Polkadot Asset Hub #2 -  Components"/>
        <s v="Polkadot Hydration: Treasury LP"/>
        <s v="Polkadot Hydration: Liquidity Incentives"/>
        <s v="AMI Bounty Program"/>
        <s v="Cancelling DED Tech Proposal, and Deferring to DED Bounty Fund"/>
        <s v="Please vote to reject! The preimages hash is incorrect."/>
        <s v="Pinkdrop: Powering User Engagement and Ecosystem Growth"/>
        <s v="Proposal: Codigo Brazuca + Polkadot Brazil - Tech Academy - from Basic to Advanced  -  8 Months Track"/>
        <s v="Retroactive Tip For Solo Content Creation"/>
        <s v="Duplicate of #545 - please ignore"/>
        <s v="Please vote to reject! The preimages hash is incorrect"/>
        <s v="PolkaWorld Ops and Maintenance proposal：2024.4 - 2025.4"/>
        <s v="Polkadot Anti-scam Team Bounty Top-up"/>
        <s v="Big Tip for Polkadot Brasil on X"/>
        <s v="Continuation of work through Messari Protocol Services"/>
        <s v="Increase Awareness of Polkadot On-Brand Messages via Twitter Ads (5/1/24-12/31/24)"/>
        <s v="StellaSwap Incentive Program"/>
        <s v="Polkadot Runtime Upgrade v1.1.3"/>
        <s v="Kalatori — non-custodial Polkadot/AssetHub payment gateway for eCommerce"/>
        <s v="PBA referendum - vote NAY - incorrect preimage"/>
        <s v="Polkadot Blockchain Academy - Wave 5 in person and remote - Singapore 20th May to 20th June 2024"/>
        <s v="Request withdrawn - replaced by whitelisted caller #593"/>
        <s v="Vote NO - Mistake in submission - New referenda coming shortly -  Polkadot @ Coindesk Consensus"/>
        <s v="Nomination Pool: Remove max pool and max member limits"/>
        <s v="Polkadot @ Coindesk Consensus"/>
        <s v="VOTE NAY - ERROR IN PREIMAGE"/>
        <s v="Fund system chains sovereign accounts on Polkadot BridgeHub for Polkadot&lt;&gt;Kusama bridge"/>
        <s v="Open HRMP Channels between AssetHub and Mythos"/>
        <s v="Error - Vote no"/>
        <s v="Requesting a refill for marketing bounty number #33"/>
        <s v="Brave Browser Advertising Campaign Discussion"/>
        <s v="Proposing Curators for the DeFi Infrastructure &amp; Tooling Bounty"/>
        <s v="Polkadot Live: Proposal for funding community driven development to initial release."/>
        <s v="Funding for Decentralized Social Media Editorial Board"/>
        <s v="A small tip for a staking rewards calculator"/>
        <s v="VOTE NO. Mistake in submission - New referendum coming shrtly"/>
        <s v="Lawsuit against Giotto Bounty"/>
        <s v="Mistake vote NO"/>
        <s v="This is a tip request for Boosting NFT Education in Latin America with the Polkadot Ecosystem"/>
        <s v="Contribution to the Italian Polkadot Community: Funding Request"/>
        <s v="Manta Wallet Retroactive Funding"/>
        <s v="Telenova: Polkadot Wallet built into Telegram. Retroactive Funding for 6 months"/>
        <s v="Setting onDemandBaseFee to 0.025 DOT"/>
        <s v="Polkadot x The Tie Partnership to Increase Institutional Exposure and Access"/>
        <s v="Integration of Polkadot into ChatG (An Ai Chat Startup)"/>
        <s v="Set BEEFY genesis (thus starting BEEFY consensus on Polkadot)"/>
        <s v="Conor Daly Indy500 Replacement Ref"/>
        <s v="PolkaBot.AI - Decentralized AI education hub on Polkadot "/>
        <s v="Subsquid Migration to ArrowSquid &amp; Indexing Upgrades"/>
        <s v="ink! Analyzer: Retroactive funding for ink! v5 support"/>
        <s v="VOTE no, wrong track"/>
        <s v="Discord Governance Bot Self Tip Request - 0xTaylor"/>
        <s v="Polkadot Growth Index 📈 and AI Insights 💡"/>
        <s v=" Vote Nay"/>
        <s v="Technical Support Bounty #625"/>
        <s v="[Big Tipper] Referendum #626"/>
        <s v="Proposal for Polkadot OpenGov Funding: WEB3DEV Bootcamp for Rust and Pallets Learning"/>
        <s v="Tip for Adam Steeber + Kusamarian concerning #514 Conor Daly - 2024 Indianapolis 500 Sponsorship"/>
        <s v="[Revision] Nomination Pool: Remove max pool and max member limits"/>
        <s v="Subsquare polkadot fellowship support milestone 1"/>
        <s v="TEACHMEDEFI - Growing Polkadot’s Mindshare in the Crypto Space"/>
        <s v="DOTCAST /This_is_the_DOT"/>
        <s v="OG Tracker 2.0"/>
        <s v="REJECT"/>
        <s v="Approval of curators for Bounty 43 (Meetup bounty)"/>
        <s v="Tip for 7 Polkadot Decentralized Voices"/>
        <s v="Bump parachain validation timeouts"/>
        <s v="Curators Candidates - Bounty #42"/>
        <s v="Polkadot in Spanish X account and Marketing Decentralization"/>
        <s v="Maintenance &amp; Support Substrate Python API (Jan-Mar 2024)"/>
        <s v="Mythical Games and Polkadot, a proposal from Mythos Foundation Swiss"/>
        <s v="#644 Polkadot - Sports Sponsorship Fund"/>
        <s v="Set Asset Rates for Treasury Assets"/>
        <s v="CURATORS PROPOSAL FOR BOUNTY 44 - POLKADOT &lt;&gt; KUSAMA BRIDGE SECURITY BUGBOUNTY"/>
        <s v="Polkadot.JS API UI enhancements"/>
        <s v="Upgrade Polkadot to Release v1.2.0"/>
        <s v="Infrastructure Builders Program Bounty"/>
        <s v="(Vote Nay) Polkadot Ecosystem growth campaigns"/>
        <s v="The Block x Polkadot"/>
        <s v="Test Proposal - Please Vote Nay"/>
        <s v="Magnet Milestone 3 Proposal: An Appchain Tech Stack leverages the Coretime Model to enhance DOT use cases and facilitate Polkadot's growth"/>
        <s v="Polkadot AmharicChain Hub: Mastering Polkadot | Empowering Learning"/>
        <s v="POLKADOT IRL CAMPAIGN #5 - POLKADOT X LYFT NYC"/>
        <s v="PolkaBiz  - Where founders forge investment-ready innovations."/>
        <s v="Semi-Retroactive &amp; Ongoing Funding for Cryptopolitan for Media Boost, Engagement, and Reach 2024 "/>
        <s v="Tip for Polkadot Presentation at Vienna Crypto Meetup"/>
        <s v="Tip Request for @OnlyDeFiGuy for the Expert Report on Referendum #561"/>
        <s v="Wrong amount vote nay"/>
        <s v="Polkadot Beam Sponsorship at ETHPrague 2024"/>
        <s v="⧓ Apillon Platform - Milestone 2 Proposal"/>
        <s v="Polkadot Fleet of Bikes in Paris for the Olympic &amp; Paralympic Games : A Unique &amp; Massive Marketing opportunity."/>
        <s v="Retroactive Tip for Portuguese Content Creation"/>
        <s v="52 Weeks of Kus Coverage ❤️🤖"/>
        <s v="Polkadot Drone Shows Over VELD Music Fest (100K+ Attendance) - Brand Awareness + PR Campaign"/>
        <s v="Retrospective Funding Proposal of the Polkadot HK Event"/>
        <s v="Infinity Wallet - A unique native desktop Wallet &amp; Web3 Browser - Milestone 1"/>
        <s v="Retroactive self-tip Request for Maintenance and Ongoing Development Validator Dashboard and Services"/>
        <s v="Retroactive Polkadot Event in Guadalajara Mexico - Talent Land 2024"/>
        <s v="Improving Polkadot’s Presence In the U.S. With The Texas Blockchain Council"/>
        <s v="Nova Spektr Milestone 4 Proposal: OpenGov voting and delegation, Support for complex account structures, Flexible multisigs, Operation basket, Assets Portfolio view, Fellowship voting, Web-hosted app"/>
        <s v="Polkadot Aligned Sponsorship at Proto Layers @ Prague [cancelled]"/>
        <s v="Polkadot Dapps over Apps"/>
        <s v="Proposal for Ensuring Continuity in Creating Content about Polkadot - VOTE NAY. THE PREIMAGE PROPOSAL IS PULLED"/>
        <s v="Initialize Snowbridge on BridgeHub and AssetHub"/>
        <s v="Proposal for JAM Ratification, Conformance, Performance by Polkadot Fellows"/>
        <s v="Pop Network | Enabling simple and powerful smart contract development, with DOT"/>
        <s v="Chainalysis analytics solutions on Polkadot Relay Network"/>
        <s v="Polkadot Q2 Marketing Campaigns by Distractive "/>
        <s v="Proposal for Klaster Integration into the Polkadot Ecosystem"/>
        <s v=" Integration of Avata with the Polkadot Ecosystem"/>
        <s v="Enable async backing on polkadot"/>
        <s v="Curators Candidates - Bounty #40"/>
        <s v="G6 Networks: Polkadot Ecosystem Expansion with Institutions"/>
        <s v="Proposal for unlocking $PINK from Phala soverign account to sibling account"/>
        <s v="Polkadot Bridge Hub 1.2.2 upgrade: Unstuck bridge with Kusama"/>
        <s v="Polkadot-API: Apr-Jul development financing"/>
        <s v="（Wrong commit! Please vote NAY）"/>
        <s v="Sponsorship and Side Event: Merge Madrid"/>
        <s v="The operating cost for the research organization Polkadot Ecology Research Institute for 2024/4-2025/3"/>
        <s v="BlockDeep Labs: Ecosystem Services Proposal for Polkadot Treasury"/>
        <s v="Restrict delegations on root and treasurer tracks"/>
        <s v="Elevating the Polkadot Ecosystem: Encode x Polkadot Programme 2024 "/>
        <s v="Approve the Polkadot EVM Collective"/>
        <s v="Reducing duration of spending periods"/>
        <s v="Reducing inflation - VOTE NAY"/>
        <s v="Wrong preimage - Please vote NAY"/>
        <s v="Test the brand-new spend() extrinsic"/>
        <s v="Ongoing Development of Gossamer (16 months)"/>
        <s v="NFT in Polkadot, the first book on NFTs in the Polkadot ecosystem."/>
        <s v="Retroactive Funding Request for PolkadotPrague 2023 Marketing Costs"/>
        <s v="Implement Optimistic Project Funding"/>
        <s v="VOTE NO - DUPLICATE"/>
        <s v="Incentivize Interlay iBTC capacity as Polkadot common good"/>
        <s v="Tip Request for Fardeen Haque for Awesome Dot"/>
        <s v="Proposal Outdated - Do Not Vote: LAOS already won Auction 68 with SF Bid"/>
        <s v="Establishing an Insurance Bounty to increase fiscal efficiency of Polkadot treasury"/>
        <s v="Top Up for Polkadot at Consensus "/>
        <s v="Polkadot @ Coinfest Asia 2024"/>
        <s v="TIP: Gamer Streaming Reimbursement"/>
        <s v="Open HRMP channels between AssetHub and SORA"/>
        <s v="ink! + Ethereum RPC = ethink!. Proposal-02: Getting Testnet-Ready."/>
        <s v="REJECT "/>
        <s v="The Gray Paper Interview' Retrospective Funding for Post-Production"/>
        <s v="Please vote NAY - Wrong preimage"/>
        <s v="#727 Semi-Retroactive Proposal for the translation of the Polkadot Wiki to Hungarian"/>
        <s v="Polkadot Insider 52 weeks Operation (May 2024 - May 2025)"/>
        <s v="Tip Ajay Dhore for transferring the polkadot_api npm package"/>
        <s v="Proposal: Establish the Polkadot Community Foundation to represent DOT holders IRL"/>
        <s v="Marketing support to help raise a new  US$100 Million Polkadot Ecosystem Fund"/>
        <s v="Please, VOTE NAY"/>
        <s v="Decoded 2024 Sponsorship for active community members"/>
        <s v="PREMATURE UN-NOTE OF PREIMAGE - BERLIN TAXI - REFILL #1 - WILL NOT EXECUTE"/>
        <s v="Reimbursement - Polkadot Pulse Dubai Edition &amp; Polkamix w/ Afrojack @ Token2049, Dubai"/>
        <s v="Kampela hardware cold signer productizing proposal"/>
        <s v="Onboarding Established Generative Artists to Polkadot Asset Hub and driving user engagement"/>
        <s v="Polkadot Blockchain Academy Wave 5 Singapore - Demo day seed prize fund proposal"/>
        <s v="Changing the curves of the referendums that were affected by extended confirmation periods"/>
        <s v="Move Part of Treasury to Asset Hub"/>
        <s v="CoinMarketCap x Polkadot 6 months integration (Renewable)"/>
        <s v="Express Lane"/>
        <s v="Empower Polkadot Playground - Educate With Game For Highschool and University"/>
        <s v="MobilePolka: Unveiling Polkadot's Depths on the Go"/>
        <s v="Polkadot 2.0 Definition"/>
        <s v="Bringing Stellar Liquidity to Polkadot: Loan DOT Collateral for Pendulum’s Spacewalk Bridge Vaults"/>
        <s v="Runtime Verification: Advanced Rust Property Test Verification for Polkadot Ecosystem"/>
        <s v="Propose Curator for IBP"/>
        <s v="Polkadot @ Blockchain Rio 2024"/>
        <s v="Should we abolish DV?"/>
        <s v="Learn Polkadot Tip for Polkadot Brand Being Elevated by Conor Daly and Inter Miami"/>
        <s v="PRE-IMAGE ERROR - VOTE NAY"/>
        <s v="Pilot MOU Proposal for a Collaboration between the Polkadot Ecosystem and the Founder Institute:"/>
        <s v="Test the brand-new spend() extrinsic (resubmission of 708)"/>
        <s v="Replacing curators for events bounty 17"/>
        <s v="Open source alternative to centralized polkadot API gateways and node as a service"/>
        <s v="POLKADOT IRL CAMPAIGN #6 - THE CITY &amp; CANARY WHARF, LONDON UK"/>
        <s v="Retroactive Payments for {bash} + adding Zebu Live Official Closing Party"/>
        <s v="HEROIC x Polkadot sponsorship"/>
        <s v="The JAM Spring Time Tour &amp; Top Up - The Kus x Key Pictures"/>
        <s v="Retroactive Tip - Reimbursement for Miami trip wrt Polkadot x Inter Miami proposal"/>
        <s v="Replacing curators for event bounty 17 (backup)"/>
        <s v="OG Tracker 2.0 Top Up"/>
        <s v="Recovering lost funds for local initiative"/>
        <s v="2nd Milestone Request for Rewards and Fees for Polkadot Prodigy Hackathon 2024"/>
        <s v="Make DED the official meme coin of Polkadot"/>
        <s v="dotafair: Fair Launch Chain,  A zero-threshold Fair Launch platform aims to build a DOT-based public benefit chain ecosystem, adding more use cases and adoption for DOT."/>
        <s v="Pease VOTE NAY, parameter is wrong"/>
        <s v="AIWeb3 Chinese Unit(爱Web3 中文社区) operation June. 2024 - Dec. 2024"/>
        <s v="DOTphin Event Multipass by Sovereign Nature with WalletConnect integration &amp; upgradeable, dynamic NFTs by Unique Network"/>
        <s v="Kinera, a Decentralised Media Platform [CANCELLED]"/>
        <s v="Events Bounty Top Up Proposal "/>
        <s v="Proposal: Funding for Design and Development of XCQ, the Cross-Consensus Query Language"/>
        <s v="Proposal for the Development of SubstrateSQL Server"/>
        <s v="ink! Analyzer: Retroactive funding for ink! 4.x to 5.0 migration features, and other major improvements (56,750 USDT)"/>
        <s v="Ignore - superceded by 781"/>
        <s v="DOT Experts Tip for OnlyDeFiGuy for Proposal #684 Chainalysis analytics solutions in DOT"/>
        <s v="DOT Experts Tip for OnlyDeFiGuy for Proposal #684 Chainalysis analytics solutions in USD"/>
        <s v="Developer tools for Polkadot-API"/>
        <s v="VOTE NAY, WRONG PRE-IMAGE"/>
        <s v="Chainalysis analytics solutions on Polkadot Network"/>
        <s v="Cancel Chainanalysis ref"/>
        <s v="Cancel root ref #693"/>
        <s v="Proposal for DED Bounties: Revitalizing Community Engagement"/>
        <s v="Top-up of Proposal 657 due to DOT price change."/>
        <s v="Polkadot Relayers Incubator 2024"/>
        <s v="[Whitelisted Caller] Upgrade Polkadot v1.2.4"/>
        <s v="Maintenance for the substrate-api-client Jul-24 to Dec-24"/>
        <s v="Beamex PERPadot: DOT LP Depth Loan, a significant DOT liquidity depth on Beamex Perpetual Exchange"/>
        <s v="Beamex PERPadot: Liquidity Incentives  program to attract liquidity and onboard new users to the Polkadot ecosystem via Perpetual Trading "/>
        <s v="A Polkadot Ecosystem App Store"/>
        <s v="Polkadot Ecosystem vCISO Program w/Spearbit"/>
        <s v="DOTCAST /This_is_the_DOT Top Up"/>
        <s v="Presentation on Augmented Reality Advertising for Polkadot by Overthereality"/>
        <s v="Polkadot Dapps over Apps (REVISED)"/>
        <s v="Inclusion of Moonbeam in marketing narratives"/>
        <s v="Curators Candidates - Bounty #49"/>
        <s v="Polkadot in Spanish Editorial Board and Marketing Top Up "/>
        <s v="Ecosystem Test Environment Bounty"/>
        <s v="Polkadot Education Program for Top Ethiopian Universities."/>
        <s v="Automated Reward Payout Initiative"/>
        <s v="Pre-Image error vote NAY"/>
        <s v="12 Months of Polkadot Advertising on Spotify x 2 Ad Campaigns"/>
        <s v="Open-Source Registrar Development Continuity"/>
        <s v="Pre-Image error, vote NAY"/>
        <s v="A reactive library for building Substrate front-end"/>
        <s v="error vote no"/>
        <s v="#814 Proposal: Promotion to &quot;VII Dan: Free Master&quot; for Gavin Wood - Evidence below"/>
        <s v="*UPDATED* Polkadot Drone Show + NFT Drop Over VELD Music Fest (100K+ Attendance) - Brand Awareness + PR Campaign"/>
        <s v="Proposal: Adding More Auctions For LP18 On Polkadot"/>
        <s v="Polkadot Business Development in Brazil - Continuation of Operations"/>
        <s v="Referendum #819 for the Polkadot UX Bounty"/>
        <s v="Title Sponsorship at the Crypto AI Summer Conference"/>
        <s v=" Free Beer Stand &amp; BD/Networking Space at Polkadot Decoded"/>
        <s v="Referendum #822 - Refill for marketing bounty number #33"/>
        <s v="Vote Nay. Is a toturial about How to Request Stable asset USDT, USDC"/>
        <s v="AssetX the new Polkadot Asset Hub DEX"/>
        <s v=" Cancelling treasury proposal #774"/>
        <s v="Revolutionizing Social Media for a Better Internet"/>
        <s v="Polkadot.js UI Bug When Initiating A Parathread for Parachain Auction"/>
        <s v="StorageHub’s Codebase Audit"/>
        <s v="Referendum 631 top up due to DOT price change"/>
        <s v="Funding the Technical Fellowship Sub-Treasury"/>
        <s v="VIRTUNE AB X POLKADOT - ETP CAMPAIGN, SWEDEN &amp; THE NORDICS"/>
        <s v="Inclusion of DED in marketing narratives"/>
        <s v="Retroactive Sponsorship Reimbursement for Polkadot CCTF Yacht event at Token 2049, Dubai"/>
        <s v="BD &amp; Marketing Proposal. Polkadot as the preferred network of chains for digitizing financial assets and similar real world assets "/>
        <s v="Polkadot Education - Polkadot Onboarding for Business"/>
        <s v="Treasury proposal for renewal of API licenses for Blockexplorers"/>
        <s v="Upgrade Polkadot v1.2.5"/>
        <s v="Big Tips for Content in Portuguese - JOÃO HAZIM - 440 DOT"/>
        <s v="RE-SUBMISSION OF REF #734 - BERLIN TAXI REFILL"/>
        <s v="Decoded 2024:  PopUp Hub for the community"/>
        <s v="VOTE NAY - ERROR PREIMAGE"/>
        <s v="Volatility adjustment for REF651 and REF742"/>
        <s v="Kudos: Unlocking the Full Potential of Polkadot’s Developer Community"/>
        <s v="Retroactive - Participation of Polkadot in Unlock summit 2024 Mexico, Puebla Talk + Workshop"/>
        <s v="JUST Retroactive Compensation for Contributions to the Polkadot Ecosystem"/>
        <s v="."/>
        <s v="Fixed Maximum Supply for Fiscal Certainty"/>
        <s v="lol - NAY"/>
        <s v="please vote no, wrong preimage"/>
        <s v="Inclusion of Hydration in marketing narratives"/>
        <s v="Polkadot London Event - Dawn of RWAs "/>
        <s v="Verified Organization Badges on Twitter/X for Parachains, Top Wallets &amp; Comms Channels"/>
        <s v="Reduce minBalance of USDT/C to 0.01"/>
        <s v="Polkadot Head Ambassador Application: six / David Pethes"/>
        <s v="Polkadot Head Ambassador Application: Leemo"/>
        <s v="Polkadot Head Ambassador Application: Ezio Rojas"/>
        <s v="Head Ambassador Application: Max Rebol"/>
        <s v="Inclusion of Novasama Technologies' Products in Marketing Narratives"/>
        <s v="Polkadot Head Ambassador Application: Albert(I Love Cripto)"/>
        <s v="Polkadot Head Ambassador Application: Irina Karagyaur"/>
        <s v="(EDIT) VOTE NAY "/>
        <s v="Preimage removed - referendum revoked"/>
        <s v="Incognitee: Productive Privacy Sidechains for DOT, KSM and all Substrate-Based Chains"/>
        <s v="Polkadot Head Ambassador Application: Alice und Bob"/>
        <s v="Polkadot Head Ambassador Application: Michiko Watanabe"/>
        <s v="[Whitelisted Caller] Upgrade Polkadot: v1.2.6"/>
        <s v="Polkadot Head Ambassador Application: William"/>
        <s v="Polkadot Head Ambassador Application: Abdulbee"/>
        <s v="Top-up of Proposal #87 due to DOT price change"/>
        <s v="#876 Polkadot Head Ambassador Application: Lorena (Blockya)"/>
        <s v="Proposal: Expanding the Polkadot ecosystem with Polkadot for Beginners (book) v2"/>
        <s v="Wrong pre-image, please vote NO"/>
        <s v="Polkadot Head Ambassador Application: Zoé"/>
        <s v="Polkadot Head Ambassador Application: Mario Altenburger"/>
        <s v="Polkadot Head Ambassador Application: Remy"/>
        <s v="Requesting &quot;Top Up&quot; of Ref #601 due to DOT price change"/>
        <s v="[Fellowship Admin] Referendum #884"/>
        <s v="Should we allow EVM compatible contracts on Asset Hub?"/>
        <s v="Kampela Productizing Proposal, Redux"/>
        <s v="Resubmission of Promotion to &quot;VII Dan: Free Master&quot; for Gavin Wood - Evidence below"/>
        <s v="Enable approval voting protocol improvements"/>
        <s v="Polkadot Head Ambassador Application: Angelina "/>
        <s v="[Whitelisted Caller] Make WETH asset sufficient and set asset metadata"/>
        <s v="Please vote Nay - Technical issues with Pure Proxy"/>
        <s v="Proposal: OpenZeppelin x Polkadot Ecosystem Growth Phase M3"/>
        <s v="Asia Blockchain Summit 2024 Sponsorship"/>
        <s v="Inclusion of Dot Code School in Marketing Narratives"/>
        <s v="Requesting &quot;Top Up&quot; of Approved Ref #644 due to DOT price change"/>
        <s v="[Whitelisted Caller] Update Max HRMP Channels"/>
        <s v="2024 Polkadot Hackathons (September 2024 in Singapore and November 2024 in Bangkok)"/>
        <s v="pre-image pulled "/>
        <s v="Revised Proposal: Polkadot Sponsorship of traditional Family Office Investment Conference Series"/>
        <s v="Head Ambassador Proposal for Polkadot - Georgi #900"/>
        <s v="PLEASE VOTE NAY 😅"/>
        <s v="Polkadot Head Ambassador Application: Mexican Collective"/>
        <s v="PolkaVM Solidity IDE"/>
        <s v="UI &amp; Front-end for Asset Conversion pallet (referenda68) - Project Status Update - Delivery Completed"/>
        <s v="&quot;Reward Mode&quot; - Unlocking Gaming Rewards with Polkadot.  TapNation is introducing 734,366 new users to the Polkadot ecosystem, adding 73,437 new wallets every month throughout the partnership period."/>
        <s v="Please reject."/>
        <s v="Hope Clary For Head Ambassador Team"/>
        <s v="Establish a rule for &quot;top up&quot;"/>
        <s v="Polkadot Head Ambassador Application:  Rish"/>
        <s v="Polkadot Head Ambassador Application | Cris, Patricia, Tin"/>
        <s v="Treasury Proposal: Polkadot Bounty Manager UI Development"/>
        <s v="Full Disclosure for Head Ambassador Sponsorship - Whistle-Blower Series Part 1"/>
        <s v="Referendum 912 posted on the wrong track"/>
        <s v="Ecosystem Agent Tip for Adam Steeber's bounty &amp; multisig tutorial"/>
        <s v="Top Up | RegionX Coretime Marketplace for Polkadot"/>
        <s v="Referendum for PolkaDotJobs.xyz: A Polkadot Native Job Board Provided as a Public Good"/>
        <s v="Dot Play Bounty"/>
        <s v="PROPOSAL -  FHE-WASM Research and Development for the Polkadot Ecosystem"/>
        <s v="Removing curators from Spanish bounty"/>
        <s v="Refill for marketing bounty number #33 - 500k DOT"/>
        <s v="Polkadot Head Ambassador Application: Adam Clay Steeber 🇺🇸"/>
        <s v="Polkadot User Segments &amp; Conversions 👨‍👩‍👧‍👦 for Ink!, Pallets &amp; XCM "/>
        <s v="Removing curators from Games Bounty [38]"/>
        <s v="Polkadot Head Ambassador for Gaming Application - Angie Dalton"/>
        <s v="KAGOME – the C++ implementation of Polkadot Host milestone 3"/>
      </sharedItems>
    </cacheField>
    <cacheField name="Status" numFmtId="0">
      <sharedItems containsBlank="1">
        <s v="Rejected"/>
        <s v="Executed"/>
        <s v="TimedOut"/>
        <s v="Executed_err"/>
        <s v="Killed"/>
        <s v="Cancelled"/>
        <s v="Approved"/>
        <m/>
        <s v="Deciding"/>
        <s v="Confirming"/>
        <s v="Queueing"/>
        <s v="Preparing"/>
      </sharedItems>
    </cacheField>
    <cacheField name="DOT" numFmtId="165">
      <sharedItems containsString="0" containsBlank="1" containsNumber="1">
        <n v="0.0"/>
        <n v="6454.0"/>
        <n v="16823.0"/>
        <n v="61477.0"/>
        <n v="75435.0"/>
        <n v="120026.26"/>
        <n v="3936.69"/>
        <n v="43663.107"/>
        <n v="36969.0"/>
        <n v="26765.99"/>
        <n v="49880.0"/>
        <n v="68479.0"/>
        <n v="8775.0"/>
        <n v="3469.0"/>
        <n v="41867.704"/>
        <n v="175419.0"/>
        <n v="77500.0"/>
        <n v="25533.0"/>
        <n v="382.7"/>
        <n v="500.0"/>
        <n v="38249.0"/>
        <n v="146628.0"/>
        <n v="11730.685"/>
        <n v="99672.0"/>
        <n v="19256.0"/>
        <n v="14746.0"/>
        <n v="69786.0"/>
        <n v="932.45"/>
        <n v="120.0"/>
        <n v="4246.19"/>
        <n v="72916.6667"/>
        <n v="35277.535"/>
        <n v="36538.0"/>
        <n v="4747.129"/>
        <n v="7915.0"/>
        <n v="100.0"/>
        <n v="1000.0"/>
        <n v="250.0"/>
        <n v="3956.0"/>
        <n v="40.0"/>
        <n v="234.0"/>
        <n v="110693.7"/>
        <n v="28078.569"/>
        <n v="97000.0"/>
        <n v="724.78"/>
        <n v="12117.0"/>
        <n v="3282.0"/>
        <n v="11229.05"/>
        <n v="999.0"/>
        <n v="15139.0"/>
        <n v="29946.0"/>
        <n v="20.0"/>
        <n v="12455.083"/>
        <n v="59203.58"/>
        <n v="990.0"/>
        <n v="14269.071"/>
        <n v="6686.0"/>
        <n v="63916.0"/>
        <n v="31612.0"/>
        <n v="3668676.0"/>
        <n v="36686.0"/>
        <n v="80.0"/>
        <n v="50.0"/>
        <n v="15375.745"/>
        <n v="14257.0"/>
        <n v="18391.596"/>
        <n v="50817.27"/>
        <n v="43920.94"/>
        <n v="99520.0"/>
        <n v="60246.888"/>
        <n v="2441.0"/>
        <n v="43877.1439"/>
        <n v="10400.0"/>
        <n v="81300.0"/>
        <n v="41936.15"/>
        <n v="172.387"/>
        <n v="212.8825"/>
        <n v="360.2"/>
        <n v="16842.0"/>
        <n v="26616.0"/>
        <n v="4100.0"/>
        <n v="27259.0"/>
        <n v="42820.0"/>
        <n v="20359.6878"/>
        <n v="300.0"/>
        <n v="40105.193"/>
        <n v="129145.0"/>
        <n v="19401.45"/>
        <n v="1.94779899E8"/>
        <n v="194779.0"/>
        <n v="59895.0"/>
        <n v="71068.0"/>
        <n v="53938.013"/>
        <n v="950.0"/>
        <n v="58018.0"/>
        <n v="12153.7439"/>
        <n v="75600.0"/>
        <n v="44196.0"/>
        <n v="58253.66"/>
        <n v="253862.0"/>
        <n v="35008.393"/>
        <n v="6075.79"/>
        <n v="841.34"/>
        <n v="14833.623"/>
        <n v="22400.0"/>
        <n v="45074.0"/>
        <n v="247058.0"/>
        <n v="32420.0"/>
        <n v="16231.0"/>
        <n v="171454.05"/>
        <n v="5600.0"/>
        <n v="32480.0"/>
        <n v="6444.7"/>
        <n v="5233.0"/>
        <n v="15.0"/>
        <n v="5000.0"/>
        <n v="67438.0"/>
        <n v="130.227"/>
        <n v="11183.81"/>
        <n v="42685.0"/>
        <n v="37851.0"/>
        <n v="255835.014"/>
        <n v="16955.0"/>
        <n v="12115.0"/>
        <n v="5457.0"/>
        <n v="43154.0"/>
        <n v="980.0"/>
        <n v="90540.0"/>
        <n v="1711.0"/>
        <n v="12091.65"/>
        <n v="33943.0"/>
        <n v="9452.0"/>
        <n v="4774.6"/>
        <n v="425660.0"/>
        <n v="4395.0"/>
        <n v="925.0"/>
        <n v="200.0"/>
        <n v="700.0"/>
        <n v="26281.383"/>
        <n v="168432.0"/>
        <n v="28010.0"/>
        <n v="10000.0"/>
        <n v="592573.0"/>
        <n v="2.4474149E7"/>
        <n v="24474.0"/>
        <n v="42650.0"/>
        <n v="150.0"/>
        <n v="22687.0"/>
        <n v="1800.0"/>
        <n v="18982.6915423"/>
        <n v="54753.61"/>
        <n v="420.69"/>
        <n v="1959.93"/>
        <n v="14165.0"/>
        <n v="1111.0"/>
        <n v="4895.0"/>
        <n v="3535.0"/>
        <n v="24701.0"/>
        <n v="17000.0"/>
        <n v="1563.0"/>
        <n v="1500.0"/>
        <n v="350.0"/>
        <n v="59746.84"/>
        <n v="138711.0"/>
        <n v="6970.0"/>
        <n v="590.0"/>
        <n v="5917.0"/>
        <n v="137768.0"/>
        <n v="1000000.0"/>
        <n v="33124.7"/>
        <n v="82140.34"/>
        <n v="9700.0"/>
        <n v="16182.0"/>
        <n v="4455.0"/>
        <n v="3161.0"/>
        <n v="10891.119"/>
        <n v="21400.0"/>
        <n v="99025.0"/>
        <n v="17765.0"/>
        <n v="240.0"/>
        <n v="4351.0"/>
        <n v="21219.12"/>
        <n v="5304.73"/>
        <n v="310.02"/>
        <n v="21849.0"/>
        <n v="8000.0"/>
        <n v="905.66"/>
        <n v="1674.0"/>
        <n v="999999.0"/>
        <n v="632.18"/>
        <n v="3266.28"/>
        <n v="4700.0"/>
        <n v="2107.27"/>
        <n v="3160.91"/>
        <n v="1661.0"/>
        <n v="1628.0"/>
        <n v="498.3"/>
        <n v="25361.29"/>
        <n v="9807.68"/>
        <n v="9364.15"/>
        <n v="4327.47"/>
        <n v="9735.0"/>
        <n v="2400.0"/>
        <n v="7939.0"/>
        <n v="7289.03"/>
        <n v="2.0E-10"/>
        <n v="5645.0"/>
        <n v="6098.0"/>
        <n v="3463.0"/>
        <n v="5.3723E-6"/>
        <n v="53723.0"/>
        <n v="32000.0"/>
        <n v="28489.0"/>
        <n v="8842.0"/>
        <n v="125484.0"/>
        <n v="47837.0"/>
        <n v="11877.0"/>
        <n v="3.0"/>
        <n v="8300.0"/>
        <n v="572.63"/>
        <n v="79975.0"/>
        <n v="78676.0"/>
        <n v="70475.0"/>
        <n v="999.99"/>
        <n v="900.0"/>
        <n v="35395.0"/>
        <n v="12000.0"/>
        <n v="42865.0"/>
        <n v="22195.0"/>
        <n v="9999.0"/>
        <n v="13560.0"/>
        <n v="6431.0"/>
        <n v="1086847.0"/>
        <n v="9000.0"/>
        <n v="71503.0"/>
        <n v="5210.0"/>
        <n v="149657.0"/>
        <n v="26706.0"/>
        <n v="11239.0"/>
        <n v="16981.0"/>
        <n v="21000.0"/>
        <n v="610.0"/>
        <n v="482.0"/>
        <n v="99950.0"/>
        <n v="450.0"/>
        <n v="1950.0"/>
        <n v="48750.0"/>
        <n v="22252.0"/>
        <n v="11059.0"/>
        <n v="41667.0"/>
        <n v="10541.327"/>
        <n v="26448.736"/>
        <n v="25910.7234"/>
        <n v="2500.0"/>
        <n v="26058.0"/>
        <n v="325000.0"/>
        <n v="176852.0"/>
        <n v="282.0"/>
        <n v="1798.0"/>
        <n v="17406.0"/>
        <n v="10356.9"/>
        <n v="45234.77"/>
        <n v="25796.18"/>
        <n v="20632.0"/>
        <n v="248986.130762"/>
        <n v="57781.69"/>
        <n v="106700.0"/>
        <n v="55858.31"/>
        <n v="24000.0"/>
        <n v="2750.0"/>
        <n v="4267.0"/>
        <n v="91557.0"/>
        <n v="9900.0"/>
        <n v="64658.0"/>
        <n v="21969.0"/>
        <n v="8250.0"/>
        <n v="4417012.0"/>
        <n v="540.0"/>
        <n v="44170.12"/>
        <n v="4471.0"/>
        <n v="2744.11"/>
        <n v="225.0"/>
        <n v="38684.0"/>
        <n v="1658.0"/>
        <n v="160.0"/>
        <n v="12489.0"/>
        <n v="9975.0"/>
        <n v="56600.0"/>
        <n v="65050.0"/>
        <n v="3157.89"/>
        <n v="55000.0"/>
        <n v="51574.0"/>
        <n v="673.0"/>
        <n v="226.0"/>
        <n v="1678.37"/>
        <n v="8208.0"/>
        <n v="11655.0"/>
        <n v="17038.37"/>
        <n v="100000.0"/>
        <n v="500000.0"/>
        <n v="13333.0"/>
        <n v="550.0"/>
        <n v="38460.0"/>
        <n v="34315.574377"/>
        <n v="25555.0"/>
        <n v="11250.0"/>
        <n v="43946.0"/>
        <n v="209250.0"/>
        <n v="818361.0"/>
        <n v="81836.0"/>
        <n v="6655.868"/>
        <n v="64516.0"/>
        <n v="37100.0"/>
        <n v="952.0"/>
        <n v="1655.0"/>
        <n v="21670.0"/>
        <n v="51034.0"/>
        <n v="13509.0"/>
        <n v="31500.0"/>
        <n v="712.17"/>
        <n v="8666.0"/>
        <n v="184235.82"/>
        <n v="172066.93"/>
        <n v="32528.24"/>
        <n v="9507.0"/>
        <n v="20000.0"/>
        <n v="969.0"/>
        <n v="54121.0"/>
        <n v="28761.0"/>
        <n v="65178.0"/>
        <n v="41242.84"/>
        <n v="50000.0"/>
        <n v="30000.0"/>
        <n v="44032.0"/>
        <n v="93962.490651"/>
        <n v="52090.67"/>
        <n v="217.2437202987"/>
        <n v="310930.0"/>
        <n v="11275.0"/>
        <n v="923.38"/>
        <n v="290000.0"/>
        <n v="5986.39"/>
        <n v="34540.0"/>
        <n v="90.0"/>
        <n v="8.0E-8"/>
        <n v="8260.0"/>
        <n v="10458.0"/>
        <n v="121.8441544774"/>
        <n v="2.5E-5"/>
        <n v="250000.0"/>
        <n v="5.867E-7"/>
        <n v="9986.112944"/>
        <n v="3.9326E-6"/>
        <n v="39326.0"/>
        <n v="2000.0"/>
        <n v="14737.47"/>
        <n v="2.0E-8"/>
        <n v="98026.0"/>
        <n v="3600.0"/>
        <n v="31200.0"/>
        <n v="3.5E-6"/>
        <n v="35100.0"/>
        <n v="171827.0"/>
        <m/>
        <n v="32393.2"/>
        <n v="64329.0"/>
        <n v="71842.0"/>
        <n v="999999.9999999999"/>
        <n v="6.621E-7"/>
        <n v="7215.0"/>
        <n v="9500.0"/>
        <n v="3.1474E-6"/>
        <n v="31474.0"/>
        <n v="84476.0"/>
        <n v="620.0"/>
        <n v="11121.0"/>
        <n v="97747.61"/>
        <n v="44429.5"/>
        <n v="248929.562796"/>
        <n v="167214.563518"/>
        <n v="3.7865E-6"/>
        <n v="38921.48979"/>
        <n v="58902.0"/>
        <n v="24937.0"/>
        <n v="9468.0"/>
        <n v="1.0E-7"/>
        <n v="45588.0"/>
        <n v="45555.0"/>
        <n v="150000.0"/>
        <n v="21524.0"/>
        <n v="18694.0"/>
        <n v="2812.27"/>
        <n v="694.2"/>
        <n v="16344.73"/>
        <n v="7270.0"/>
        <n v="5300.0"/>
        <n v="16348.0"/>
        <n v="7935.0"/>
        <n v="9355.5"/>
        <n v="31353.0"/>
        <n v="999.999999999"/>
        <n v="35713.0"/>
        <n v="1212.24"/>
        <n v="968000.0"/>
        <n v="24323.0"/>
        <n v="68868.6"/>
        <n v="2.1557E-6"/>
        <n v="33956.17"/>
        <n v="5800.0"/>
        <n v="31352.0"/>
        <n v="8420.0"/>
        <n v="8235.42"/>
        <n v="155.0"/>
        <n v="42.0"/>
        <n v="5.365E-7"/>
        <n v="5365.0"/>
        <n v="91663.0"/>
        <n v="16153.0"/>
        <n v="74533.0"/>
        <n v="21557.0"/>
        <n v="907.0"/>
        <n v="9924.0"/>
        <n v="889.0"/>
        <n v="824.0"/>
        <n v="28549.62"/>
        <n v="122705.0"/>
        <n v="2395.0"/>
        <n v="9560.0"/>
        <n v="83906.813273"/>
        <n v="48117.0"/>
        <n v="45000.0"/>
        <n v="77820.0"/>
        <n v="30148.0"/>
        <n v="34763.0"/>
        <n v="1.6448E-6"/>
        <n v="2.9719E-6"/>
        <n v="16448.0"/>
        <n v="29719.0"/>
        <n v="81718.0"/>
        <n v="17898.6052999"/>
        <n v="10.054836659398221"/>
        <n v="368016.0"/>
        <n v="725.0"/>
        <n v="202030.0"/>
        <n v="35.5"/>
        <n v="14278.99"/>
        <n v="42404.0"/>
        <n v="596.0"/>
        <n v="9732.0"/>
        <n v="5.54E-8"/>
        <n v="554.0"/>
        <n v="4.9E-8"/>
        <n v="490.0"/>
        <n v="26195.0"/>
        <n v="88000.0"/>
        <n v="150217.81"/>
        <n v="1.2563E-6"/>
        <n v="12563.0"/>
        <n v="8265.0"/>
        <n v="56016.0"/>
        <n v="134627.0"/>
        <n v="9997.0"/>
        <n v="138218.0"/>
        <n v="3500.0"/>
        <n v="2858.213094"/>
        <n v="75142.0"/>
        <n v="7873.0"/>
        <n v="39713.0"/>
        <n v="10.222279992449682"/>
        <n v="20422.0"/>
        <n v="37882.0"/>
        <n v="199260.0"/>
        <n v="35400.53"/>
        <n v="13242.0"/>
        <n v="46.1"/>
        <n v="10979.0"/>
        <n v="26400.0"/>
        <n v="1.3982E-6"/>
        <n v="13982.0"/>
        <n v="80188.0"/>
        <n v="49075.43"/>
        <n v="175000.0"/>
        <n v="7885.497423885508"/>
        <n v="1049.0"/>
        <n v="833.7089787367938"/>
        <n v="31705.0"/>
        <n v="3000.0"/>
        <n v="2960.0"/>
        <n v="4670.0"/>
        <n v="1.0"/>
        <n v="499999.0"/>
        <n v="60431.0"/>
        <n v="4015.0"/>
        <n v="8822.0"/>
        <n v="9461.0"/>
        <n v="3690.0"/>
        <n v="891.0"/>
        <n v="1.45E10"/>
        <n v="14500.0"/>
        <n v="2737.92"/>
        <n v="6.0E-7"/>
        <n v="6000.0"/>
        <n v="1.4048E-6"/>
        <n v="9286.0"/>
        <n v="53335.0"/>
        <n v="4504.0"/>
        <n v="9600000.0"/>
        <n v="73323.210812"/>
        <n v="23000.0"/>
        <n v="408.45"/>
        <n v="53701.995939383596"/>
        <n v="6220.882129141348"/>
        <n v="89945.0"/>
        <n v="4178.0"/>
        <n v="6.702E-7"/>
        <n v="12604.0"/>
        <n v="24800.0"/>
        <n v="6702.0"/>
        <n v="26265.0"/>
        <n v="440.0"/>
        <n v="2150.3914"/>
        <n v="13855.6"/>
        <n v="17822.33"/>
        <n v="348.7"/>
        <n v="46194.0"/>
        <n v="1519.0"/>
        <n v="7496.0"/>
        <n v="1324503.0"/>
        <n v="135527.0"/>
        <n v="18677.58"/>
        <n v="6429.820923917001"/>
        <n v="25000.0"/>
        <n v="97920.28"/>
        <n v="39139.0"/>
        <n v="16741.2753"/>
        <n v="598000.0"/>
        <n v="134899.0"/>
        <n v="34000.0"/>
        <n v="164989.27"/>
        <n v="139470.9"/>
        <n v="17820.0"/>
        <n v="70835.0"/>
        <n v="27843.0"/>
        <n v="0.0156"/>
        <n v="8381.094462911777"/>
        <n v="17081.0"/>
        <n v="33884.0"/>
        <n v="37573.39"/>
        <n v="141395.0"/>
      </sharedItems>
    </cacheField>
    <cacheField name="USD Propose Date" numFmtId="164">
      <sharedItems containsString="0" containsBlank="1" containsNumber="1">
        <n v="0.0"/>
        <n v="28506.33201599121"/>
        <n v="74304.62093353271"/>
        <n v="271534.51709747314"/>
        <n v="333184.87071990967"/>
        <n v="530137.6538887024"/>
        <n v="17817.975249123574"/>
        <n v="197835.91983825018"/>
        <n v="167189.41288661957"/>
        <n v="121047.09766098976"/>
        <n v="225578.401222229"/>
        <n v="319723.23665475845"/>
        <n v="40969.806826114655"/>
        <n v="16196.496852397919"/>
        <n v="195477.1219524727"/>
        <n v="847173.0464744568"/>
        <n v="374373.66366386414"/>
        <n v="123340.42263650894"/>
        <n v="1848.6813043117522"/>
        <n v="2415.313959121704"/>
        <n v="2550.107479095459"/>
        <n v="195078.12193584442"/>
        <n v="747834.3188896179"/>
        <n v="59829.01510682583"/>
        <n v="508348.6253128052"/>
        <n v="96423.39492416382"/>
        <n v="73839.81000995636"/>
        <n v="362524.6718673706"/>
        <n v="4843.896057701111"/>
        <n v="623.3766174316406"/>
        <n v="21344.45496540546"/>
        <n v="366532.4699567448"/>
        <n v="177330.67929085018"/>
        <n v="186192.67222309113"/>
        <n v="24190.722915806295"/>
        <n v="38649.0385389328"/>
        <n v="488.3011817932129"/>
        <n v="4883.011817932129"/>
        <n v="1246.5652227401733"/>
        <n v="21765.575653076172"/>
        <n v="216.77236557006836"/>
        <n v="1251.2494668960571"/>
        <n v="1256.5122842788696"/>
        <n v="556351.9753691197"/>
        <n v="143621.25811869334"/>
        <n v="497267.4136161804"/>
        <n v="4066.7855525016785"/>
        <n v="63148.25598335266"/>
        <n v="23632.940900802612"/>
        <n v="61227.28246085643"/>
        <n v="5301.590266227722"/>
        <n v="80293.15419864655"/>
        <n v="158825.4703502655"/>
        <n v="106.07458114624023"/>
        <n v="64508.252939070226"/>
        <n v="103.58542442321777"/>
        <n v="325016.46138450626"/>
        <n v="5434.9128341674805"/>
        <n v="74438.51840883636"/>
        <n v="35115.54053878784"/>
        <n v="332237.6813659668"/>
        <n v="164320.3201599121"/>
        <n v="1.8554478895202637E7"/>
        <n v="185540.94522094727"/>
        <n v="404.603271484375"/>
        <n v="248.95095825195312"/>
        <n v="33289.72213745117"/>
        <n v="76697.32342167378"/>
        <n v="71116.79726886749"/>
        <n v="91740.99769817735"/>
        <n v="456445.24404507637"/>
        <n v="222265.37885418892"/>
        <n v="503628.80447387695"/>
        <n v="304504.62928609084"/>
        <n v="12337.497002124786"/>
        <n v="221767.362281052"/>
        <n v="52363.85459899902"/>
        <n v="405386.421918869"/>
        <n v="399.0641784667969"/>
        <n v="195674.3712114811"/>
        <n v="804.3589559373855"/>
        <n v="993.3112441039085"/>
        <n v="2333.003520965576"/>
        <n v="1680.695736503601"/>
        <n v="78584.89060020447"/>
        <n v="118120.84882736206"/>
        <n v="18498.44570159912"/>
        <n v="122987.59301948547"/>
        <n v="193442.9811668396"/>
        <n v="90004.46167887497"/>
        <n v="1326.2157440185547"/>
        <n v="177293.79457834244"/>
        <n v="570913.7742042542"/>
        <n v="87075.59324355125"/>
        <n v="8.741911175372972E8"/>
        <n v="874187.0827379227"/>
        <n v="268814.58124637604"/>
        <n v="318843.313583374"/>
        <n v="242960.53415033102"/>
        <n v="4309.509634971619"/>
        <n v="247704.9609889984"/>
        <n v="51238.14529046054"/>
        <n v="322765.8199310303"/>
        <n v="188689.9229850769"/>
        <n v="428.67398262023926"/>
        <n v="1062.4747276306152"/>
        <n v="246977.81079312327"/>
        <n v="1012129.512418747"/>
        <n v="142089.46907217262"/>
        <n v="25165.674229249955"/>
        <n v="3521.520161495209"/>
        <n v="60441.0481690278"/>
        <n v="92024.64294433594"/>
        <n v="187338.44711971283"/>
        <n v="25153.181664819716"/>
        <n v="1022796.1723079681"/>
        <n v="134215.65748214722"/>
        <n v="65452.15421628952"/>
        <n v="684226.2976417779"/>
        <n v="50299.698638916016"/>
        <n v="81.49321556091309"/>
        <n v="132429.46731567383"/>
        <n v="26276.729926395416"/>
        <n v="21484.6989941597"/>
        <n v="61.584270000457764"/>
        <n v="21305.04608154297"/>
        <n v="63.915138244628906"/>
        <n v="278098.27057266235"/>
        <n v="537.025170999527"/>
        <n v="45565.603036952016"/>
        <n v="325.9397506713867"/>
        <n v="172759.68663454056"/>
        <n v="153194.9607310295"/>
        <n v="1029157.2274032126"/>
        <n v="68205.52244901657"/>
        <n v="49334.08271074295"/>
        <n v="22221.716001033783"/>
        <n v="175051.9150943756"/>
        <n v="3934.0003204345703"/>
        <n v="363453.4581756592"/>
        <n v="6633.92164349556"/>
        <n v="46098.59400590658"/>
        <n v="129405.38109707832"/>
        <n v="35332.12506866455"/>
        <n v="934.5145225524902"/>
        <n v="17847.732157516482"/>
        <n v="1563703.3404779434"/>
        <n v="16420.932630300522"/>
        <n v="3736.2759113311768"/>
        <n v="3502.2451877593994"/>
        <n v="731.3097953796387"/>
        <n v="2559.5842838287354"/>
        <n v="96099.16412011957"/>
        <n v="615879.8572769165"/>
        <n v="102419.9368429184"/>
        <n v="36488.7809753418"/>
        <n v="2205127.14460063"/>
        <n v="9.107504105131412E7"/>
        <n v="95556.41083431244"/>
        <n v="169095.1355934143"/>
        <n v="594.7073936462402"/>
        <n v="97215.02479076385"/>
        <n v="7713.09757232666"/>
        <n v="81341.8622506333"/>
        <n v="234622.18687062262"/>
        <n v="1782.2135768079759"/>
        <n v="8303.05891652584"/>
        <n v="60008.68885755539"/>
        <n v="4706.6468987464905"/>
        <n v="20737.206633090973"/>
        <n v="14776.682028770447"/>
        <n v="111841.16629743576"/>
        <n v="76972.58520126343"/>
        <n v="6957.194310665131"/>
        <n v="6676.769971847534"/>
        <n v="1557.9129934310913"/>
        <n v="265943.93814985274"/>
        <n v="617427.6263766289"/>
        <n v="31024.724469184875"/>
        <n v="2791.2367963790894"/>
        <n v="27427.212115764618"/>
        <n v="635867.3463134766"/>
        <n v="4691026.210784912"/>
        <n v="155388.83592438698"/>
        <n v="408103.83283005713"/>
        <n v="48193.216371536255"/>
        <n v="79801.3394165039"/>
        <n v="21969.779205322266"/>
        <n v="15974.38235092163"/>
        <n v="55039.19618329239"/>
        <n v="113437.13712692261"/>
        <n v="524911.7992520332"/>
        <n v="2776.5824794769287"/>
        <n v="101400.66644906998"/>
        <n v="1369.8936080932617"/>
        <n v="24835.02953672409"/>
        <n v="113912.04795364379"/>
        <n v="28477.743570003506"/>
        <n v="26841.840744018555"/>
        <n v="1612.9493752384185"/>
        <n v="5202.7268409729"/>
        <n v="121612.78387641907"/>
        <n v="44528.45764160156"/>
        <n v="4852.908289670944"/>
        <n v="26792.10901260376"/>
        <n v="8775.448216438293"/>
        <n v="5242197.993422985"/>
        <n v="634.9464225769043"/>
        <n v="3345.0035785388945"/>
        <n v="17282.60667612076"/>
        <n v="24868.734884262085"/>
        <n v="11472.500903282165"/>
        <n v="16767.356404628754"/>
        <n v="8810.937036514282"/>
        <n v="8635.885307312012"/>
        <n v="2643.281110954285"/>
        <n v="124001.21331771852"/>
        <n v="47953.563081054686"/>
        <n v="48439.48298387527"/>
        <n v="22385.417729129793"/>
        <n v="50357.83993721008"/>
        <n v="12414.875793457031"/>
        <n v="41067.37455177307"/>
        <n v="37705.16754365921"/>
        <n v="1.034572982788086E-9"/>
        <n v="28979.385974407196"/>
        <n v="31304.92394542694"/>
        <n v="17777.788065433502"/>
        <n v="2.757944291768074E-5"/>
        <n v="275794.4291768074"/>
        <n v="164276.4129638672"/>
        <n v="149377.56803750992"/>
        <n v="46361.629281044006"/>
        <n v="657955.5178356171"/>
        <n v="1048.668384552002"/>
        <n v="250825.7475590706"/>
        <n v="62275.172016620636"/>
        <n v="15.990258693695068"/>
        <n v="44239.71571922302"/>
        <n v="3049.3286376714705"/>
        <n v="412789.20645713806"/>
        <n v="406084.44647979736"/>
        <n v="371451.0351061821"/>
        <n v="5270.625336585045"/>
        <n v="527.0678043365479"/>
        <n v="421.6542434692383"/>
        <n v="4651.2800216674805"/>
        <n v="182924.50707435608"/>
        <n v="41344.71130371094"/>
        <n v="218.63176345825195"/>
        <n v="65589.52903747559"/>
        <n v="234291.26351594925"/>
        <n v="121313.29974889755"/>
        <n v="54744.92454957962"/>
        <n v="75581.82838439941"/>
        <n v="5573.881149291992"/>
        <n v="28131.635189056396"/>
        <n v="38017.319400310516"/>
        <n v="6568170.625558376"/>
        <n v="56219.993591308594"/>
        <n v="446655.3557510376"/>
        <n v="32545.129623413086"/>
        <n v="934857.2867660522"/>
        <n v="166823.46098327637"/>
        <n v="76871.14963245392"/>
        <n v="116144.58509731293"/>
        <n v="143633.2540512085"/>
        <n v="4341.748194694519"/>
        <n v="3430.6928358078003"/>
        <n v="711406.1181306839"/>
        <n v="3303.708815574646"/>
        <n v="14316.0715341568"/>
        <n v="326951.47812366486"/>
        <n v="149237.42135810852"/>
        <n v="74169.36198091507"/>
        <n v="6706.6969871521"/>
        <n v="279447.94336366653"/>
        <n v="80221.37476058006"/>
        <n v="201279.58867034913"/>
        <n v="3760.547399520874"/>
        <n v="194877.0070031493"/>
        <n v="18802.73699760437"/>
        <n v="181278.80293178558"/>
        <n v="2260941.3981437683"/>
        <n v="1253156.8216552734"/>
        <n v="1893.6917638778687"/>
        <n v="12482.965863227844"/>
        <n v="172448.17348480225"/>
        <n v="71904.79930415153"/>
        <n v="378230.8648057174"/>
        <n v="215694.95036857604"/>
        <n v="164419.1303215027"/>
        <n v="1984203.328906746"/>
        <n v="460469.9117054415"/>
        <n v="10522.542953491211"/>
        <n v="318.7652778625488"/>
        <n v="850306.378698349"/>
        <n v="465976.46819307323"/>
        <n v="221487.83111572266"/>
        <n v="23933.441638946533"/>
        <n v="37135.99835395813"/>
        <n v="796826.9513225555"/>
        <n v="83656.13107681274"/>
        <n v="536184.5748748779"/>
        <n v="182180.68801116943"/>
        <n v="68414.15977478027"/>
        <n v="3.662862602365112E7"/>
        <n v="4520.265998840332"/>
        <n v="369742.02148277283"/>
        <n v="837.086296081543"/>
        <n v="5517.03314781189"/>
        <n v="43804.35234069824"/>
        <n v="21627.636901774407"/>
        <n v="1675.2514243125916"/>
        <n v="372.278094291687"/>
        <n v="288024.1159915924"/>
        <n v="12398.438097000122"/>
        <n v="1196.4717102050781"/>
        <n v="99550.58369779587"/>
        <n v="81497.63431549072"/>
        <n v="462432.6919555664"/>
        <n v="531470.788192749"/>
        <n v="23902.934509763716"/>
        <n v="418714.1823768616"/>
        <n v="387722.34568977356"/>
        <n v="7517.786979675293"/>
        <n v="74426.0910987854"/>
        <n v="1872.5149631500244"/>
        <n v="4935.082166671753"/>
        <n v="1657.2489891052246"/>
        <n v="7000.6293869018555"/>
        <n v="11761.407751846313"/>
        <n v="57518.68469238281"/>
        <n v="81674.00951385498"/>
        <n v="119398.7124393463"/>
        <n v="137.49210357666016"/>
        <n v="687460.5178833008"/>
        <n v="3437302.589416504"/>
        <n v="551.9115829467773"/>
        <n v="84436.88692951202"/>
        <n v="3494.9371337890625"/>
        <n v="244391.42211914062"/>
        <n v="635443.115234375"/>
        <n v="968.9763307571411"/>
        <n v="220802.29448091207"/>
        <n v="170458.16407680511"/>
        <n v="75040.27962684631"/>
        <n v="293130.6780872345"/>
        <n v="1431681.6169023514"/>
        <n v="5446794.743771553"/>
        <n v="544678.8088035583"/>
        <n v="44299.700056133275"/>
        <n v="429401.4618110657"/>
        <n v="251948.96178245544"/>
        <n v="679107.7136993408"/>
        <n v="6347.201267242432"/>
        <n v="11133.04255247116"/>
        <n v="145772.22484111786"/>
        <n v="343301.3254518509"/>
        <n v="544.4565582275391"/>
        <n v="1361.1413955688477"/>
        <n v="91938.29556369781"/>
        <n v="218607.7938079834"/>
        <n v="222077.7587890625"/>
        <n v="6245.936965942383"/>
        <n v="6939.929962158203"/>
        <n v="4995.634742531776"/>
        <n v="60789.09625339508"/>
        <n v="1324930.264808178"/>
        <n v="1438.298225402832"/>
        <n v="7191.49112701416"/>
        <n v="575.3192901611328"/>
        <n v="1441.7725563049316"/>
        <n v="38291.335105895996"/>
        <n v="1240406.8876082087"/>
        <n v="234491.61868450165"/>
        <n v="67461.78718185425"/>
        <n v="6386.410903930664"/>
        <n v="734606.3137054443"/>
        <n v="146921.26274108887"/>
        <n v="7118.335179805756"/>
        <n v="398489.30549144745"/>
        <n v="211765.32058238983"/>
        <n v="479901.2574291229"/>
        <n v="315848.6814317703"/>
        <n v="382913.35105895996"/>
        <n v="233341.62712097168"/>
        <n v="342483.2841796875"/>
        <n v="7778.054237365723"/>
        <n v="730845.3485614477"/>
        <n v="398888.56686387537"/>
        <n v="1663.5615600668034"/>
        <n v="385217.6904678345"/>
        <n v="2395514.7299432755"/>
        <n v="86866.58920049667"/>
        <n v="7248.587509374618"/>
        <n v="7850.059032440186"/>
        <n v="2242629.680633545"/>
        <n v="44795.50434894562"/>
        <n v="258459.05799865723"/>
        <n v="702.84583568573"/>
        <n v="11884.592771530151"/>
        <n v="6.338449478149414E-7"/>
        <n v="65444.4908618927"/>
        <n v="87549.09729194641"/>
        <n v="1020.0177600685447"/>
        <n v="2.0856547355651856E-4"/>
        <n v="2085654.7355651855"/>
        <n v="4.894614533424378E-6"/>
        <n v="83310.3350061696"/>
        <n v="867422.9621887207"/>
        <n v="3.4112275411033634E-5"/>
        <n v="273238.233089447"/>
        <n v="693.9383697509766"/>
        <n v="341122.7541103363"/>
        <n v="15762.951850891113"/>
        <n v="144389.47181625364"/>
        <n v="1.9594879150390627E-7"/>
        <n v="960403.8117980957"/>
        <n v="37851.216888427734"/>
        <n v="328043.87969970703"/>
        <n v="3.679979419708252E-5"/>
        <n v="369049.3646621704"/>
        <n v="1806628.0678577423"/>
        <m/>
        <n v="345477.73993797303"/>
        <n v="686077.2486963272"/>
        <n v="572518.3773050308"/>
        <n v="1.0522542953491211E7"/>
        <n v="1.052254295349121E7"/>
        <n v="320698.97689819336"/>
        <n v="7.102098705482483E-6"/>
        <n v="77392.60256767273"/>
        <n v="101902.94170379639"/>
        <n v="9653.962898254395"/>
        <n v="214.53250885009766"/>
        <n v="3.563197384929657E-5"/>
        <n v="356319.7384929657"/>
        <n v="975098.1887435913"/>
        <n v="7156.599235534668"/>
        <n v="120533.44212341309"/>
        <n v="1059424.1428501892"/>
        <n v="216.76727294921875"/>
        <n v="1.0838363647460938E7"/>
        <n v="308460.4737598896"/>
        <n v="2181708.172095138"/>
        <n v="1465528.5439902127"/>
        <n v="701.1487579345703"/>
        <n v="94918.59436035156"/>
        <n v="3.594092575454712E-5"/>
        <n v="189.83718872070312"/>
        <n v="357022.68164573674"/>
        <n v="4459.629058837891"/>
        <n v="4459629.058837891"/>
        <n v="525362.1416473389"/>
        <n v="99516.75789690018"/>
        <n v="85042.41905593872"/>
        <n v="1138.63023519516"/>
        <n v="38326.57394504547"/>
        <n v="9.369309425354003E-7"/>
        <n v="9369.309425354004"/>
        <n v="9542.867012023926"/>
        <n v="443918.593208313"/>
        <n v="194.75238800048828"/>
        <n v="441454.12799835205"/>
        <n v="1453586.196899414"/>
        <n v="484528.7322998047"/>
        <n v="2738695.6310272217"/>
        <n v="204839.19108581543"/>
        <n v="177906.70127105713"/>
        <n v="26763.757290229798"/>
        <n v="6606.549268341065"/>
        <n v="190.3356170654297"/>
        <n v="155549.213515892"/>
        <n v="69764.63045120239"/>
        <n v="9404.310569763184"/>
        <n v="50860.04695892334"/>
        <n v="959.6235275268555"/>
        <n v="191.9247055053711"/>
        <n v="154222.7292251587"/>
        <n v="76514.23579216003"/>
        <n v="85706.30886983871"/>
        <n v="287226.7545289993"/>
        <n v="8578.613281241422"/>
        <n v="686.2890625"/>
        <n v="301187.53719234467"/>
        <n v="10223.492288131714"/>
        <n v="8490893.363952637"/>
        <n v="8219184.776306152"/>
        <n v="206523.99929141998"/>
        <n v="849418.6401367188"/>
        <n v="584982.7256011963"/>
        <n v="1.8310917625427245E-5"/>
        <n v="8706.72607421875"/>
        <n v="295647.0707196045"/>
        <n v="50228.30333709717"/>
        <n v="271509.9596939087"/>
        <n v="72917.64036178589"/>
        <n v="71319.16790834427"/>
        <n v="1304.929723739624"/>
        <n v="353.5938606262207"/>
        <n v="4.516740624427795E-6"/>
        <n v="44955.70236682892"/>
        <n v="768084.7243337631"/>
        <n v="135353.11469364166"/>
        <n v="579.287109375"/>
        <n v="3982.598876953125"/>
        <n v="539700.0765380859"/>
        <n v="156096.15270996094"/>
        <n v="5821.105873584747"/>
        <n v="63692.0117855072"/>
        <n v="6106.8487200737"/>
        <n v="5520.83874130249"/>
        <n v="187845.85164945602"/>
        <n v="807353.1355810165"/>
        <n v="16251.327435970306"/>
        <n v="64869.59928512573"/>
        <n v="1628.525505065918"/>
        <n v="135.71045875549316"/>
        <n v="561140.0570355842"/>
        <n v="6687657.833099365"/>
        <n v="321790.03195524216"/>
        <n v="300944.60248947144"/>
        <n v="520433.5325717926"/>
        <n v="218098.5592136383"/>
        <n v="3617131.471633911"/>
        <n v="248035.0075340271"/>
        <n v="1.2299668005371093E-5"/>
        <n v="2.1530187940597532E-5"/>
        <n v="119158.96606445312"/>
        <n v="215301.87940597534"/>
        <n v="592013.1559371948"/>
        <n v="124040.10543983603"/>
        <n v="69.0"/>
        <n v="2525461.612174988"/>
        <n v="6862.369060516357"/>
        <n v="4975.217568874359"/>
        <n v="1365362.5518035889"/>
        <n v="241.35154271125793"/>
        <n v="135.97270011901855"/>
        <n v="6798635.005950928"/>
        <n v="97077.64126362324"/>
        <n v="288289.31879234314"/>
        <n v="4007.269241333008"/>
        <n v="62501.218980789185"/>
        <n v="3.5579197816848757E-7"/>
        <n v="3557.9197816848755"/>
        <n v="3.1468965578079226E-7"/>
        <n v="3146.8965578079224"/>
        <n v="168230.5210852623"/>
        <n v="1032.4564218521118"/>
        <n v="605707.7674865723"/>
        <n v="1033955.6174070692"/>
        <n v="9.152291476631165E-6"/>
        <n v="91522.91476631165"/>
        <n v="59963.41145038605"/>
        <n v="406401.7490386963"/>
        <n v="959494.6980743408"/>
        <n v="71249.2181854248"/>
        <n v="69967.38910675049"/>
        <n v="966160.2652339935"/>
        <n v="24465.416431427002"/>
        <n v="19979.24959841926"/>
        <n v="352505.9938430786"/>
        <n v="529760.1077871323"/>
        <n v="55505.59379053116"/>
        <n v="4685.823518371582"/>
        <n v="268061.2350692749"/>
        <n v="135994.75111293793"/>
        <n v="264457.91552972794"/>
        <n v="252264.86933994293"/>
        <n v="1319176.7137813568"/>
        <n v="235962.1541203785"/>
        <n v="2999.474000930786"/>
        <n v="85793.61847114563"/>
        <n v="298.6773758888245"/>
        <n v="71131.86355495453"/>
        <n v="171043.00918579102"/>
        <n v="9.058800584983825E-6"/>
        <n v="90588.00584983826"/>
        <n v="348173.99978637695"/>
        <n v="558387.5338973999"/>
        <n v="6963479.995727539"/>
        <n v="344957.3423823929"/>
        <n v="1230096.9123840332"/>
        <n v="143.93511772155762"/>
        <n v="56750.0"/>
        <n v="7549.396924495697"/>
        <n v="6000.0"/>
        <n v="228173.1453680992"/>
        <n v="7161952.972412109"/>
        <n v="22840.98529815674"/>
        <n v="22536.43882751465"/>
        <n v="34812.38008975983"/>
        <n v="7.454471111297607"/>
        <n v="3600387.0964050293"/>
        <n v="3600379.8956308365"/>
        <n v="545.2579021453857"/>
        <n v="435149.98524570465"/>
        <n v="29085.82767724991"/>
        <n v="579.5432662963867"/>
        <n v="63909.133690834045"/>
        <n v="68538.23553037643"/>
        <n v="27849.29367542267"/>
        <n v="6724.585546016693"/>
        <n v="1.1061022138595581E11"/>
        <n v="110610.22138595581"/>
        <n v="20885.65085083008"/>
        <n v="4.420243835449218E-6"/>
        <n v="44202.43835449219"/>
        <n v="1.00758183303833E-5"/>
        <n v="66603.11006259918"/>
        <n v="573.7937545776367"/>
        <n v="373230.86069107056"/>
        <n v="69978.59954833984"/>
        <n v="31470.10943222046"/>
        <n v="6.7076609802246094E7"/>
        <n v="514013.97538130055"/>
        <n v="165310.3175163269"/>
        <n v="2935.6956169366836"/>
        <n v="385978.0"/>
        <n v="44712.0"/>
        <n v="651986.8218326569"/>
        <n v="29839.33460330963"/>
        <n v="4.786577800655365E-6"/>
        <n v="90017.94479179382"/>
        <n v="165112.61711120605"/>
        <n v="44620.353220939636"/>
        <n v="174866.2455010414"/>
        <n v="2810.906524658203"/>
        <n v="52800.323696136475"/>
        <n v="13737.61185642929"/>
        <n v="88515.44646148682"/>
        <n v="116250.8306952715"/>
        <n v="2274.4873797893524"/>
        <n v="300604.9959039688"/>
        <n v="50624.48362827301"/>
        <n v="9691.0637216568"/>
        <n v="50535.9095954895"/>
        <n v="508.80577087402344"/>
        <n v="8423934.624249458"/>
        <n v="835220.5386967659"/>
        <n v="116193.46928014756"/>
        <n v="40000.0"/>
        <n v="151847.87511825562"/>
        <n v="565553.360956688"/>
        <n v="220774.05807971954"/>
        <n v="94433.66681342841"/>
        <n v="3373179.864883423"/>
        <n v="760934.097981453"/>
        <n v="191786.14616394043"/>
        <n v="925765.0315320491"/>
        <n v="235.66460609436035"/>
        <n v="782579.8740506172"/>
        <n v="91353.66299629211"/>
        <n v="407150.3692126274"/>
        <n v="162672.58729934692"/>
        <n v="0.0911429214477539"/>
        <n v="5842.494964599609"/>
        <n v="48554.0"/>
        <n v="98954.96079540253"/>
        <n v="196299.3906440735"/>
        <n v="3140722.0363616943"/>
        <n v="236015.14790762425"/>
        <n v="888164.7846627235"/>
      </sharedItems>
    </cacheField>
    <cacheField name="Track" numFmtId="0">
      <sharedItems containsBlank="1">
        <s v="SmallTipper"/>
        <s v="SmallSpender"/>
        <s v="WhitelistedCaller"/>
        <s v="MediumSpender"/>
        <s v="BigSpender"/>
        <s v="Root"/>
        <s v="Treasurer"/>
        <s v="GeneralAdmin"/>
        <s v="BigTipper"/>
        <s v="AuctionAdmin"/>
        <s v="StakingAdmin"/>
        <s v="ReferendumKiller"/>
        <s v="ReferendumCanceller"/>
        <s v="FellowshipAdmin"/>
        <s v="LeaseAdmin"/>
        <m/>
        <s v="WishForChange"/>
      </sharedItems>
    </cacheField>
    <cacheField name="AYEs" numFmtId="165">
      <sharedItems containsString="0" containsBlank="1" containsNumber="1">
        <n v="7735.4101"/>
        <n v="2233979.009701535"/>
        <n v="378059.8396858491"/>
        <n v="8.585082224565667E7"/>
        <n v="2528444.8001554697"/>
        <n v="9648535.68311292"/>
        <n v="2074686.070993722"/>
        <n v="2678085.5293575157"/>
        <n v="6253826.758248116"/>
        <n v="3.6401206899206065E7"/>
        <n v="786169.714188578"/>
        <n v="18333.1"/>
        <n v="81100.5"/>
        <n v="3378026.860683102"/>
        <n v="2374590.5707282093"/>
        <n v="2648904.398457322"/>
        <n v="4112784.7833038564"/>
        <n v="636529.2273782742"/>
        <n v="6.606000011524445E7"/>
        <n v="954772.8672961564"/>
        <n v="3210641.9696878437"/>
        <n v="5206765.447026082"/>
        <n v="4674309.070914032"/>
        <n v="3504455.105842395"/>
        <n v="1549724.6118197916"/>
        <n v="1999230.0560329945"/>
        <n v="1972241.1905529392"/>
        <n v="1824897.4281974696"/>
        <n v="1832886.2950795456"/>
        <n v="5716836.764256967"/>
        <n v="2027584.2021437099"/>
        <n v="1986121.7661197702"/>
        <n v="1421644.9241235747"/>
        <n v="2264937.4916216643"/>
        <n v="2946712.004114563"/>
        <n v="3627633.1003135424"/>
        <n v="1312361.345130413"/>
        <n v="1184379.4564274505"/>
        <n v="95326.1830414097"/>
        <n v="1926512.2894038626"/>
        <n v="535586.4422059607"/>
        <n v="578479.153888036"/>
        <n v="22100.0"/>
        <n v="1736554.51924286"/>
        <n v="3174849.7778280494"/>
        <n v="2881164.8922535484"/>
        <n v="258648.0611109425"/>
        <n v="1.1334665505857082E7"/>
        <n v="922871.0506156298"/>
        <n v="804877.8936606903"/>
        <n v="397715.71"/>
        <n v="6.2443324698371075E7"/>
        <n v="495269.8360762875"/>
        <n v="1.6388178298898268E8"/>
        <n v="2588925.6659325603"/>
        <n v="6.157420157551171E7"/>
        <n v="3.977665007842737E7"/>
        <n v="1026127.0465299801"/>
        <n v="6.124214665431561E7"/>
        <n v="122018.0659236606"/>
        <n v="44182.6993408617"/>
        <n v="381841.6537766811"/>
        <n v="4847597.456583484"/>
        <n v="8335.1"/>
        <n v="220863.9527388797"/>
        <n v="0.0"/>
        <n v="24.15"/>
        <n v="284632.6898"/>
        <n v="1.2985389954747396E7"/>
        <n v="24660.0"/>
        <n v="924670.6679387339"/>
        <n v="4880359.655201729"/>
        <n v="1.4044302470903544E7"/>
        <n v="5.6403189080470085E7"/>
        <n v="8435.0"/>
        <n v="701086.5995730502"/>
        <n v="586.6001"/>
        <n v="6210049.197051994"/>
        <n v="536698.3342410373"/>
        <n v="2770176.478645523"/>
        <n v="6921.2"/>
        <n v="3.8681362508912414E7"/>
        <n v="7574005.649151822"/>
        <n v="2732511.4242491024"/>
        <n v="3812823.3020713115"/>
        <n v="4.4924577120154776E7"/>
        <n v="332889.2860128057"/>
        <n v="10.864"/>
        <n v="1317634.1273362057"/>
        <n v="12107.60327"/>
        <n v="7908415.330092529"/>
        <n v="575.1"/>
        <n v="3171.71527"/>
        <n v="7725902.403130105"/>
        <n v="2374640.5356330145"/>
        <n v="2280748.43645582"/>
        <n v="241778.9867892313"/>
        <n v="4039651.941887917"/>
        <n v="8401407.083628017"/>
        <n v="1139247.9246899975"/>
        <n v="3.308373006945709E7"/>
        <n v="1454747.933590664"/>
        <n v="4201378.731518984"/>
        <n v="2718300.389463449"/>
        <n v="469.5001"/>
        <n v="1.3428261636466892E7"/>
        <n v="46.5606"/>
        <n v="349300.0235388797"/>
        <n v="1110896.6022407254"/>
        <n v="1607072.6209056086"/>
        <n v="6.832810810186908E7"/>
        <n v="9549371.48081784"/>
        <n v="6915202.110300566"/>
        <n v="6935202.312304886"/>
        <n v="6964815.49971053"/>
        <n v="6459460.543195448"/>
        <n v="552334.3568617809"/>
        <n v="2416625.7260041023"/>
        <n v="1.0393061010226985E7"/>
        <n v="9881167.304925859"/>
        <n v="1.3377423438059485E7"/>
        <n v="1639770.42252777"/>
        <n v="8.206835035509123E7"/>
        <n v="6510028.820878574"/>
        <n v="8838877.482657176"/>
        <n v="2.5778966219183177E7"/>
        <n v="477424.7660347505"/>
        <n v="250564.3001"/>
        <n v="1532577.915722291"/>
        <n v="1053668.0843173577"/>
        <n v="8.366270379160039E7"/>
        <n v="642061.6815548666"/>
        <n v="1.2979680756598456E8"/>
        <n v="1.148536594206403E7"/>
        <n v="2.260258761832344E7"/>
        <n v="1.4190929773337824E7"/>
        <n v="1259065.6445507207"/>
        <n v="1.1694379632907165E7"/>
        <n v="1620177.6132044385"/>
        <n v="6.735201764582942E7"/>
        <n v="1.500948115578165E7"/>
        <n v="9815523.715501022"/>
        <n v="7.962913429153393E7"/>
        <n v="709765.1801915593"/>
        <n v="539671.9548509261"/>
        <n v="1.0908977520959217E7"/>
        <n v="9073901.901891729"/>
        <n v="263544.2916222079"/>
        <n v="1738801.961481443"/>
        <n v="5500.2001"/>
        <n v="8173838.924613327"/>
        <n v="1.0935687746352661E7"/>
        <n v="1.1550445501611734E7"/>
        <n v="1.5145558668774566E7"/>
        <n v="3072144.4368458968"/>
        <n v="2.1296002802137867E7"/>
        <n v="1.415097775408714E7"/>
        <n v="2.900250996645172E7"/>
        <n v="2.853342736191947E7"/>
        <n v="6714486.932214823"/>
        <n v="3.2922393783723775E7"/>
        <n v="4.0992246510089815E7"/>
        <n v="2.4138423605158653E7"/>
        <n v="1.3862980444431776E7"/>
        <n v="1124068.261025354"/>
        <n v="1.5885988959660273E7"/>
        <n v="7.987862777888377E7"/>
        <n v="3.459635421283184E7"/>
        <n v="1.664284886018637E7"/>
        <n v="239659.293476854"/>
        <n v="3.0182311032798253E7"/>
        <n v="7838951.480903813"/>
        <n v="1.5974743506895315E7"/>
        <n v="453451.1"/>
        <n v="1.1359224421684125E8"/>
        <n v="1.940517177411935E7"/>
        <n v="9618419.74893157"/>
        <n v="4.183694146930335E7"/>
        <n v="1.560995924957572E7"/>
        <n v="4.729266341660337E7"/>
        <n v="3492930.8145728265"/>
        <n v="3.1642966237652868E7"/>
        <n v="42262.7451"/>
        <n v="1.213702657335041E7"/>
        <n v="3.1090138862718776E7"/>
        <n v="3.0524674569029473E7"/>
        <n v="3424916.8906073472"/>
        <n v="3.0398607270912297E7"/>
        <n v="305821.9566813823"/>
        <n v="155746.3318779763"/>
        <n v="3.119588903066481E7"/>
        <n v="3.326273688073045E7"/>
        <n v="65021.755100001"/>
        <n v="3.2315766331863116E7"/>
        <n v="3.0376400769506324E7"/>
        <n v="22322.9872152575"/>
        <n v="3.118663247414238E7"/>
        <n v="7594055.146525093"/>
        <n v="7170544.101573456"/>
        <n v="3.036573339115184E7"/>
        <n v="3.2575630328886285E7"/>
        <n v="3.506008154796286E7"/>
        <n v="4.0944721186264046E7"/>
        <n v="30782.7824"/>
        <n v="1.3526278503535137E7"/>
        <n v="268301.7400043632"/>
        <n v="4.253635629766143E7"/>
        <n v="3.2596761284318846E7"/>
        <n v="8747316.168064626"/>
        <n v="3.491141157795172E7"/>
        <n v="54351.1965872279"/>
        <n v="3.2009625444757596E7"/>
        <n v="3.342557354838428E7"/>
        <n v="4.6815598214285605E7"/>
        <n v="3.0641890579793774E7"/>
        <n v="4.070204191998445E7"/>
        <n v="3.0276875258131795E7"/>
        <n v="4.4349149885587655E7"/>
        <n v="158902.6395762959"/>
        <n v="3.0799899878889088E7"/>
        <n v="1.6096052322877951E7"/>
        <n v="4.215251327346247E7"/>
        <n v="310887.5519093985"/>
        <n v="3.01186582052E7"/>
        <n v="3.0458354505445477E7"/>
        <n v="3.0565509954260625E7"/>
        <n v="3915886.003298794"/>
        <n v="75835.6460449078"/>
        <n v="4.144936497389439E7"/>
        <n v="4.861064937283248E7"/>
        <n v="3.0394841984804146E7"/>
        <n v="405745.7794890173"/>
        <n v="3.1727688998453148E7"/>
        <n v="86511.1236388797"/>
        <n v="9657506.947035635"/>
        <n v="4.198844824830957E7"/>
        <n v="7420.0"/>
        <n v="5.0372653225207165E7"/>
        <n v="3.2834677912353866E7"/>
        <n v="1199182.177945212"/>
        <n v="4.084510661581922E7"/>
        <n v="3.0301602456372637E7"/>
        <n v="3.049210498361186E7"/>
        <n v="3.396786575441203E7"/>
        <n v="1.2611289326016707E7"/>
        <n v="4.447467007021421E7"/>
        <n v="4.170657932097578E7"/>
        <n v="3.0197495688847136E7"/>
        <n v="6960541.497850952"/>
        <n v="16033.3"/>
        <n v="25152.4251194975"/>
        <n v="117996.6605492723"/>
        <n v="134664.2983679656"/>
        <n v="3.082788707886366E7"/>
        <n v="3.0405853046075806E7"/>
        <n v="3.0009445E7"/>
        <n v="3.000600001E7"/>
        <n v="3.09119566222856E7"/>
        <n v="3.0790426015789296E7"/>
        <n v="3.378994176920147E7"/>
        <n v="3.0578919776982248E7"/>
        <n v="4.0095955500001E7"/>
        <n v="3915480.7786718556"/>
        <n v="8388366.351820052"/>
        <n v="2776898.2918266035"/>
        <n v="1.0201382906180096E8"/>
        <n v="4.015662752277223E7"/>
        <n v="4.00292686E7"/>
        <n v="4.2846134456303306E7"/>
        <n v="4.008488575168E7"/>
        <n v="19054.0"/>
        <n v="12005.0"/>
        <n v="4.008898921257388E7"/>
        <n v="0.01"/>
        <n v="4.00534141E7"/>
        <n v="354426.6326709574"/>
        <n v="5.0738421406445645E7"/>
        <n v="1.2195779086624645E7"/>
        <n v="66319.9858"/>
        <n v="28005.0011"/>
        <n v="46808.0"/>
        <n v="706090.0284884511"/>
        <n v="35845.1898"/>
        <n v="4.013379374191113E7"/>
        <n v="15014.5693732923"/>
        <n v="2.8468141141384706E7"/>
        <n v="10200.0"/>
        <n v="1.1597520754924638E7"/>
        <n v="4.0031866502648085E7"/>
        <n v="15130.5360900128"/>
        <n v="4.245212836202146E7"/>
        <n v="33573.9872152575"/>
        <n v="5887272.612024391"/>
        <n v="7951.3"/>
        <n v="5010.2"/>
        <n v="4.258797100522304E7"/>
        <n v="4.0819009214806415E7"/>
        <n v="5732.8372980983"/>
        <n v="104439.4898"/>
        <n v="4.465946919095604E7"/>
        <n v="446964.1980092828"/>
        <n v="4.967111193559184E7"/>
        <n v="30700.1"/>
        <n v="1.4313621314417174E7"/>
        <n v="2062021.4808090366"/>
        <n v="65403.9885414647"/>
        <n v="4.4187135340540595E7"/>
        <n v="5.226050330335246E7"/>
        <n v="1.570833500163753E7"/>
        <n v="6228798.944682249"/>
        <n v="16010.0"/>
        <n v="15000.0"/>
        <n v="15021.1"/>
        <n v="35000.00000001"/>
        <n v="1.0E-9"/>
        <n v="4865870.116532736"/>
        <n v="1000.1000010001"/>
        <n v="90810.5760615647"/>
        <n v="123349.5885424647"/>
        <n v="4.069527459459643E7"/>
        <n v="5.0609674107939035E7"/>
        <n v="9500.1"/>
        <n v="5.362030762578072E7"/>
        <n v="1100.601"/>
        <n v="27.20000001"/>
        <n v="4.344460132650781E7"/>
        <n v="1938416.8089000662"/>
        <n v="2452744.3595240074"/>
        <n v="5.3048548260518506E7"/>
        <n v="3.1116971862839773E7"/>
        <n v="705123.0032703419"/>
        <n v="4.391815148159021E7"/>
        <n v="2341030.322045777"/>
        <n v="1.1784649916953847E7"/>
        <n v="820167.5394027361"/>
        <n v="4.077124636234969E7"/>
        <n v="4.012783179648351E7"/>
        <n v="4.0139274507129185E7"/>
        <n v="642341.841820502"/>
        <n v="1.277154673353161E7"/>
        <n v="1299312.8215687599"/>
        <n v="1.0395602393778948E7"/>
        <n v="2186348.418541134"/>
        <n v="4.290680056530482E7"/>
        <n v="29367.0693732923"/>
        <n v="174575.1980649949"/>
        <n v="1284846.0818512216"/>
        <n v="18965.6761885379"/>
        <n v="1.4242921524911059E7"/>
        <n v="6.330314211125132E7"/>
        <n v="4.0012051951830134E7"/>
        <n v="5.441849491967519E7"/>
        <n v="4.026127863549032E7"/>
        <n v="1.322039321812113E7"/>
        <n v="956373.4506632377"/>
        <n v="4.3493004495830566E7"/>
        <n v="1.276356410238278E7"/>
        <n v="4.397089448350183E7"/>
        <n v="4.395592366645032E7"/>
        <n v="5.909476852444479E7"/>
        <n v="6135.6418470812"/>
        <n v="4.0552992542348444E7"/>
        <n v="4.067533323733385E7"/>
        <n v="4.06707686570151E7"/>
        <n v="4.261972314879799E7"/>
        <n v="1.4931890672529168E7"/>
        <n v="4.225674058329386E7"/>
        <n v="8.023698548943074E7"/>
        <n v="5.584778703853539E7"/>
        <n v="4.232410623543862E7"/>
        <n v="2.260301831403366E7"/>
        <n v="2449152.4135266454"/>
        <n v="1.8698599488974273E7"/>
        <n v="1.1339551889382637E8"/>
        <n v="265094.6151087827"/>
        <n v="4.072271855255669E7"/>
        <n v="4.006224401349976E7"/>
        <n v="20972.75511"/>
        <n v="8.823238309167229E7"/>
        <n v="5.4305843981351405E7"/>
        <n v="1.5053993907782946E7"/>
        <n v="4.205530829556923E7"/>
        <n v="25251.0"/>
        <n v="4.616974755489394E7"/>
        <n v="96537.7063194007"/>
        <n v="2822333.194635843"/>
        <n v="1.6431166850760797E7"/>
        <n v="12262.1531"/>
        <n v="1.0063210331016317E7"/>
        <n v="3868657.0971086035"/>
        <n v="25142.16037"/>
        <n v="206693.3777962458"/>
        <n v="1.3950343378647817E7"/>
        <n v="1.6332373649223462E7"/>
        <n v="5.536930947291529E7"/>
        <n v="3.305601927908205E7"/>
        <n v="22474.1362587345"/>
        <n v="82271.5289358169"/>
        <n v="3221218.82419314"/>
        <n v="406265.0568534576"/>
        <n v="1.570805249379172E7"/>
        <n v="5.347126750729976E7"/>
        <n v="5.484933424733982E7"/>
        <n v="1.650780816486209E7"/>
        <n v="4.920106429207879E7"/>
        <n v="18546.501"/>
        <n v="1.6200841224434428E7"/>
        <n v="7.054771671067053E7"/>
        <n v="7.94505155868593E7"/>
        <n v="6623982.139878463"/>
        <n v="4.922644423606378E7"/>
        <n v="435659.7318281898"/>
        <n v="2951739.321320447"/>
        <n v="2682637.447763442"/>
        <n v="5.929524864911567E7"/>
        <n v="1.646791793183994E7"/>
        <n v="2438772.265202299"/>
        <n v="5.0703275599762715E7"/>
        <n v="6233430.81305844"/>
        <n v="17022.8"/>
        <n v="1.5429450623665174E7"/>
        <n v="3056926.415414998"/>
        <n v="4011045.8533452693"/>
        <n v="996528.6622540269"/>
        <n v="6.924945406874073E7"/>
        <n v="3519457.6617520647"/>
        <n v="357610.8190186394"/>
        <n v="6.277156721532117E7"/>
        <n v="1.5656937631619591E7"/>
        <n v="277908.3436185267"/>
        <n v="1.5747458876525125E7"/>
        <n v="5.4020773505315796E7"/>
        <n v="1.0709022656888427E8"/>
        <n v="5876880.270488367"/>
        <n v="5.2014640126166955E7"/>
        <n v="521453.4074852575"/>
        <n v="8.9287631441525E7"/>
        <n v="390214.7004691655"/>
        <n v="5.1388946833150886E7"/>
        <n v="5.3714025922557965E7"/>
        <n v="5.313423483003441E7"/>
        <n v="550.0"/>
        <n v="5.8051105417226255E7"/>
        <n v="1.982663704532581E7"/>
        <n v="3.0073282522088356E7"/>
        <n v="2.1774369355430014E7"/>
        <n v="38210.7065089378"/>
        <n v="5052.42"/>
        <n v="6303042.257454891"/>
        <n v="6.56381745139761E7"/>
        <n v="1.219522559384857E8"/>
        <n v="3170874.660111985"/>
        <n v="5692593.665392343"/>
        <n v="1.914115084021847E7"/>
        <n v="2.5536990760058828E7"/>
        <n v="3.682739521376238E7"/>
        <n v="7.629591859518103E7"/>
        <n v="2961619.968297197"/>
        <n v="305211.4276028223"/>
        <n v="4.97698949781311E7"/>
        <n v="4.005788845602789E7"/>
        <n v="5.783022838123502E7"/>
        <n v="4.52831669928855E7"/>
        <n v="4.475472834893425E7"/>
        <n v="3256261.08794438"/>
        <n v="7030776.94725024"/>
        <n v="1.1111518046745734E8"/>
        <n v="2973029.555406196"/>
        <n v="3.990367906261194E7"/>
        <n v="8.016832127427164E7"/>
        <n v="2266670.1158870035"/>
        <n v="8545920.303610448"/>
        <n v="2593462.4618386147"/>
        <n v="11093.2"/>
        <n v="2.5419753158659376E7"/>
        <n v="5.962496221763242E7"/>
        <n v="6.8575843461037E7"/>
        <n v="5.4419645404911175E7"/>
        <n v="2.5092810810570687E7"/>
        <n v="3.2613245069945853E7"/>
        <n v="7.606264303949694E7"/>
        <n v="9.644876906770921E7"/>
        <n v="6.227270645543522E7"/>
        <n v="2590503.6868194886"/>
        <n v="6.224676456649029E7"/>
        <n v="6.2276848443343E7"/>
        <n v="4.337411657282051E7"/>
        <n v="571976.729612511"/>
        <n v="7.209142301734157E7"/>
        <n v="231496.3877401491"/>
        <n v="6143539.839719509"/>
        <n v="4.3595244972515054E7"/>
        <n v="6168691.171117416"/>
        <n v="2676.5"/>
        <n v="3.6828302610091045E7"/>
        <n v="5.031454435451154E7"/>
        <n v="2741623.0037323334"/>
        <n v="4.06685615959131E7"/>
        <n v="6.622422831225044E7"/>
        <n v="1.6979236869608227E7"/>
        <n v="2.50131365889723E7"/>
        <n v="5.327197928171667E7"/>
        <n v="5.350181199562601E7"/>
        <n v="716434.4270274406"/>
        <n v="3.9545297569549695E7"/>
        <n v="5366620.89512665"/>
        <n v="6.822262387859622E7"/>
        <n v="12187.6238876499"/>
        <n v="2.2788592006619725E7"/>
        <n v="5030.211"/>
        <n v="3.6588895925391264E7"/>
        <n v="4965874.744405296"/>
        <n v="4424404.1293616155"/>
        <n v="27572.1915504368"/>
        <n v="1536.0"/>
        <n v="30061.7151"/>
        <n v="4610983.325563604"/>
        <n v="2.8277300918579224E7"/>
        <n v="2.4519970660588082E7"/>
        <n v="1.6398563393097922E7"/>
        <n v="38.0233960344"/>
        <n v="8.966078829988521E7"/>
        <n v="51063.3338906851"/>
        <n v="3858268.0759964073"/>
        <n v="6.128728843590205E7"/>
        <n v="2.788864812668885E7"/>
        <n v="144746.2855027388"/>
        <n v="56434.4628020922"/>
        <n v="223662.7050747599"/>
        <n v="286690.0646839105"/>
        <n v="1.957999529438962E7"/>
        <n v="3.3321280719731968E7"/>
        <n v="3.0955745308786813E7"/>
        <n v="1.6188858585702918E7"/>
        <n v="8.085623036125809E7"/>
        <n v="2084645.057263179"/>
        <n v="6.944506625600159E7"/>
        <n v="7.711076833889154E7"/>
        <n v="1455004.3264711692"/>
        <n v="161606.7647552435"/>
        <n v="2970382.273284831"/>
        <n v="52422.31"/>
        <n v="0.1"/>
        <n v="6.139930534382708E7"/>
        <m/>
        <n v="5.1964057789723456E7"/>
        <n v="2.8993230107458778E7"/>
        <n v="6378737.315504522"/>
        <n v="4.114682858828724E7"/>
        <n v="5.3068844008963026E7"/>
        <n v="4.106191528092714E7"/>
        <n v="5.649735380051413E7"/>
        <n v="5.663275906343913E7"/>
        <n v="6656004.024445286"/>
        <n v="351354.5467962191"/>
        <n v="4080227.2882983503"/>
        <n v="2.2019297241739362E7"/>
        <n v="5.5976035508463316E7"/>
        <n v="2.055178827516754E7"/>
        <n v="2.1772603304757383E7"/>
        <n v="159023.2204742318"/>
        <n v="1.5509676192860667E7"/>
        <n v="5272.33429015"/>
        <n v="2.668803964254866E7"/>
        <n v="2.7123074765413158E7"/>
        <n v="6301797.348995305"/>
        <n v="3.858853669086745E7"/>
        <n v="2.6266859183600828E7"/>
        <n v="1.983412784100694E7"/>
        <n v="1.982902712300694E7"/>
        <n v="4.3585097631919436E7"/>
        <n v="9.584684971349336E7"/>
        <n v="4.120019627424938E7"/>
        <n v="58275.5709033567"/>
        <n v="4.811509113231536E7"/>
        <n v="9840638.10170878"/>
        <n v="9637007.806086784"/>
        <n v="13.1"/>
        <n v="9528497.355784496"/>
        <n v="1.5540508163125664E7"/>
        <n v="9.649316618004514E7"/>
        <n v="6.045112892136628E7"/>
        <n v="1.4070614507029708E7"/>
        <n v="1.1710285727579564E7"/>
        <n v="3.028339744175481E7"/>
        <n v="6.6444242702947125E7"/>
        <n v="6.408688965207504E7"/>
        <n v="4.0595759980480224E7"/>
        <n v="1.6363832556860913E7"/>
        <n v="4.212462315131025E7"/>
        <n v="1234996.1824093596"/>
        <n v="72002.4497526022"/>
        <n v="278396.3914973283"/>
        <n v="21144.9235388797"/>
        <n v="5042.5"/>
        <n v="174943.3292221152"/>
        <n v="19588.6"/>
        <n v="1.5925082458441354E7"/>
        <n v="6.820345296552911E7"/>
        <n v="3.0757536434500918E7"/>
        <n v="4.83865529140287E7"/>
        <n v="5585.9852822421"/>
        <n v="9.547172776203313E7"/>
        <n v="1.3999206840506938E8"/>
        <n v="3.2949208165320445E7"/>
        <n v="3.1222951084648177E7"/>
        <n v="2.2276762370600972E7"/>
        <n v="90.0"/>
        <n v="1.5118191149519898E7"/>
        <n v="1.543054023117283E7"/>
        <n v="6696387.242893838"/>
        <n v="1585353.068169271"/>
        <n v="2.6044238677712448E7"/>
        <n v="6126356.3945755465"/>
        <n v="3.328821125117913E7"/>
        <n v="1.460571317144677E7"/>
        <n v="1.6010808858177153E7"/>
        <n v="1.1359882397318932E8"/>
        <n v="3.1263802759612262E7"/>
        <n v="1.2670754229037007E7"/>
        <n v="2.2092464028749596E7"/>
        <n v="2.510706426516827E7"/>
        <n v="2.7861549025205825E7"/>
        <n v="3067530.4542505695"/>
        <n v="2.1956707246073242E7"/>
        <n v="9.513183595277497E7"/>
        <n v="4.27810084451573E7"/>
        <n v="2.633359030294356E7"/>
        <n v="2.9272225681329094E7"/>
        <n v="6.0186620898426965E7"/>
        <n v="7.164889069742276E7"/>
        <n v="2.3407486917756654E7"/>
        <n v="5.495008536106465E7"/>
        <n v="2792589.2605857137"/>
        <n v="7.827719518856193E7"/>
        <n v="2.501772531707894E7"/>
        <n v="2.1781669610639274E7"/>
        <n v="4.157178981025734E7"/>
        <n v="0.02"/>
        <n v="1.2378219411409115E7"/>
        <n v="1.8931912162431866E7"/>
        <n v="4.0"/>
        <n v="3.43843341452359E7"/>
        <n v="3.24976708496217E7"/>
        <n v="1.2956314595299855E7"/>
        <n v="2.7695702597177453E7"/>
        <n v="2.0291719983277466E7"/>
        <n v="3.808948874393382E7"/>
        <n v="3.2434635027898677E7"/>
        <n v="3.9"/>
        <n v="6147712.278539262"/>
        <n v="1.5790448086064912E7"/>
        <n v="1.2201796754149145E7"/>
        <n v="3.7226426753030896E7"/>
        <n v="2.3251352540421523E7"/>
        <n v="1.979789156981795E7"/>
        <n v="1.2682149199485077E7"/>
        <n v="1.2423933222471114E7"/>
        <n v="1.27845626729478E7"/>
        <n v="1.3959692809620485E7"/>
        <n v="5.400262213176732E7"/>
        <n v="4.4294834772344775E7"/>
        <n v="4.141246787565949E7"/>
        <n v="122718.7035491526"/>
        <n v="32604.01"/>
        <n v="8.062275986886974E7"/>
        <n v="1.9604690371823773E7"/>
        <n v="3.130147925432312E7"/>
        <n v="4.047935764175173E7"/>
        <n v="8.930637306363092E7"/>
        <n v="3.852607850973605E7"/>
        <n v="1253886.5470499354"/>
        <n v="6.3851171334315635E7"/>
        <n v="7.739687108635575E7"/>
        <n v="2.462397184997969E7"/>
        <n v="4.845083724324816E7"/>
        <n v="431.2303287823"/>
        <n v="4.993081629468225E7"/>
        <n v="3626138.55503579"/>
        <n v="9.54882896811075E7"/>
        <n v="4.135087819551657E7"/>
        <n v="20637.01"/>
        <n v="3.0680796148644384E7"/>
        <n v="6.294993000640261E7"/>
        <n v="4.598609098312451E7"/>
        <n v="110690.447091685"/>
        <n v="7.010156531E7"/>
        <n v="2.746472260536186E7"/>
        <n v="5.3078060435503535E7"/>
        <n v="5.554173244854301E7"/>
        <n v="7.077082042633684E7"/>
        <n v="2.668836595087183E7"/>
        <n v="2.214555960666927E7"/>
        <n v="7596050.504003475"/>
        <n v="1.365173018580691E7"/>
        <n v="5.569914678446152E7"/>
        <n v="1.1023924643445787E8"/>
        <n v="6459370.140016061"/>
        <n v="2189733.730543222"/>
        <n v="1.5691629735900668E7"/>
        <n v="8.347302205830307E7"/>
        <n v="3.837832311101514E7"/>
        <n v="2.4781612820135582E7"/>
        <n v="2.126443815495793E7"/>
        <n v="1.1900966157190477E7"/>
        <n v="2.6345761323407378E7"/>
        <n v="8062.0"/>
        <n v="1.5079383147556683E7"/>
        <n v="2373684.058770129"/>
        <n v="6.608190551E7"/>
        <n v="1.5486823745310143E7"/>
        <n v="5.7411484900751E7"/>
        <n v="4.369177981816692E7"/>
        <n v="2.8856070129855145E7"/>
        <n v="6.71098173642961E7"/>
        <n v="5.509427683145718E7"/>
        <n v="1.5630059168483255E7"/>
        <n v="2.2666868331777394E7"/>
        <n v="3.651738030086333E7"/>
        <n v="4.557832235378346E7"/>
        <n v="1.2750026550196104E8"/>
        <n v="8.03343693584753E7"/>
        <n v="7.219814847494596E7"/>
        <n v="6.76384267371569E7"/>
        <n v="3551695.3569179988"/>
        <n v="2.0"/>
        <n v="6.922501980393365E7"/>
        <n v="2.0151109116747275E7"/>
        <n v="2.9200896385980844E7"/>
        <n v="3.795721278723195E7"/>
        <n v="4.140273258308712E7"/>
        <n v="46210.2"/>
        <n v="1.6829807692869313E7"/>
        <n v="22559.5610012343"/>
        <n v="4.3775773303951435E7"/>
        <n v="2.852289554537966E7"/>
        <n v="10009.2480460108"/>
        <n v="7.386552094267233E7"/>
        <n v="2.7728138077237185E7"/>
        <n v="7.374476799739224E7"/>
        <n v="3.037627761639012E7"/>
        <n v="1.0757018181980687E8"/>
        <n v="5.8766640236364126E7"/>
        <n v="1.957365060392119E7"/>
        <n v="8.104297126360759E7"/>
        <n v="4.114354769820072E7"/>
        <n v="9792206.23882322"/>
        <n v="6.2418651328313775E7"/>
        <n v="6.476004899118147E7"/>
        <n v="149548.4807177868"/>
        <n v="720.0"/>
        <n v="4.169980396486731E7"/>
        <n v="4.18317662206843E7"/>
        <n v="521008.1670816278"/>
        <n v="7.945687603354435E7"/>
        <n v="2.322254547911089E7"/>
        <n v="529708.6358786034"/>
        <n v="1.5704305859246816E7"/>
        <n v="2.6542863801833585E7"/>
        <n v="5459116.52353888"/>
        <n v="1.2293383619492548E7"/>
        <n v="9970428.09812112"/>
        <n v="6.60528486E7"/>
        <n v="7.547054917272668E7"/>
        <n v="7.009742036974022E7"/>
        <n v="56.14"/>
        <n v="1.5190356339182127E7"/>
        <n v="1.7302899227684572E7"/>
        <n v="9.58845640645024E7"/>
        <n v="3.815879603813138E7"/>
        <n v="9299448.942535723"/>
        <n v="4906243.470630565"/>
        <n v="3573791.397174845"/>
        <n v="400680.9321555039"/>
        <n v="5.332484746138717E7"/>
        <n v="1.279854844864592E7"/>
        <n v="6439928.768173273"/>
        <n v="152076.357810075"/>
        <n v="4.638678910095427E7"/>
        <n v="1.77674757830758E7"/>
        <n v="1.0913055714323848E7"/>
        <n v="9906673.546190666"/>
        <n v="4287060.945655815"/>
        <n v="0.0913564389"/>
        <n v="4396613.709590542"/>
        <n v="1.9150399945134796E7"/>
        <n v="1.0E-10"/>
        <n v="1.6703818859296778E7"/>
        <n v="2.0983748858454604E7"/>
        <n v="4431.7090568882"/>
        <n v="9396264.12615785"/>
        <n v="8.618542929292434E7"/>
        <n v="2.1738347371875145E7"/>
        <n v="6.323707081344256E7"/>
        <n v="3896.6"/>
        <n v="3.366649862889355E7"/>
        <n v="6.070405556605734E7"/>
        <n v="101091.347091685"/>
        <n v="255711.5045491526"/>
        <n v="3950876.7834916604"/>
        <n v="137490.2235026052"/>
        <n v="1.3754766585765146E7"/>
        <n v="2.8614972529792883E7"/>
        <n v="1.942837050608435E7"/>
        <n v="4.7435370260943696E7"/>
        <n v="4.932535530294791E7"/>
        <n v="6.49088293E7"/>
        <n v="1.5145910207192047E7"/>
        <n v="4325310.85172637"/>
        <n v="1.768917172096417E7"/>
        <n v="2.359389874185622E7"/>
        <n v="341749.851087096"/>
        <n v="1.329316836791525E8"/>
        <n v="1.2980898190504821E7"/>
        <n v="1.941925958081955E7"/>
        <n v="2.8126382884544637E7"/>
        <n v="26441.2873962073"/>
        <n v="8920946.21300163"/>
        <n v="2.6260067339094143E7"/>
        <n v="1.319405825608982E7"/>
        <n v="7.304618611055021E7"/>
        <n v="5856471.01498141"/>
        <n v="2.1449377337148007E7"/>
        <n v="4.169707124053409E7"/>
        <n v="5.208743713188946E7"/>
        <n v="5.235930689288504E7"/>
        <n v="5.2841564359386615E7"/>
        <n v="5.369510900747268E7"/>
        <n v="1001716.1463541639"/>
        <n v="4296511.344585252"/>
        <n v="2.54603019907643E7"/>
        <n v="4230650.440340989"/>
        <n v="5.342226577575157E7"/>
        <n v="7698865.058179578"/>
        <n v="14705.0"/>
        <n v="1500.0"/>
        <n v="553654.1271781533"/>
        <n v="3.444482280267985E7"/>
        <n v="2.1342302071591366E7"/>
        <n v="3.0732960823749024E7"/>
        <n v="1.125431398822826E8"/>
        <n v="840527.6920139628"/>
        <n v="5.2479875605968155E7"/>
        <n v="1.2863495003549153E7"/>
        <n v="2054737.0138999878"/>
        <n v="53032.6675154096"/>
        <n v="96029.5035491526"/>
        <n v="1361287.8305774522"/>
        <n v="2181514.5518546794"/>
        <n v="16802.1"/>
        <n v="10250.0"/>
        <n v="2.3062078460262343E7"/>
        <n v="426626.6181879694"/>
        <n v="1.708520749290078E7"/>
        <n v="1.3529577332268534E7"/>
        <n v="5.217283833542938E7"/>
        <n v="1.1270362373251139E8"/>
        <n v="128143.847091685"/>
        <n v="1.770066171190921E8"/>
        <n v="712115.5404656086"/>
        <n v="4520145.849381444"/>
        <n v="1.775105841406512E7"/>
        <n v="1.2819849330637237E7"/>
        <n v="3.930751408049156E7"/>
        <n v="2.2486116171625115E7"/>
        <n v="9374020.835346866"/>
        <n v="4406773.960592074"/>
        <n v="1.9065683793081976E7"/>
        <n v="2.9069068703550152E7"/>
        <n v="113644.5035491526"/>
        <n v="624063.186134604"/>
        <n v="574081.9982314019"/>
        <n v="3561178.420361336"/>
        <n v="2.448287369319474E7"/>
        <n v="16808.2"/>
        <n v="4263508.736659206"/>
        <n v="2925953.717180307"/>
        <n v="4882023.271207002"/>
        <n v="2.236439077260931E7"/>
        <n v="25.0"/>
        <n v="3.0562661664434727E7"/>
        <n v="5331229.3926854925"/>
        <n v="4359694.370630565"/>
        <n v="21854.1000000001"/>
        <n v="16800.2"/>
        <n v="332408.6601980858"/>
        <n v="34261.7366592061"/>
        <n v="8050.0"/>
        <n v="945586.469146613"/>
        <n v="14994.0"/>
      </sharedItems>
    </cacheField>
    <cacheField name="NAYs" numFmtId="165">
      <sharedItems containsString="0" containsBlank="1" containsNumber="1">
        <n v="2776016.4071780127"/>
        <n v="3249706.493460312"/>
        <n v="1761651.3027568972"/>
        <n v="0.0"/>
        <n v="800119.465234279"/>
        <n v="2859825.6206017635"/>
        <n v="637265.3748057142"/>
        <n v="317570.8033617394"/>
        <n v="429028.9145927421"/>
        <n v="20264.5"/>
        <n v="2763283.584264918"/>
        <n v="3389665.0673079365"/>
        <n v="3200852.7298340774"/>
        <n v="375143.0475345054"/>
        <n v="701265.3519029213"/>
        <n v="846335.2475345054"/>
        <n v="7250812.633153093"/>
        <n v="2185637.1675414243"/>
        <n v="100.1"/>
        <n v="2747592.845394487"/>
        <n v="390263.0608"/>
        <n v="1469069.3459266594"/>
        <n v="4422681.847630495"/>
        <n v="50674.5001"/>
        <n v="476201.8865112867"/>
        <n v="322967.6608"/>
        <n v="344405.6556"/>
        <n v="322553.7556"/>
        <n v="379790.9589303516"/>
        <n v="8474908.448823085"/>
        <n v="8053184.338945685"/>
        <n v="373221.6924692313"/>
        <n v="673386.802499875"/>
        <n v="5921508.980960048"/>
        <n v="3816011.5749859964"/>
        <n v="3520391.387092367"/>
        <n v="1191227.811113608"/>
        <n v="624726.6057113309"/>
        <n v="801640.4259086589"/>
        <n v="634605.3660649953"/>
        <n v="2596306.643848169"/>
        <n v="1962082.5150987648"/>
        <n v="3480490.0550859645"/>
        <n v="1140892.1232540028"/>
        <n v="81230.5637913073"/>
        <n v="2749682.4816202084"/>
        <n v="3502905.499998555"/>
        <n v="3295244.2838937347"/>
        <n v="102665.6052"/>
        <n v="108652.866"/>
        <n v="789693.3307780197"/>
        <n v="100.0"/>
        <n v="1593572.8219458836"/>
        <n v="200.5"/>
        <n v="50313.2"/>
        <n v="11413.3152069446"/>
        <n v="6100.0"/>
        <n v="114582.2"/>
        <n v="2557344.8346599923"/>
        <n v="1116239.0921566642"/>
        <n v="926139.199478539"/>
        <n v="362971.8876054939"/>
        <n v="2970004.1748762988"/>
        <n v="2303159.5566101545"/>
        <n v="1388229.167028686"/>
        <n v="1396571.1542439435"/>
        <n v="1.203636451277686E7"/>
        <n v="5748232.335227015"/>
        <n v="974296.3309908297"/>
        <n v="1408093.552368431"/>
        <n v="558731.4"/>
        <n v="6665.0"/>
        <n v="37839.5"/>
        <n v="1704193.3533758195"/>
        <n v="2271354.803267096"/>
        <n v="4967644.52289783"/>
        <n v="160270.6872152575"/>
        <n v="4016304.5886344914"/>
        <n v="17012.51527"/>
        <n v="3266251.192756873"/>
        <n v="5.980744014463551E7"/>
        <n v="5083003.5840209685"/>
        <n v="105.0001"/>
        <n v="44853.6472740836"/>
        <n v="1.1998648372988708E7"/>
        <n v="1257176.614344529"/>
        <n v="8597057.352723973"/>
        <n v="1.0767076450346833E7"/>
        <n v="2343682.1766621214"/>
        <n v="5973479.092043694"/>
        <n v="1752681.734111025"/>
        <n v="1691419.7090268605"/>
        <n v="1202432.7064286622"/>
        <n v="6537.2608"/>
        <n v="223637.52072"/>
        <n v="8564453.579265747"/>
        <n v="2420972.0955897355"/>
        <n v="7075387.569513494"/>
        <n v="7767062.625196724"/>
        <n v="1.4113955204292133E7"/>
        <n v="7607059.260747373"/>
        <n v="1.2751935100499835E7"/>
        <n v="1205976.0773400085"/>
        <n v="9666029.169369327"/>
        <n v="490200.5592823739"/>
        <n v="1.0376856235622648E7"/>
        <n v="2.4637372195392903E7"/>
        <n v="96196.205521818"/>
        <n v="9897751.71654564"/>
        <n v="10.0"/>
        <n v="1777789.0804504848"/>
        <n v="32741.1"/>
        <n v="12741.0"/>
        <n v="27741.1"/>
        <n v="7669622.991030213"/>
        <n v="1.7394431087814342E7"/>
        <n v="1462553.2046127678"/>
        <n v="1774058.2108842062"/>
        <n v="741684.2711678819"/>
        <n v="9528437.06765272"/>
        <n v="5000.0"/>
        <n v="20708.8341525147"/>
        <n v="2405004.184851485"/>
        <n v="8589727.942633545"/>
        <n v="1.0469698783747932E7"/>
        <n v="1.1319202934961796E7"/>
        <n v="1.0757500133491058E7"/>
        <n v="2.1799859680688288E7"/>
        <n v="5.1"/>
        <n v="1.0403065271781659E7"/>
        <n v="10.0000001"/>
        <n v="591578.0769474191"/>
        <n v="9282888.327112835"/>
        <n v="335416.1258053582"/>
        <n v="49597.6707428057"/>
        <n v="7949509.53322787"/>
        <n v="1.3912353415797839E7"/>
        <n v="574.3"/>
        <n v="1.1836784393508028E7"/>
        <n v="2164853.1242166907"/>
        <n v="8321085.380210415"/>
        <n v="8496668.073803283"/>
        <n v="2029197.8157342088"/>
        <n v="1.3234063197890121E7"/>
        <n v="1.0866612314139314E7"/>
        <n v="1.0902545250796333E7"/>
        <n v="1.1892506619330889E7"/>
        <n v="3.615602047384298E7"/>
        <n v="1035357.3614992728"/>
        <n v="2360329.5508997575"/>
        <n v="1.30392772102238E7"/>
        <n v="1.0707989811922401E7"/>
        <n v="1441880.29251313"/>
        <n v="750254.5688472512"/>
        <n v="5.554697532729751E7"/>
        <n v="4214708.456740625"/>
        <n v="1573255.404904616"/>
        <n v="1.192526170680949E7"/>
        <n v="3120749.43144537"/>
        <n v="1.6356422065604853E7"/>
        <n v="2560151.2917201086"/>
        <n v="1.4215047154586323E7"/>
        <n v="469179.9508784957"/>
        <n v="1.054669198594188E7"/>
        <n v="1.0902778199072879E7"/>
        <n v="7506281.359547438"/>
        <n v="1.0517214324763149E7"/>
        <n v="78191.1"/>
        <n v="1.3259460570952611E7"/>
        <n v="9617022.639728453"/>
        <n v="1.1687126732700344E7"/>
        <n v="7010.0"/>
        <n v="1508814.1225582366"/>
        <n v="1.3069205742926199E7"/>
        <n v="1759274.7082190136"/>
        <n v="1.1707775346271059E7"/>
        <n v="1.1301172215252753E7"/>
        <n v="1.0678793697015744E7"/>
        <n v="2290402.5680582365"/>
        <n v="1139827.406690996"/>
        <n v="1.4315844145121774E7"/>
        <n v="1.2446818670847822E7"/>
        <n v="4716779.223331273"/>
        <n v="1.555904530397792E7"/>
        <n v="1.5581247351948902E7"/>
        <n v="45005.2"/>
        <n v="1.078752271315139E7"/>
        <n v="1.5562634646787075E7"/>
        <n v="1.1182083817293655E7"/>
        <n v="1079535.4249467973"/>
        <n v="1.2612869943638694E7"/>
        <n v="343162.0886441372"/>
        <n v="109018.2"/>
        <n v="506801.5396327592"/>
        <n v="1.3408950321774285E7"/>
        <n v="2073723.9689864835"/>
        <n v="1.1070011057488974E7"/>
        <n v="4103318.8213073215"/>
        <n v="1.6109800952344524E7"/>
        <n v="1612050.1"/>
        <n v="4.505387733536229E7"/>
        <n v="3273022.3646644778"/>
        <n v="1063767.3631033082"/>
        <n v="1.3752258073958397E7"/>
        <n v="1.4755228009936797E7"/>
        <n v="1.1114664132716475E7"/>
        <n v="3985580.2302667242"/>
        <n v="5.828919923032874E7"/>
        <n v="1.1486700826510543E7"/>
        <n v="1226423.4874816907"/>
        <n v="3964552.313170689"/>
        <n v="1640840.3"/>
        <n v="1.8106506949889667E7"/>
        <n v="2738190.4208938363"/>
        <n v="1.5202322409474665E7"/>
        <n v="1.6348075971494554E7"/>
        <n v="3445767.816292549"/>
        <n v="4340440.159228561"/>
        <n v="1.831055537397765E7"/>
        <n v="1.2503451937641766E7"/>
        <n v="1.6234693658547647E7"/>
        <n v="329898.8097734942"/>
        <n v="4.2776238340737134E7"/>
        <n v="1.5662029021986814E7"/>
        <n v="3433779.6796261887"/>
        <n v="6482757.585845532"/>
        <n v="52575.1670582367"/>
        <n v="1.0275617990940167E7"/>
        <n v="1.1968360709720328E7"/>
        <n v="1.5308649734266505E7"/>
        <n v="1246164.7537619453"/>
        <n v="4248856.246321443"/>
        <n v="2.902016628297301E7"/>
        <n v="1321479.5707626857"/>
        <n v="1.1324511636341574E7"/>
        <n v="3.8092512063579015E7"/>
        <n v="1.2539129936206276E7"/>
        <n v="1.442516634810462E7"/>
        <n v="509855.6856913136"/>
        <n v="4768906.662421701"/>
        <n v="1640263.67898479"/>
        <n v="1404565.8430015205"/>
        <n v="6056471.904557891"/>
        <n v="1.2796975256897751E7"/>
        <n v="1.2402330771805251E7"/>
        <n v="4235390.459433627"/>
        <n v="1.28009436881704E7"/>
        <n v="1.3674840009084048E7"/>
        <n v="4.958257608666941E7"/>
        <n v="4.968111951148787E7"/>
        <n v="1729854.4601754772"/>
        <n v="5235595.222410884"/>
        <n v="7354478.307989768"/>
        <n v="1192044.9682169957"/>
        <n v="1284797.6662018285"/>
        <n v="2.8259576395204253E7"/>
        <n v="4.710742690177693E7"/>
        <n v="1.2400499771810254E7"/>
        <n v="9135.0"/>
        <n v="1247495.0517497743"/>
        <n v="2.8399895388290156E7"/>
        <n v="5.195158233001553E7"/>
        <n v="2.617005792020953E7"/>
        <n v="5.238445068349452E7"/>
        <n v="3.3114145150339477E7"/>
        <n v="4734227.804249804"/>
        <n v="5.1742061852086164E7"/>
        <n v="1.0792321612293271E7"/>
        <n v="5.212347067856228E7"/>
        <n v="7723574.912385896"/>
        <n v="2818709.3872152576"/>
        <n v="1963170.00000001"/>
        <n v="5.1957897560349055E7"/>
        <n v="5.181088581297835E7"/>
        <n v="5.164774212716589E7"/>
        <n v="1.3724175745954078E7"/>
        <n v="1.52383152540647E7"/>
        <n v="5.0204102782666706E7"/>
        <n v="1.5085473367583107E7"/>
        <n v="2673127.406456474"/>
        <n v="7536767.8619166175"/>
        <n v="1616171.3397688481"/>
        <n v="5.240465190775571E7"/>
        <n v="5.1651701090338744E7"/>
        <n v="6.5192955515835255E7"/>
        <n v="3.296648019878072E7"/>
        <n v="6.694311646115765E7"/>
        <n v="9957828.995687028"/>
        <n v="9959624.002530927"/>
        <n v="1.2455107305116015E7"/>
        <n v="6.712509456636864E7"/>
        <n v="1.4985053701613016E7"/>
        <n v="1.4732238635625483E7"/>
        <n v="1.2955056471889194E7"/>
        <n v="1160084.067439429"/>
        <n v="3.845368625001785E7"/>
        <n v="1.4889755656037E7"/>
        <n v="741892.3146520681"/>
        <n v="1904666.5772655963"/>
        <n v="1.2043104141175348E7"/>
        <n v="5150529.064133251"/>
        <n v="2880687.5613671164"/>
        <n v="3533785.757928237"/>
        <n v="1922098.1391802235"/>
        <n v="9559054.407856146"/>
        <n v="9081070.894132078"/>
        <n v="9079163.107378144"/>
        <n v="9066651.136159636"/>
        <n v="9056271.240118047"/>
        <n v="9072226.717987042"/>
        <n v="9096245.933938928"/>
        <n v="159094.2235388797"/>
        <n v="9046297.11486128"/>
        <n v="2049280.2389882293"/>
        <n v="1.4678337131542116E7"/>
        <n v="1.4061017817724539E7"/>
        <n v="1068235.7683779332"/>
        <n v="2.998679216326582E7"/>
        <n v="4082832.44442956"/>
        <n v="791064.4653407662"/>
        <n v="1.3020459373797458E7"/>
        <n v="4256236.002121974"/>
        <n v="1940628.4257413351"/>
        <n v="676917.0"/>
        <n v="1.2555287763410358E7"/>
        <n v="1290903.2647381595"/>
        <n v="54320.6865210526"/>
        <n v="1.3739780149511142E7"/>
        <n v="1.3567024466198064E7"/>
        <n v="1.1631872381211E7"/>
        <n v="1.216534161806062E7"/>
        <n v="41025.6078432547"/>
        <n v="1.5501114562934028E7"/>
        <n v="1.2772067327100229E7"/>
        <n v="1.4090210882136062E7"/>
        <n v="1.5664451232700586E7"/>
        <n v="2377607.5034548435"/>
        <n v="519658.0743996018"/>
        <n v="327389.0237545887"/>
        <n v="183939.6872152575"/>
        <n v="138903.5726849249"/>
        <n v="1290236.0674714393"/>
        <n v="4576366.465971193"/>
        <n v="1076030.0025477984"/>
        <n v="1.3562709451485574E7"/>
        <n v="3.3445472574286193E7"/>
        <n v="1032051.3668829323"/>
        <n v="4.726606633080685E7"/>
        <n v="1.9504448335955422E7"/>
        <n v="223081.331658338"/>
        <n v="3.0980686016067643E7"/>
        <n v="249230.6466693924"/>
        <n v="494514.9063194007"/>
        <n v="3909868.2863627267"/>
        <n v="269077.8850926468"/>
        <n v="274160.0845947794"/>
        <n v="1011940.9997326778"/>
        <n v="2.5844408056053836E7"/>
        <n v="3718934.734625527"/>
        <n v="518229.6316276019"/>
        <n v="2435626.2892413517"/>
        <n v="2.216339798449999E7"/>
        <n v="991871.0199275773"/>
        <n v="593090.0741094392"/>
        <n v="148096.4512357278"/>
        <n v="7.174655661314608E7"/>
        <n v="1232153.0395348016"/>
        <n v="587990.8043387294"/>
        <n v="23028.0"/>
        <n v="434227.0788443636"/>
        <n v="1643174.5648191678"/>
        <n v="199727.5300445778"/>
        <n v="9.037487260104667E7"/>
        <n v="2268266.183544674"/>
        <n v="6.879207631270073E7"/>
        <n v="1.5959565909464313E7"/>
        <n v="5.64248126469003E7"/>
        <n v="3060994.6768448106"/>
        <n v="990415.0810611297"/>
        <n v="4.104284651147102E7"/>
        <n v="2004005.13282276"/>
        <n v="1.5925742100863248E7"/>
        <n v="1785995.2537505461"/>
        <n v="5.601820622872928E7"/>
        <n v="198463.5944890484"/>
        <n v="2237044.38390566"/>
        <n v="1.4102289690303368E7"/>
        <n v="7938129.503976608"/>
        <n v="13720.3229564742"/>
        <n v="3922237.799207042"/>
        <n v="3255968.584409249"/>
        <n v="51230.7783225472"/>
        <n v="1.067607787113054E8"/>
        <n v="1056821.963673672"/>
        <n v="6106.795392146"/>
        <n v="1.4878924183481764E7"/>
        <n v="1.5928880587928142E7"/>
        <n v="115340.1235388797"/>
        <n v="1457685.9115545189"/>
        <n v="129349.1"/>
        <n v="1.5796416238974106E7"/>
        <n v="1581750.949735282"/>
        <n v="180610.4"/>
        <n v="1.7424925035762724E7"/>
        <n v="3280325.521998466"/>
        <n v="48542.1172469272"/>
        <n v="502942.2226682906"/>
        <n v="3.386080812082049E7"/>
        <n v="843143.4086192299"/>
        <n v="2016021.4524074956"/>
        <n v="1.3886662886210982E7"/>
        <n v="835780.8037159987"/>
        <n v="71721.4"/>
        <n v="1.2976897522523204E7"/>
        <n v="2325729.3055831124"/>
        <n v="3295541.098719417"/>
        <n v="4221080.091829964"/>
        <n v="2607401.555342589"/>
        <n v="3103851.1033711517"/>
        <n v="7.366352226072095E7"/>
        <n v="445563.0303651397"/>
        <n v="299701.5466367117"/>
        <n v="1.759836962362653E7"/>
        <n v="748126.5197692729"/>
        <n v="30924.1224320845"/>
        <n v="3.2422313720116742E7"/>
        <n v="2893180.59315726"/>
        <n v="39288.6491327239"/>
        <n v="3026891.7074693493"/>
        <n v="46698.1328023861"/>
        <n v="1810277.8976467736"/>
        <n v="220303.7503110687"/>
        <n v="75668.3"/>
        <n v="2535293.1090263296"/>
        <n v="1.61828016965831E7"/>
        <n v="92787.0"/>
        <n v="2282563.854972243"/>
        <n v="1640175.6834143007"/>
        <n v="1333409.4200803079"/>
        <n v="7241277.350319758"/>
        <n v="3519793.666109272"/>
        <n v="3.45893611948087E7"/>
        <n v="1.6301262817844503E7"/>
        <n v="5.832818711515067E7"/>
        <n v="142220.7314774661"/>
        <n v="2.6187490719611853E7"/>
        <n v="6.88151676518234E7"/>
        <n v="34229.4347398596"/>
        <n v="42906.1828939706"/>
        <n v="5025.0"/>
        <n v="15191.5197692729"/>
        <n v="1729945.4192483507"/>
        <n v="6723545.399670586"/>
        <n v="2838954.4808483417"/>
        <n v="53504.831794545"/>
        <n v="51196.0379381906"/>
        <n v="3014018.8719343133"/>
        <n v="38609.2946822493"/>
        <n v="684682.0307211586"/>
        <n v="2.603368014115487E7"/>
        <n v="1.3498337564439615E7"/>
        <n v="2.593014909355072E7"/>
        <n v="28004.5813519607"/>
        <n v="206887.8437225482"/>
        <n v="2.0855730529242102E7"/>
        <n v="1263754.677228831"/>
        <n v="372662.815051953"/>
        <n v="292798.7519139702"/>
        <n v="2.655225122037826E7"/>
        <n v="92983.4439517354"/>
        <n v="3759869.0438421885"/>
        <n v="1.7126203405532666E7"/>
        <n v="1.3615108885254264E7"/>
        <n v="957838.114828453"/>
        <n v="1055756.2962547285"/>
        <n v="385658.6745208935"/>
        <n v="2013647.7668576494"/>
        <n v="1.9163197123316977E7"/>
        <n v="6473991.74966195"/>
        <n v="923801.0892759097"/>
        <n v="1.94587240199342E7"/>
        <n v="478701.3205915881"/>
        <n v="6865133.212528083"/>
        <n v="8.353008094237557E7"/>
        <n v="1031565.9111568365"/>
        <n v="2.5237916481943272E7"/>
        <n v="4.145631963572467E7"/>
        <n v="2.530140256368919E7"/>
        <n v="1.9102702390154615E7"/>
        <n v="3179159.277383572"/>
        <n v="1165682.6549713127"/>
        <n v="6652881.660531809"/>
        <n v="348274.9235388797"/>
        <n v="1.8293311336277544E7"/>
        <n v="3.98226767309893E7"/>
        <n v="7257809.253490025"/>
        <n v="1.9611189027694996E7"/>
        <n v="7427176.814073392"/>
        <n v="2722032.897022489"/>
        <n v="343269.8584736719"/>
        <n v="36531.8376253017"/>
        <n v="2957130.8729039244"/>
        <n v="3.1551060377428513E7"/>
        <n v="7.252427399529381E7"/>
        <n v="1.2985730966137746E7"/>
        <n v="2426.0"/>
        <n v="3.5034033163067766E7"/>
        <n v="3.2649877025333583E7"/>
        <n v="4.7335480921400055E7"/>
        <n v="22.0"/>
        <n v="3.267506649973905E7"/>
        <n v="7601777.003720318"/>
        <n v="3.3513300727425277E7"/>
        <n v="1194965.752327497"/>
        <n v="2.2576365839067608E7"/>
        <n v="3.1387811959456928E7"/>
        <n v="1.3433586302915389E7"/>
        <n v="1099041.2946260439"/>
        <n v="2.6122980728841063E7"/>
        <n v="3.1575514884293318E7"/>
        <n v="2.5362440160063986E7"/>
        <n v="2.5072181173129573E7"/>
        <n v="25922.3579718795"/>
        <n v="3.2737453567175914E7"/>
        <n v="558210.6445514183"/>
        <n v="8487.6229564742"/>
        <n v="335520.1"/>
        <n v="2.635230953094221E7"/>
        <n v="444263.0355796187"/>
        <n v="30.0"/>
        <n v="3320740.2697620345"/>
        <n v="4183795.537339843"/>
        <n v="3.216677391766458E7"/>
        <n v="2.491657567396045E7"/>
        <n v="3.1417885871800378E7"/>
        <n v="3.0985409985731587E7"/>
        <n v="320201.1"/>
        <m/>
        <n v="6409463.002484963"/>
        <n v="1.2726872899917431E7"/>
        <n v="5.2604431923161075E7"/>
        <n v="3656734.4859848544"/>
        <n v="3660220.937915298"/>
        <n v="1947502.7517093113"/>
        <n v="9316324.400581703"/>
        <n v="9315169.344027791"/>
        <n v="5886091.329236806"/>
        <n v="2798853.017290459"/>
        <n v="594274.4879075688"/>
        <n v="3.182076156662488E7"/>
        <n v="2.1916057864740487E7"/>
        <n v="392707.2075987436"/>
        <n v="6521571.552653668"/>
        <n v="38053.2"/>
        <n v="3724517.3345806785"/>
        <n v="23.1"/>
        <n v="3.1452291738306064E7"/>
        <n v="178421.2"/>
        <n v="5540634.367341298"/>
        <n v="1.3916645983815167E7"/>
        <n v="372833.5199173186"/>
        <n v="3.1948772835707758E7"/>
        <n v="5023.1"/>
        <n v="5005.0"/>
        <n v="1.3476547122945933E7"/>
        <n v="33.3"/>
        <n v="548003.4025731898"/>
        <n v="3.921767729863275E7"/>
        <n v="608418.2545786501"/>
        <n v="47.0"/>
        <n v="1.2966387487334192E7"/>
        <n v="3.116944949232355E7"/>
        <n v="13389.0"/>
        <n v="411.0"/>
        <n v="28.0"/>
        <n v="4245045.4"/>
        <n v="3.0659264254604824E7"/>
        <n v="9122.3"/>
        <n v="3.9103013579815164E7"/>
        <n v="3.2257257196865514E7"/>
        <n v="1571541.7769787938"/>
        <n v="1263435.791906932"/>
        <n v="3029531.992731462"/>
        <n v="984680.2204936058"/>
        <n v="287725.7686"/>
        <n v="3.2099806812853113E7"/>
        <n v="5.145359330163232E7"/>
        <n v="2.0111914626308676E7"/>
        <n v="3.8499633468227275E7"/>
        <n v="3.848989180822728E7"/>
        <n v="8402369.607681954"/>
        <n v="2.672429816877197E7"/>
        <n v="2.718939216641737E7"/>
        <n v="4595461.568473672"/>
        <n v="2958743.220243953"/>
        <n v="2.025174961227276E7"/>
        <n v="390626.5646103493"/>
        <n v="9599404.655175267"/>
        <n v="442442.5945580202"/>
        <n v="3.898326291764676E7"/>
        <n v="470869.3072553323"/>
        <n v="31.1"/>
        <n v="1.240873047163674E7"/>
        <n v="5.512957558617911E7"/>
        <n v="40778.7212407663"/>
        <n v="2.0059327841056097E7"/>
        <n v="204632.8342821433"/>
        <n v="5.0"/>
        <n v="405.0"/>
        <n v="14525.0"/>
        <n v="1.01613696854102E7"/>
        <n v="801029.2174738785"/>
        <n v="106445.6324945798"/>
        <n v="2.6162179712164328E7"/>
        <n v="744065.4174738785"/>
        <n v="3.0347663424330473E7"/>
        <n v="1196.0"/>
        <n v="46878.3"/>
        <n v="9996743.154909872"/>
        <n v="19751.0"/>
        <n v="5138907.336388397"/>
        <n v="5.191506205387039E7"/>
        <n v="1748.47397261"/>
        <n v="28883.4716256343"/>
        <n v="2.487942391017793E7"/>
        <n v="1446.0"/>
        <n v="9118.5"/>
        <n v="3.9556163659928724E7"/>
        <n v="2.2327079892141424E7"/>
        <n v="3.108380881877782E7"/>
        <n v="1.3563677540309118E7"/>
        <n v="1.4893682493592078E7"/>
        <n v="7615286.763612855"/>
        <n v="8218053.325840491"/>
        <n v="7570689.157407557"/>
        <n v="1.6023223024726236E7"/>
        <n v="23.0"/>
        <n v="3.443667832019693E7"/>
        <n v="2096110.6425523134"/>
        <n v="2825400.4"/>
        <n v="4106703.5566570326"/>
        <n v="3.38746780088174E7"/>
        <n v="7657903.340749044"/>
        <n v="4231914.1"/>
        <n v="4.132975088593362E7"/>
        <n v="7476564.452996895"/>
        <n v="1.0460258250284398E7"/>
        <n v="7440560.445870125"/>
        <n v="5961.0"/>
        <n v="207079.3110855102"/>
        <n v="9622996.245452465"/>
        <n v="27731.9744879636"/>
        <n v="3.213213326457736E7"/>
        <n v="3.4215433186257415E7"/>
        <n v="812.5515314894"/>
        <n v="720.5"/>
        <n v="19108.1"/>
        <n v="9.667777667217962E7"/>
        <n v="191315.2962761988"/>
        <n v="2.9161570687162135E7"/>
        <n v="1.1022767783419408E7"/>
        <n v="1.414381027093857E7"/>
        <n v="1.6772411892114349E7"/>
        <n v="4170599.676849735"/>
        <n v="3.776389686397966E7"/>
        <n v="2.224452409920007E7"/>
        <n v="250.1"/>
        <n v="3.094700321531193E7"/>
        <n v="4.1232293536559835E7"/>
        <n v="7818828.998011404"/>
        <n v="1.8323416329532683E7"/>
        <n v="1.6596257390018648E7"/>
        <n v="3475902.4384634397"/>
        <n v="1.1196965642755556E8"/>
        <n v="1.081933278161522E7"/>
        <n v="2915504.4"/>
        <n v="46382.0"/>
        <n v="9.282824099018067E7"/>
        <n v="3.42634157457223E7"/>
        <n v="5010.0"/>
        <n v="8952607.249189664"/>
        <n v="1.382094348954204E7"/>
        <n v="23304.6778999878"/>
        <n v="53871.0"/>
        <n v="3.3066902910544436E7"/>
        <n v="1.147490022E8"/>
        <n v="36424.0"/>
        <n v="2047673.4186460667"/>
        <n v="9.334026141438669E7"/>
        <n v="14627.7"/>
        <n v="2925983.4"/>
        <n v="121650.447091685"/>
        <n v="2247803.018810008"/>
        <n v="6034600.422956474"/>
        <n v="2.5942754393683117E7"/>
        <n v="5971.0"/>
        <n v="2.5868803394783117E7"/>
        <n v="8260429.914163536"/>
        <n v="1.9414708976194404E7"/>
        <n v="661763.1612801112"/>
        <n v="4.3742232492425986E7"/>
        <n v="3.2236091309944555E7"/>
        <n v="7821838.090409757"/>
        <n v="1.5288781150301762E7"/>
        <n v="1.3819595597115599E7"/>
        <n v="3.0211255084919125E7"/>
        <n v="33271.7292758749"/>
        <n v="41535.3464953539"/>
        <n v="7.156896590374537E7"/>
        <n v="344242.7006305647"/>
        <n v="8.801249470926648E7"/>
        <n v="1.9806581610338558E7"/>
        <n v="2.330219725503307E7"/>
        <n v="1.751666488923292E7"/>
        <n v="2.05555966462674E7"/>
        <n v="1.705371810116809E7"/>
        <n v="31152.6"/>
        <n v="9110.0"/>
        <n v="2991866.763655154"/>
        <n v="2.215065154657079E7"/>
        <n v="50678.1"/>
        <n v="3.5088982599753566E7"/>
        <n v="4354486.217597928"/>
        <n v="4168430.616260817"/>
        <n v="391694.221650452"/>
        <n v="7728762.216259887"/>
        <n v="2.7757511138398074E7"/>
        <n v="7957907.292237195"/>
        <n v="4.330465153545076E7"/>
        <n v="2106071.0"/>
        <n v="7470723.80043717"/>
        <n v="568470.6620228245"/>
        <n v="91197.556537823"/>
        <n v="5966.0"/>
        <n v="7826497.811663373"/>
        <n v="1.083686645598907E8"/>
        <n v="2.175933198173824E7"/>
        <n v="3.819927964074172E7"/>
        <n v="2.3585960069023427E7"/>
        <n v="2.4567148673105832E7"/>
        <n v="1.0537137211011989E7"/>
        <n v="9305675.542923385"/>
        <n v="4.06484365823587E7"/>
        <n v="2.7930125191729944E7"/>
        <n v="2.584166061841865E7"/>
        <n v="2.1663474913900807E7"/>
        <n v="7755112.223748097"/>
        <n v="4658758.144631243"/>
        <n v="3487717.553122979"/>
        <n v="7.270383965423349E7"/>
        <n v="3.6472197799814574E7"/>
        <n v="3.378371106816749E7"/>
        <n v="5675815.197525609"/>
        <n v="4614350.64858874"/>
        <n v="68.2882659981"/>
        <n v="60786.0616552183"/>
        <n v="6.111776766735148E7"/>
        <n v="6.953058545585497E7"/>
        <n v="173599.7699847809"/>
        <n v="4.383770920827704E7"/>
        <n v="41584.8814301461"/>
        <n v="2123298.623768541"/>
        <n v="2.978150168888647E7"/>
        <n v="76010.101"/>
        <n v="4621720.852027668"/>
        <n v="168058.6270478275"/>
        <n v="19715.001"/>
        <n v="3.1604780024466682E7"/>
        <n v="3.4956384803095385E7"/>
        <n v="3.2192816949837215E7"/>
        <n v="2.2130882194698054E7"/>
        <n v="76838.1089106387"/>
        <n v="3.991197932212979E7"/>
        <n v="4011038.3556390903"/>
        <n v="20669.3329564742"/>
        <n v="2321428.466079483"/>
        <n v="4.317161291187236E7"/>
        <n v="4761507.40152918"/>
        <n v="3.729975560359289E7"/>
        <n v="4.3315335471190214E7"/>
        <n v="9107393.485401953"/>
        <n v="8.338929337897599E7"/>
        <n v="2.756072715990166E7"/>
        <n v="6.544974774510386E7"/>
        <n v="5641.2609611098"/>
        <n v="4.733982984560557E7"/>
        <n v="958.0"/>
        <n v="3062260.0462407796"/>
        <n v="3171961.3933324646"/>
        <n v="2.704780007374724E7"/>
        <n v="5817232.455273741"/>
        <n v="4777767.424863747"/>
        <n v="8.239303723302038E7"/>
        <n v="1.3046086144728048E7"/>
        <n v="2.530529746748424E7"/>
        <n v="2.01584452603091E7"/>
        <n v="8938734.984350838"/>
        <n v="5668301.134370961"/>
        <n v="5.0825194798495874E7"/>
        <n v="5828006.166197433"/>
        <n v="94170.1596156803"/>
        <n v="5650098.6042949995"/>
        <n v="2.309169407134122E7"/>
        <n v="2.695695890845646E7"/>
        <n v="37956.8366592061"/>
        <n v="35376.7366592061"/>
        <n v="18783.3334236112"/>
        <n v="2.9885998678728335E7"/>
        <n v="4.7741468977023736E7"/>
        <n v="3327035.609488497"/>
        <n v="2.5049974697954863E7"/>
        <n v="26351.8366592061"/>
        <n v="798430.3637472384"/>
        <n v="16746.8366592061"/>
        <n v="69981.395132878"/>
        <n v="525973.7454940305"/>
        <n v="2.1900001403332155E7"/>
        <n v="2.1680304604756862E7"/>
        <n v="10155.1"/>
        <n v="2.144184971438903E7"/>
        <n v="537924.3172470513"/>
        <n v="3.9126865756825656E7"/>
        <n v="2.0508056846722465E7"/>
        <n v="3.122001571609492E7"/>
        <n v="2886290.2186717577"/>
        <n v="2.3484779307955507E7"/>
        <n v="2.1507913493711624E7"/>
        <n v="455814.9086820306"/>
        <n v="4.625265826863649E7"/>
        <n v="2.1552725663711626E7"/>
        <n v="4.86538419719516E7"/>
        <n v="5947977.160152549"/>
        <n v="2.3708005530749638E7"/>
        <n v="2.346536910097999E7"/>
        <n v="2.3564667583882526E7"/>
        <n v="2.3491766763470814E7"/>
        <n v="1.4049439682086198E7"/>
        <n v="2.350133237611622E7"/>
        <n v="5373637.864954605"/>
        <n v="1.805335499468225E7"/>
        <n v="41.483746953"/>
        <n v="2.357345084350053E7"/>
        <n v="2.360333295690565E7"/>
        <n v="188967.634890608"/>
        <n v="9749050.931685256"/>
        <n v="10640.1"/>
        <n v="3.636317620750731E7"/>
        <n v="3.328478645664481E7"/>
        <n v="4.492946938580218E7"/>
        <n v="2.9060735194073994E7"/>
        <n v="3744077.3066196456"/>
        <n v="2.9034323458923686E7"/>
        <n v="2.1815846406619646E7"/>
        <n v="2.7512687089084644E7"/>
        <n v="1589390.3391745489"/>
        <n v="33517.6386379493"/>
        <n v="2995289.813354007"/>
        <n v="2.1022090722264647E7"/>
        <n v="35766.0019787432"/>
        <n v="10640.0"/>
        <n v="2.1181479836659208E7"/>
        <n v="16858.9090140222"/>
        <n v="4.726284809076761E7"/>
        <n v="17381.7366592061"/>
        <n v="1.4258509533862974E7"/>
        <n v="16751.7366592061"/>
        <n v="2.655206318375089E7"/>
        <n v="21751.8366592061"/>
        <n v="10010.0"/>
        <n v="5030.0"/>
        <n v="2826081.0"/>
      </sharedItems>
    </cacheField>
    <cacheField name="Propose Date" numFmtId="167">
      <sharedItems containsDate="1" containsString="0" containsBlank="1">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9T00:00:00Z"/>
        <d v="2023-06-30T00:00:00Z"/>
        <d v="2023-07-01T00:00:00Z"/>
        <d v="2023-07-02T00:00:00Z"/>
        <d v="2023-07-03T00:00:00Z"/>
        <d v="2023-07-04T00:00:00Z"/>
        <d v="2023-07-05T00:00:00Z"/>
        <d v="2024-06-19T00:00:00Z"/>
        <d v="2023-07-06T00:00:00Z"/>
        <d v="2023-07-08T00:00:00Z"/>
        <d v="2023-07-11T00:00:00Z"/>
        <d v="2024-05-20T00:00:00Z"/>
        <d v="2023-07-13T00:00:00Z"/>
        <d v="2023-07-14T00:00:00Z"/>
        <d v="2023-07-15T00:00:00Z"/>
        <d v="2023-07-16T00:00:00Z"/>
        <d v="2023-07-17T00:00:00Z"/>
        <d v="2023-07-18T00:00:00Z"/>
        <d v="2023-07-25T00:00:00Z"/>
        <d v="2023-07-26T00:00:00Z"/>
        <d v="2023-07-29T00:00:00Z"/>
        <d v="2023-07-30T00:00:00Z"/>
        <d v="2023-07-31T00:00:00Z"/>
        <d v="2023-08-01T00:00:00Z"/>
        <d v="2023-08-02T00:00:00Z"/>
        <d v="2024-03-20T00:00:00Z"/>
        <d v="2023-08-06T00:00:00Z"/>
        <d v="2023-08-09T00:00:00Z"/>
        <d v="2023-08-10T00:00:00Z"/>
        <d v="2023-08-12T00:00:00Z"/>
        <d v="2023-08-13T00:00:00Z"/>
        <d v="2023-08-14T00:00:00Z"/>
        <d v="2023-08-15T00:00:00Z"/>
        <d v="2023-08-16T00:00:00Z"/>
        <d v="2023-08-20T00:00:00Z"/>
        <d v="2023-08-21T00:00:00Z"/>
        <d v="2023-08-22T00:00:00Z"/>
        <d v="2023-08-23T00:00:00Z"/>
        <d v="2023-08-25T00:00:00Z"/>
        <d v="2023-08-28T00:00:00Z"/>
        <d v="2023-08-29T00:00:00Z"/>
        <d v="2023-09-02T00:00:00Z"/>
        <d v="2023-09-03T00:00:00Z"/>
        <d v="2023-09-04T00:00:00Z"/>
        <d v="2023-09-05T00:00:00Z"/>
        <d v="2023-09-06T00:00:00Z"/>
        <d v="2023-09-09T00:00:00Z"/>
        <d v="2023-09-10T00:00:00Z"/>
        <d v="2023-09-12T00:00:00Z"/>
        <d v="2023-09-13T00:00:00Z"/>
        <d v="2023-09-14T00:00:00Z"/>
        <d v="2023-09-16T00:00:00Z"/>
        <d v="2023-09-17T00:00:00Z"/>
        <d v="2023-09-18T00:00:00Z"/>
        <d v="2023-09-19T00:00:00Z"/>
        <d v="2023-09-21T00:00:00Z"/>
        <d v="2023-09-24T00:00:00Z"/>
        <d v="2023-09-25T00:00:00Z"/>
        <d v="2023-09-26T00:00:00Z"/>
        <d v="2023-09-27T00:00:00Z"/>
        <d v="2023-09-28T00:00:00Z"/>
        <d v="2023-09-29T00:00:00Z"/>
        <d v="2023-09-30T00:00:00Z"/>
        <d v="2023-10-01T00:00:00Z"/>
        <d v="2023-10-02T00:00:00Z"/>
        <d v="2023-10-03T00:00:00Z"/>
        <d v="2023-10-05T00:00:00Z"/>
        <d v="2023-10-06T00:00:00Z"/>
        <d v="2023-10-07T00:00:00Z"/>
        <d v="2023-10-08T00:00:00Z"/>
        <d v="2023-10-09T00:00:00Z"/>
        <d v="2023-10-11T00:00:00Z"/>
        <d v="2023-10-12T00:00:00Z"/>
        <d v="2023-10-14T00:00:00Z"/>
        <d v="2023-10-15T00:00:00Z"/>
        <d v="2023-10-16T00:00:00Z"/>
        <d v="2023-10-17T00:00:00Z"/>
        <d v="2023-10-18T00:00:00Z"/>
        <d v="2023-10-19T00:00:00Z"/>
        <d v="2023-10-20T00:00:00Z"/>
        <d v="2023-10-21T00:00:00Z"/>
        <d v="2023-10-22T00:00:00Z"/>
        <d v="2023-10-23T00:00:00Z"/>
        <d v="2023-10-24T00:00:00Z"/>
        <d v="2023-10-26T00:00:00Z"/>
        <d v="2023-10-27T00:00:00Z"/>
        <d v="2023-10-28T00:00:00Z"/>
        <d v="2023-10-29T00:00:00Z"/>
        <d v="2023-10-30T00:00:00Z"/>
        <d v="2023-11-01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2T00:00:00Z"/>
        <d v="2023-12-03T00:00:00Z"/>
        <d v="2023-12-04T00:00:00Z"/>
        <d v="2023-12-05T00:00:00Z"/>
        <d v="2023-12-06T00:00:00Z"/>
        <d v="2023-12-07T00:00:00Z"/>
        <d v="2023-12-08T00:00:00Z"/>
        <d v="2023-12-09T00:00:00Z"/>
        <d v="2023-12-11T00:00:00Z"/>
        <d v="2023-12-12T00:00:00Z"/>
        <d v="2023-12-13T00:00:00Z"/>
        <d v="2023-12-16T00:00:00Z"/>
        <d v="2023-12-17T00:00:00Z"/>
        <d v="2024-03-16T00:00:00Z"/>
        <d v="2023-12-18T00:00:00Z"/>
        <d v="2023-12-19T00:00:00Z"/>
        <d v="2024-03-06T00:00:00Z"/>
        <d v="2023-12-20T00:00:00Z"/>
        <d v="2023-12-22T00:00:00Z"/>
        <d v="2023-12-24T00:00:00Z"/>
        <d v="2023-12-25T00:00:00Z"/>
        <d v="2023-12-26T00:00:00Z"/>
        <d v="2023-12-27T00:00:00Z"/>
        <d v="2023-12-28T00:00:00Z"/>
        <d v="2023-12-30T00:00:00Z"/>
        <d v="2024-01-02T00:00:00Z"/>
        <d v="2024-02-29T00:00:00Z"/>
        <d v="2024-01-03T00:00:00Z"/>
        <d v="2024-01-05T00:00:00Z"/>
        <d v="2024-01-06T00:00:00Z"/>
        <d v="2024-01-08T00:00:00Z"/>
        <d v="2024-01-09T00:00:00Z"/>
        <d v="2024-01-10T00:00:00Z"/>
        <d v="2024-01-12T00:00:00Z"/>
        <d v="2024-01-13T00:00:00Z"/>
        <d v="2024-01-14T00:00:00Z"/>
        <d v="2024-01-15T00:00:00Z"/>
        <d v="2024-01-16T00:00:00Z"/>
        <d v="2024-01-17T00:00:00Z"/>
        <d v="2024-01-20T00:00:00Z"/>
        <d v="2024-01-21T00:00:00Z"/>
        <d v="2024-01-22T00:00:00Z"/>
        <d v="2024-01-23T00:00:00Z"/>
        <d v="2024-01-24T00:00:00Z"/>
        <d v="2024-01-27T00:00:00Z"/>
        <d v="2024-01-28T00:00:00Z"/>
        <d v="2024-01-29T00:00:00Z"/>
        <d v="2024-01-31T00:00:00Z"/>
        <d v="2024-02-01T00:00:00Z"/>
        <d v="2024-02-02T00:00:00Z"/>
        <d v="2024-02-03T00:00:00Z"/>
        <d v="2024-02-04T00:00:00Z"/>
        <d v="2024-02-05T00:00:00Z"/>
        <d v="2024-02-06T00:00:00Z"/>
        <d v="2024-02-07T00:00:00Z"/>
        <d v="2024-02-11T00:00:00Z"/>
        <d v="2024-02-08T00:00:00Z"/>
        <d v="2024-02-09T00:00:00Z"/>
        <d v="2024-02-10T00:00:00Z"/>
        <d v="2024-02-12T00:00:00Z"/>
        <d v="2024-02-13T00:00:00Z"/>
        <d v="2024-02-14T00:00:00Z"/>
        <d v="2024-02-15T00:00:00Z"/>
        <d v="2024-02-16T00:00:00Z"/>
        <d v="2024-02-17T00:00:00Z"/>
        <d v="2024-02-18T00:00:00Z"/>
        <d v="2024-02-19T00:00:00Z"/>
        <d v="2024-02-20T00:00:00Z"/>
        <d v="2024-02-21T00:00:00Z"/>
        <d v="2024-02-22T00:00:00Z"/>
        <d v="2024-02-23T00:00:00Z"/>
        <d v="2024-02-24T00:00:00Z"/>
        <d v="2024-02-25T00:00:00Z"/>
        <d v="2024-02-26T00:00:00Z"/>
        <d v="2024-02-27T00:00:00Z"/>
        <d v="2024-02-28T00:00:00Z"/>
        <d v="2024-03-01T00:00:00Z"/>
        <d v="2024-03-02T00:00:00Z"/>
        <d v="2024-03-03T00:00:00Z"/>
        <d v="2024-03-04T00:00:00Z"/>
        <m/>
        <d v="2024-03-05T00:00:00Z"/>
        <d v="2024-03-07T00:00:00Z"/>
        <d v="2024-03-08T00:00:00Z"/>
        <d v="2024-03-09T00:00:00Z"/>
        <d v="2024-03-10T00:00:00Z"/>
        <d v="2024-03-11T00:00:00Z"/>
        <d v="2024-03-12T00:00:00Z"/>
        <d v="2024-03-13T00:00:00Z"/>
        <d v="2024-03-15T00:00:00Z"/>
        <d v="2024-03-17T00:00:00Z"/>
        <d v="2024-03-18T00:00:00Z"/>
        <d v="2024-03-19T00:00:00Z"/>
        <d v="2023-08-05T00:00:00Z"/>
        <d v="2024-03-21T00:00:00Z"/>
        <d v="2024-03-22T00:00:00Z"/>
        <d v="2024-03-23T00:00:00Z"/>
        <d v="2024-03-24T00:00:00Z"/>
        <d v="2024-03-25T00:00:00Z"/>
        <d v="2024-03-26T00:00:00Z"/>
        <d v="2024-03-27T00:00:00Z"/>
        <d v="2024-03-29T00:00:00Z"/>
        <d v="2024-03-30T00:00:00Z"/>
        <d v="2024-03-31T00:00:00Z"/>
        <d v="2024-04-01T00:00:00Z"/>
        <d v="2024-04-02T00:00:00Z"/>
        <d v="2024-04-03T00:00:00Z"/>
        <d v="2024-04-05T00:00:00Z"/>
        <d v="2024-04-06T00:00:00Z"/>
        <d v="2024-04-07T00:00:00Z"/>
        <d v="2024-04-08T00:00:00Z"/>
        <d v="2024-04-09T00:00:00Z"/>
        <d v="2024-04-10T00:00:00Z"/>
        <d v="2024-04-12T00:00:00Z"/>
        <d v="2024-04-13T00:00:00Z"/>
        <d v="2024-04-14T00:00:00Z"/>
        <d v="2024-04-15T00:00:00Z"/>
        <d v="2024-04-16T00:00:00Z"/>
        <d v="2024-04-17T00:00:00Z"/>
        <d v="2024-04-18T00:00:00Z"/>
        <d v="2024-04-20T00:00:00Z"/>
        <d v="2024-04-21T00:00:00Z"/>
        <d v="2024-04-22T00:00:00Z"/>
        <d v="2024-04-23T00:00:00Z"/>
        <d v="2024-04-24T00:00:00Z"/>
        <d v="2024-04-25T00:00:00Z"/>
        <d v="2024-04-26T00:00:00Z"/>
        <d v="2024-04-27T00:00:00Z"/>
        <d v="2024-04-28T00:00:00Z"/>
        <d v="2024-04-29T00:00:00Z"/>
        <d v="2024-04-30T00:00:00Z"/>
        <d v="2024-05-01T00:00:00Z"/>
        <d v="2024-05-02T00:00:00Z"/>
        <d v="2024-05-04T00:00:00Z"/>
        <d v="2024-05-05T00:00:00Z"/>
        <d v="2024-05-06T00:00:00Z"/>
        <d v="2024-05-07T00:00:00Z"/>
        <d v="2024-05-08T00:00:00Z"/>
        <d v="2024-05-09T00:00:00Z"/>
        <d v="2024-05-10T00:00:00Z"/>
        <d v="2024-05-11T00:00:00Z"/>
        <d v="2024-05-12T00:00:00Z"/>
        <d v="2024-05-14T00:00:00Z"/>
        <d v="2024-05-15T00:00:00Z"/>
        <d v="2024-05-16T00:00:00Z"/>
        <d v="2024-05-18T00:00:00Z"/>
        <d v="2024-05-19T00:00:00Z"/>
        <d v="2024-05-21T00:00:00Z"/>
        <d v="2024-05-22T00:00:00Z"/>
        <d v="2024-05-23T00:00:00Z"/>
        <d v="2024-05-25T00:00:00Z"/>
        <d v="2024-05-26T00:00:00Z"/>
        <d v="2024-05-27T00:00:00Z"/>
        <d v="2024-05-28T00:00:00Z"/>
        <d v="2024-05-29T00:00:00Z"/>
        <d v="2024-05-31T00:00:00Z"/>
        <d v="2024-06-01T00:00:00Z"/>
        <d v="2024-06-02T00:00:00Z"/>
        <d v="2024-06-03T00:00:00Z"/>
        <d v="2024-06-04T00:00:00Z"/>
        <d v="2024-06-05T00:00:00Z"/>
        <d v="2024-06-06T00:00:00Z"/>
        <d v="2024-06-07T00:00:00Z"/>
        <d v="2024-06-08T00:00:00Z"/>
        <d v="2024-06-09T00:00:00Z"/>
        <d v="2024-06-10T00:00:00Z"/>
        <d v="2024-06-11T00:00:00Z"/>
        <d v="2024-06-12T00:00:00Z"/>
        <d v="2024-06-13T00:00:00Z"/>
        <d v="2024-06-14T00:00:00Z"/>
        <d v="2024-06-15T00:00:00Z"/>
        <d v="2024-06-16T00:00:00Z"/>
        <d v="2024-06-17T00:00:00Z"/>
        <d v="2024-06-18T00:00:00Z"/>
        <d v="2024-06-20T00:00:00Z"/>
        <d v="2024-06-21T00:00:00Z"/>
        <d v="2024-06-22T00:00:00Z"/>
        <d v="2024-06-23T00:00:00Z"/>
        <d v="2024-06-24T00:00:00Z"/>
        <d v="2024-06-25T00:00:00Z"/>
        <d v="2024-06-26T00:00:00Z"/>
      </sharedItems>
    </cacheField>
    <cacheField name="Last Update" numFmtId="167">
      <sharedItems containsDate="1" containsString="0" containsBlank="1">
        <d v="2023-06-27T00:00:00Z"/>
        <d v="2023-07-11T00:00:00Z"/>
        <d v="2023-06-20T00:00:00Z"/>
        <d v="2023-07-08T00:00:00Z"/>
        <d v="2023-07-10T00:00:00Z"/>
        <d v="2023-07-13T00:00:00Z"/>
        <d v="2023-06-30T00:00:00Z"/>
        <d v="2023-07-15T00:00:00Z"/>
        <d v="2023-07-16T00:00:00Z"/>
        <d v="2023-07-18T00:00:00Z"/>
        <d v="2023-07-17T00:00:00Z"/>
        <d v="2023-06-26T00:00:00Z"/>
        <d v="2023-07-19T00:00:00Z"/>
        <d v="2023-07-22T00:00:00Z"/>
        <d v="2023-07-20T00:00:00Z"/>
        <d v="2023-06-28T00:00:00Z"/>
        <d v="2023-06-29T00:00:00Z"/>
        <d v="2023-07-07T00:00:00Z"/>
        <d v="2023-07-23T00:00:00Z"/>
        <d v="2023-07-24T00:00:00Z"/>
        <d v="2023-07-01T00:00:00Z"/>
        <d v="2023-07-02T00:00:00Z"/>
        <d v="2023-07-03T00:00:00Z"/>
        <d v="2023-07-27T00:00:00Z"/>
        <d v="2023-07-05T00:00:00Z"/>
        <d v="2023-07-06T00:00:00Z"/>
        <d v="2023-07-25T00:00:00Z"/>
        <d v="2023-08-02T00:00:00Z"/>
        <d v="2024-06-24T00:00:00Z"/>
        <d v="2023-08-06T00:00:00Z"/>
        <d v="2023-08-10T00:00:00Z"/>
        <d v="2024-06-15T00:00:00Z"/>
        <d v="2023-08-07T00:00:00Z"/>
        <d v="2023-08-12T00:00:00Z"/>
        <d v="2023-08-11T00:00:00Z"/>
        <d v="2023-07-21T00:00:00Z"/>
        <d v="2023-08-09T00:00:00Z"/>
        <d v="2023-08-23T00:00:00Z"/>
        <d v="2023-08-21T00:00:00Z"/>
        <d v="2023-08-13T00:00:00Z"/>
        <d v="2023-08-25T00:00:00Z"/>
        <d v="2023-08-05T00:00:00Z"/>
        <d v="2023-08-28T00:00:00Z"/>
        <d v="2023-08-31T00:00:00Z"/>
        <d v="2023-08-26T00:00:00Z"/>
        <d v="2023-08-30T00:00:00Z"/>
        <d v="2024-04-19T00:00:00Z"/>
        <d v="2023-09-03T00:00:00Z"/>
        <d v="2023-09-04T00:00:00Z"/>
        <d v="2023-08-27T00:00:00Z"/>
        <d v="2023-09-06T00:00:00Z"/>
        <d v="2023-09-08T00:00:00Z"/>
        <d v="2023-08-18T00:00:00Z"/>
        <d v="2023-09-10T00:00:00Z"/>
        <d v="2023-09-11T00:00:00Z"/>
        <d v="2023-08-17T00:00:00Z"/>
        <d v="2023-08-19T00:00:00Z"/>
        <d v="2023-09-07T00:00:00Z"/>
        <d v="2023-09-13T00:00:00Z"/>
        <d v="2023-09-17T00:00:00Z"/>
        <d v="2023-08-24T00:00:00Z"/>
        <d v="2023-09-14T00:00:00Z"/>
        <d v="2023-09-18T00:00:00Z"/>
        <d v="2023-09-20T00:00:00Z"/>
        <d v="2023-09-21T00:00:00Z"/>
        <d v="2023-09-15T00:00:00Z"/>
        <d v="2023-09-19T00:00:00Z"/>
        <d v="2023-09-27T00:00:00Z"/>
        <d v="2023-10-10T00:00:00Z"/>
        <d v="2023-09-29T00:00:00Z"/>
        <d v="2023-10-03T00:00:00Z"/>
        <d v="2023-09-12T00:00:00Z"/>
        <d v="2023-09-30T00:00:00Z"/>
        <d v="2023-10-07T00:00:00Z"/>
        <d v="2023-10-09T00:00:00Z"/>
        <d v="2023-09-26T00:00:00Z"/>
        <d v="2023-10-11T00:00:00Z"/>
        <d v="2023-09-16T00:00:00Z"/>
        <d v="2023-10-08T00:00:00Z"/>
        <d v="2023-10-14T00:00:00Z"/>
        <d v="2023-10-04T00:00:00Z"/>
        <d v="2023-10-16T00:00:00Z"/>
        <d v="2023-10-06T00:00:00Z"/>
        <d v="2023-10-12T00:00:00Z"/>
        <d v="2023-10-21T00:00:00Z"/>
        <d v="2024-04-25T00:00:00Z"/>
        <d v="2023-10-25T00:00:00Z"/>
        <d v="2023-10-20T00:00:00Z"/>
        <d v="2023-10-19T00:00:00Z"/>
        <d v="2023-10-05T00:00:00Z"/>
        <d v="2023-10-13T00:00:00Z"/>
        <d v="2023-10-02T00:00:00Z"/>
        <d v="2023-10-23T00:00:00Z"/>
        <d v="2023-11-04T00:00:00Z"/>
        <d v="2023-10-29T00:00:00Z"/>
        <d v="2023-10-18T00:00:00Z"/>
        <d v="2023-10-31T00:00:00Z"/>
        <d v="2023-10-22T00:00:00Z"/>
        <d v="2023-10-17T00:00:00Z"/>
        <d v="2023-10-30T00:00:00Z"/>
        <d v="2023-10-26T00:00:00Z"/>
        <d v="2023-11-03T00:00:00Z"/>
        <d v="2023-11-06T00:00:00Z"/>
        <d v="2023-10-27T00:00:00Z"/>
        <d v="2023-11-07T00:00:00Z"/>
        <d v="2023-10-28T00:00:00Z"/>
        <d v="2023-11-08T00:00:00Z"/>
        <d v="2023-11-05T00:00:00Z"/>
        <d v="2023-11-14T00:00:00Z"/>
        <d v="2023-11-01T00:00:00Z"/>
        <d v="2023-11-02T00:00:00Z"/>
        <d v="2023-11-20T00:00:00Z"/>
        <d v="2023-11-12T00:00:00Z"/>
        <d v="2023-11-10T00:00:00Z"/>
        <d v="2023-11-21T00:00:00Z"/>
        <d v="2023-11-11T00:00:00Z"/>
        <d v="2023-11-25T00:00:00Z"/>
        <d v="2023-11-13T00:00:00Z"/>
        <d v="2023-11-26T00:00:00Z"/>
        <d v="2023-12-02T00:00:00Z"/>
        <d v="2023-11-27T00:00:00Z"/>
        <d v="2023-11-15T00:00:00Z"/>
        <d v="2023-11-19T00:00:00Z"/>
        <d v="2023-12-04T00:00:00Z"/>
        <d v="2023-11-30T00:00:00Z"/>
        <d v="2023-12-06T00:00:00Z"/>
        <d v="2023-12-07T00:00:00Z"/>
        <d v="2023-12-08T00:00:00Z"/>
        <d v="2023-11-16T00:00:00Z"/>
        <d v="2023-12-09T00:00:00Z"/>
        <d v="2023-11-28T00:00:00Z"/>
        <d v="2023-12-01T00:00:00Z"/>
        <d v="2023-12-12T00:00:00Z"/>
        <d v="2023-11-22T00:00:00Z"/>
        <d v="2023-11-29T00:00:00Z"/>
        <d v="2023-12-14T00:00:00Z"/>
        <d v="2023-12-15T00:00:00Z"/>
        <d v="2023-12-16T00:00:00Z"/>
        <d v="2023-12-17T00:00:00Z"/>
        <d v="2023-12-19T00:00:00Z"/>
        <d v="2023-12-18T00:00:00Z"/>
        <d v="2023-12-13T00:00:00Z"/>
        <d v="2023-12-05T00:00:00Z"/>
        <d v="2023-12-10T00:00:00Z"/>
        <d v="2023-12-20T00:00:00Z"/>
        <d v="2023-12-03T00:00:00Z"/>
        <d v="2023-12-25T00:00:00Z"/>
        <d v="2023-12-11T00:00:00Z"/>
        <d v="2023-12-26T00:00:00Z"/>
        <d v="2023-12-31T00:00:00Z"/>
        <d v="2023-12-22T00:00:00Z"/>
        <d v="2023-12-28T00:00:00Z"/>
        <d v="2024-01-01T00:00:00Z"/>
        <d v="2023-12-24T00:00:00Z"/>
        <d v="2024-01-02T00:00:00Z"/>
        <d v="2024-01-03T00:00:00Z"/>
        <d v="2023-12-27T00:00:00Z"/>
        <d v="2023-12-21T00:00:00Z"/>
        <d v="2024-01-05T00:00:00Z"/>
        <d v="2024-01-08T00:00:00Z"/>
        <d v="2024-01-06T00:00:00Z"/>
        <d v="2024-01-10T00:00:00Z"/>
        <d v="2024-04-10T00:00:00Z"/>
        <d v="2024-01-12T00:00:00Z"/>
        <d v="2024-01-07T00:00:00Z"/>
        <d v="2024-01-19T00:00:00Z"/>
        <d v="2024-03-09T00:00:00Z"/>
        <d v="2024-01-18T00:00:00Z"/>
        <d v="2024-01-30T00:00:00Z"/>
        <d v="2024-01-22T00:00:00Z"/>
        <d v="2024-01-15T00:00:00Z"/>
        <d v="2024-01-09T00:00:00Z"/>
        <d v="2024-01-13T00:00:00Z"/>
        <d v="2024-01-24T00:00:00Z"/>
        <d v="2024-01-25T00:00:00Z"/>
        <d v="2024-01-29T00:00:00Z"/>
        <d v="2024-01-16T00:00:00Z"/>
        <d v="2024-03-30T00:00:00Z"/>
        <d v="2024-02-03T00:00:00Z"/>
        <d v="2024-01-31T00:00:00Z"/>
        <d v="2024-01-20T00:00:00Z"/>
        <d v="2024-01-28T00:00:00Z"/>
        <d v="2024-02-05T00:00:00Z"/>
        <d v="2024-01-26T00:00:00Z"/>
        <d v="2024-02-08T00:00:00Z"/>
        <d v="2024-02-12T00:00:00Z"/>
        <d v="2024-01-21T00:00:00Z"/>
        <d v="2024-01-17T00:00:00Z"/>
        <d v="2024-02-06T00:00:00Z"/>
        <d v="2024-02-13T00:00:00Z"/>
        <d v="2024-02-09T00:00:00Z"/>
        <d v="2024-02-14T00:00:00Z"/>
        <d v="2024-02-07T00:00:00Z"/>
        <d v="2024-02-19T00:00:00Z"/>
        <d v="2024-02-18T00:00:00Z"/>
        <d v="2024-02-02T00:00:00Z"/>
        <d v="2024-02-21T00:00:00Z"/>
        <d v="2024-02-11T00:00:00Z"/>
        <d v="2024-02-26T00:00:00Z"/>
        <d v="2024-03-01T00:00:00Z"/>
        <d v="2024-02-29T00:00:00Z"/>
        <d v="2024-04-27T00:00:00Z"/>
        <d v="2024-02-27T00:00:00Z"/>
        <d v="2024-02-17T00:00:00Z"/>
        <d v="2024-02-23T00:00:00Z"/>
        <d v="2024-02-24T00:00:00Z"/>
        <d v="2024-02-25T00:00:00Z"/>
        <d v="2024-03-04T00:00:00Z"/>
        <d v="2024-03-07T00:00:00Z"/>
        <d v="2024-02-10T00:00:00Z"/>
        <d v="2024-03-13T00:00:00Z"/>
        <d v="2024-03-06T00:00:00Z"/>
        <d v="2024-03-29T00:00:00Z"/>
        <d v="2024-02-15T00:00:00Z"/>
        <d v="2024-03-08T00:00:00Z"/>
        <d v="2024-03-03T00:00:00Z"/>
        <d v="2024-03-11T00:00:00Z"/>
        <d v="2024-02-20T00:00:00Z"/>
        <d v="2024-02-16T00:00:00Z"/>
        <d v="2024-03-16T00:00:00Z"/>
        <d v="2024-03-12T00:00:00Z"/>
        <d v="2024-03-05T00:00:00Z"/>
        <d v="2024-03-14T00:00:00Z"/>
        <d v="2024-03-18T00:00:00Z"/>
        <d v="2024-03-26T00:00:00Z"/>
        <d v="2024-03-19T00:00:00Z"/>
        <d v="2024-03-31T00:00:00Z"/>
        <d v="2024-02-22T00:00:00Z"/>
        <d v="2024-03-21T00:00:00Z"/>
        <d v="2024-03-22T00:00:00Z"/>
        <d v="2024-03-23T00:00:00Z"/>
        <d v="2024-03-25T00:00:00Z"/>
        <d v="2024-03-17T00:00:00Z"/>
        <d v="2024-03-20T00:00:00Z"/>
        <d v="2024-03-27T00:00:00Z"/>
        <d v="2024-04-01T00:00:00Z"/>
        <d v="2024-03-24T00:00:00Z"/>
        <m/>
        <d v="2024-04-07T00:00:00Z"/>
        <d v="2024-04-03T00:00:00Z"/>
        <d v="2024-04-13T00:00:00Z"/>
        <d v="2024-04-06T00:00:00Z"/>
        <d v="2024-04-02T00:00:00Z"/>
        <d v="2024-03-15T00:00:00Z"/>
        <d v="2024-04-11T00:00:00Z"/>
        <d v="2024-04-14T00:00:00Z"/>
        <d v="2024-04-17T00:00:00Z"/>
        <d v="2024-04-15T00:00:00Z"/>
        <d v="2024-04-08T00:00:00Z"/>
        <d v="2024-04-05T00:00:00Z"/>
        <d v="2024-04-16T00:00:00Z"/>
        <d v="2024-04-18T00:00:00Z"/>
        <d v="2023-10-15T00:00:00Z"/>
        <d v="2024-04-04T00:00:00Z"/>
        <d v="2024-03-28T00:00:00Z"/>
        <d v="2024-04-21T00:00:00Z"/>
        <d v="2024-04-22T00:00:00Z"/>
        <d v="2024-04-20T00:00:00Z"/>
        <d v="2024-04-09T00:00:00Z"/>
        <d v="2024-04-23T00:00:00Z"/>
        <d v="2024-04-24T00:00:00Z"/>
        <d v="2024-04-26T00:00:00Z"/>
        <d v="2024-05-06T00:00:00Z"/>
        <d v="2024-05-08T00:00:00Z"/>
        <d v="2024-04-30T00:00:00Z"/>
        <d v="2024-05-04T00:00:00Z"/>
        <d v="2024-05-03T00:00:00Z"/>
        <d v="2024-05-01T00:00:00Z"/>
        <d v="2024-04-12T00:00:00Z"/>
        <d v="2024-04-29T00:00:00Z"/>
        <d v="2024-05-05T00:00:00Z"/>
        <d v="2024-05-11T00:00:00Z"/>
        <d v="2024-05-07T00:00:00Z"/>
        <d v="2024-05-13T00:00:00Z"/>
        <d v="2024-05-16T00:00:00Z"/>
        <d v="2024-05-10T00:00:00Z"/>
        <d v="2024-05-26T00:00:00Z"/>
        <d v="2024-05-15T00:00:00Z"/>
        <d v="2024-05-14T00:00:00Z"/>
        <d v="2024-05-20T00:00:00Z"/>
        <d v="2024-05-02T00:00:00Z"/>
        <d v="2024-05-12T00:00:00Z"/>
        <d v="2024-05-18T00:00:00Z"/>
        <d v="2024-05-17T00:00:00Z"/>
        <d v="2024-05-19T00:00:00Z"/>
        <d v="2024-05-24T00:00:00Z"/>
        <d v="2024-05-22T00:00:00Z"/>
        <d v="2024-05-23T00:00:00Z"/>
        <d v="2024-06-06T00:00:00Z"/>
        <d v="2024-05-25T00:00:00Z"/>
        <d v="2024-06-03T00:00:00Z"/>
        <d v="2024-05-31T00:00:00Z"/>
        <d v="2024-06-01T00:00:00Z"/>
        <d v="2024-05-27T00:00:00Z"/>
        <d v="2024-06-02T00:00:00Z"/>
        <d v="2024-05-28T00:00:00Z"/>
        <d v="2024-06-04T00:00:00Z"/>
        <d v="2024-06-05T00:00:00Z"/>
        <d v="2024-06-18T00:00:00Z"/>
        <d v="2024-06-13T00:00:00Z"/>
        <d v="2024-06-07T00:00:00Z"/>
        <d v="2024-06-09T00:00:00Z"/>
        <d v="2024-06-08T00:00:00Z"/>
        <d v="2024-06-10T00:00:00Z"/>
        <d v="2024-06-17T00:00:00Z"/>
        <d v="2024-06-11T00:00:00Z"/>
        <d v="2024-05-21T00:00:00Z"/>
        <d v="2024-06-16T00:00:00Z"/>
        <d v="2024-05-29T00:00:00Z"/>
        <d v="2024-06-14T00:00:00Z"/>
        <d v="2024-06-19T00:00:00Z"/>
        <d v="2024-06-21T00:00:00Z"/>
        <d v="2024-06-20T00:00:00Z"/>
        <d v="2024-05-30T00:00:00Z"/>
        <d v="2024-06-22T00:00:00Z"/>
        <d v="2024-06-12T00:00:00Z"/>
        <d v="2024-06-25T00:00:00Z"/>
        <d v="2024-06-26T00:00:00Z"/>
        <d v="2024-06-23T00:00:00Z"/>
      </sharedItems>
    </cacheField>
    <cacheField name="USD Last Update" numFmtId="164">
      <sharedItems containsString="0" containsBlank="1" containsNumber="1">
        <n v="0.0"/>
        <n v="35190.945004463196"/>
        <n v="91728.73687791824"/>
        <n v="320389.9754962921"/>
        <n v="411315.29848337173"/>
        <n v="654452.6672995662"/>
        <n v="21382.809224596025"/>
        <n v="240230.7023905106"/>
        <n v="201576.39384412766"/>
        <n v="138628.32171288013"/>
        <n v="264550.00537872314"/>
        <n v="354671.3139538765"/>
        <n v="45448.1049656868"/>
        <n v="17966.891866207123"/>
        <n v="216844.1944232826"/>
        <n v="963017.1459159851"/>
        <n v="425460.34812927246"/>
        <n v="140171.34282302856"/>
        <n v="1868.7286227226257"/>
        <n v="2493.1304454803467"/>
        <n v="209979.77878189087"/>
        <n v="804959.9990386963"/>
        <n v="64399.2428889656"/>
        <n v="529103.0425643921"/>
        <n v="100430.40020751953"/>
        <n v="79593.99656677246"/>
        <n v="376681.58445739746"/>
        <n v="4988.37175886631"/>
        <n v="660.2297973632812"/>
        <n v="22146.16540596008"/>
        <n v="377451.9663787822"/>
        <n v="182613.5992958975"/>
        <n v="189138.3763370514"/>
        <n v="24864.872765654563"/>
        <n v="41457.7880525589"/>
        <n v="534.7219944000244"/>
        <n v="5209.113121032715"/>
        <n v="1256.5122842788696"/>
        <n v="20515.915464401245"/>
        <n v="205.0587272644043"/>
        <n v="1188.584077835083"/>
        <n v="1337.4944925308228"/>
        <n v="552162.5462468147"/>
        <n v="139528.33678993178"/>
        <n v="514918.88523101807"/>
        <n v="482013.4768486023"/>
        <n v="4552.665035028457"/>
        <n v="61319.03359937668"/>
        <n v="18955.68651008606"/>
        <n v="56754.76063568592"/>
        <n v="5392.269264221191"/>
        <n v="75487.63888597488"/>
        <n v="144114.63950157166"/>
        <n v="107.95333862304688"/>
        <n v="62711.168772160054"/>
        <n v="295206.97983994486"/>
        <n v="5164.606246948242"/>
        <n v="64274.171760628225"/>
        <n v="33663.91652393341"/>
        <n v="282610.15407562256"/>
        <n v="152132.23749160767"/>
        <n v="1.7118068050563812E7"/>
        <n v="168976.15137195587"/>
        <n v="396.84497833251953"/>
        <n v="248.0281114578247"/>
        <n v="28545.543954849243"/>
        <n v="65529.43958248854"/>
        <n v="66620.98069190979"/>
        <n v="78382.6070806675"/>
        <n v="362582.6869749069"/>
        <n v="187515.58480478288"/>
        <n v="424889.60845947266"/>
        <n v="257217.41010070036"/>
        <n v="10421.578921318054"/>
        <n v="199041.0256758802"/>
        <n v="44092.83866882324"/>
        <n v="337553.6029815674"/>
        <n v="361.59793853759766"/>
        <n v="167864.8402448416"/>
        <n v="778.7728910417557"/>
        <n v="961.7147463393211"/>
        <n v="2216.8214321136475"/>
        <n v="1596.9981596946716"/>
        <n v="68357.06049442291"/>
        <n v="108027.04679489136"/>
        <n v="17382.753705978394"/>
        <n v="114095.51201915741"/>
        <n v="170720.25636672974"/>
        <n v="84619.78737840356"/>
        <n v="1347.7179050445557"/>
        <n v="163412.5325917449"/>
        <n v="540550.4567193985"/>
        <n v="80320.12238917351"/>
        <n v="8.063699015604944E8"/>
        <n v="806366.1797876358"/>
        <n v="247959.49429035187"/>
        <n v="285650.86326408386"/>
        <n v="219775.71102316998"/>
        <n v="4043.890857696533"/>
        <n v="233197.6668100357"/>
        <n v="49553.997246555424"/>
        <n v="311756.41708374023"/>
        <n v="179972.68836021423"/>
        <n v="405.8725833892822"/>
        <n v="1035.489797592163"/>
        <n v="237339.79270119668"/>
        <n v="967831.6252560616"/>
        <n v="128606.73090932821"/>
        <n v="25153.181664819716"/>
        <n v="3496.8125549030306"/>
        <n v="55448.94446227455"/>
        <n v="82321.27532958984"/>
        <n v="183548.03500652313"/>
        <n v="23163.536529352667"/>
        <n v="903379.6771345139"/>
        <n v="130143.1534576416"/>
        <n v="60947.0469686985"/>
        <n v="745528.9821412325"/>
        <n v="37652.19421386719"/>
        <n v="81.48493766784668"/>
        <n v="141231.90055847168"/>
        <n v="25551.40493221283"/>
        <n v="19094.579084396362"/>
        <n v="60.84670543670654"/>
        <n v="18774.889707565308"/>
        <n v="60.70974111557007"/>
        <n v="288975.4856014252"/>
        <n v="504.91859372735024"/>
        <n v="52909.59660290241"/>
        <n v="324.51576232910156"/>
        <n v="166659.53242063522"/>
        <n v="158221.27057170868"/>
        <n v="1069418.0067055263"/>
        <n v="78255.69694519043"/>
        <n v="50720.82905292511"/>
        <n v="20306.99817252159"/>
        <n v="204157.68256092072"/>
        <n v="3646.7741203308105"/>
        <n v="378466.9846916199"/>
        <n v="8500.88589811325"/>
        <n v="57204.50577785969"/>
        <n v="171533.83743667603"/>
        <n v="48085.680753707886"/>
        <n v="930.2995204925537"/>
        <n v="20590.681063842774"/>
        <n v="2165483.5875606537"/>
        <n v="18371.574969291687"/>
        <n v="3721.2750911712646"/>
        <n v="4188.214194774628"/>
        <n v="3442.17945933342"/>
        <n v="792.9431915283203"/>
        <n v="3043.7909603118896"/>
        <n v="130575.70901672317"/>
        <n v="935330.6803665161"/>
        <n v="138130.9799194336"/>
        <n v="50535.850524902344"/>
        <n v="3106388.0979447365"/>
        <n v="1.1480887444565535E8"/>
        <n v="135908.1592054367"/>
        <n v="203577.8356552124"/>
        <n v="226079.1541337967"/>
        <n v="635.4608774185181"/>
        <n v="117356.78630256653"/>
        <n v="9157.239246368408"/>
        <n v="105414.0174993301"/>
        <n v="284868.0763871622"/>
        <n v="1758.5296641254424"/>
        <n v="10389.19851257801"/>
        <n v="80852.26232767105"/>
        <n v="5703.471712589264"/>
        <n v="27182.742474079132"/>
        <n v="18391.639382839203"/>
        <n v="132358.3769440651"/>
        <n v="89601.52673721313"/>
        <n v="8699.747411727905"/>
        <n v="8349.085807800293"/>
        <n v="1641.8591737747192"/>
        <n v="314906.35774847027"/>
        <n v="731101.0220732689"/>
        <n v="38795.41872024536"/>
        <n v="2767.705464363098"/>
        <n v="32341.10360956192"/>
        <n v="726130.7726783752"/>
        <n v="5291220.188140869"/>
        <n v="161959.54506988524"/>
        <n v="513103.2653764343"/>
        <n v="47427.073669433594"/>
        <n v="89754.67777347565"/>
        <n v="23045.113191604614"/>
        <n v="16227.429418087006"/>
        <n v="56214.271577871325"/>
        <n v="110455.63011169434"/>
        <n v="541250.259411335"/>
        <n v="2621.1016178131104"/>
        <n v="130423.0824637413"/>
        <n v="1306.6195678710938"/>
        <n v="31943.193459033966"/>
        <n v="118272.8529725647"/>
        <n v="35577.21670865535"/>
        <n v="35618.89410018921"/>
        <n v="1625.1878471088407"/>
        <n v="5242.203235626221"/>
        <n v="122929.61944913864"/>
        <n v="43726.35269165039"/>
        <n v="4792.046475591659"/>
        <n v="28131.635189056396"/>
        <n v="11645.587386131287"/>
        <n v="5133632.7714829445"/>
        <n v="639.6103477478027"/>
        <n v="3369.573913660049"/>
        <n v="23144.556258544922"/>
        <n v="28403.631734848022"/>
        <n v="14489.015617222785"/>
        <n v="21733.55780447483"/>
        <n v="9345.329209804535"/>
        <n v="11193.685396194458"/>
        <n v="3346.193638086319"/>
        <n v="173463.07664935113"/>
        <n v="68091.73227890015"/>
        <n v="65012.438703083986"/>
        <n v="30044.30494112492"/>
        <n v="67587.137196064"/>
        <n v="20067.617797851562"/>
        <n v="66382.00737380981"/>
        <n v="49854.62370366096"/>
        <n v="1.2086651802062988E-9"/>
        <n v="39270.812900066376"/>
        <n v="50988.47222137451"/>
        <n v="27597.103930950165"/>
        <n v="4.492052628974915E-5"/>
        <n v="449205.26289749146"/>
        <n v="199893.310546875"/>
        <n v="243525.69580078125"/>
        <n v="227032.60002565384"/>
        <n v="70463.06467151642"/>
        <n v="852314.0514621735"/>
        <n v="1095.0079917907715"/>
        <n v="338968.53231811523"/>
        <n v="94649.38012933731"/>
        <n v="18.73999786376953"/>
        <n v="59076.24592781067"/>
        <n v="3176.135282006264"/>
        <n v="556365.502512455"/>
        <n v="547328.6936626434"/>
        <n v="561624.5739340782"/>
        <n v="5911.51286380291"/>
        <n v="712.3778820037842"/>
        <n v="445.9104919433594"/>
        <n v="5438.993310928345"/>
        <n v="237685.1772427559"/>
        <n v="60881.42395019531"/>
        <n v="300.8437919616699"/>
        <n v="90253.13758850098"/>
        <n v="294728.0863070488"/>
        <n v="187550.28578281403"/>
        <n v="69560.47089242935"/>
        <n v="113382.04055786133"/>
        <n v="6839.678764343262"/>
        <n v="42063.47942352295"/>
        <n v="55615.090220451355"/>
        <n v="8305492.200950623"/>
        <n v="70933.28332901001"/>
        <n v="630603.3177213669"/>
        <n v="38791.37742519379"/>
        <n v="1016502.2154192924"/>
        <n v="232424.17905807495"/>
        <n v="80233.32316684723"/>
        <n v="143491.3900823593"/>
        <n v="156356.79960250854"/>
        <n v="4243.613085746765"/>
        <n v="3353.1500120162964"/>
        <n v="836667.7529335022"/>
        <n v="3094.0776586532593"/>
        <n v="13446.874380111694"/>
        <n v="449897.15695381165"/>
        <n v="165678.6430835724"/>
        <n v="90354.11908721924"/>
        <n v="7085.906982421875"/>
        <n v="345528.823677063"/>
        <n v="78827.49714700603"/>
        <n v="182386.0669255066"/>
        <n v="3471.3475704193115"/>
        <n v="211695.50481233367"/>
        <n v="20731.563568115234"/>
        <n v="199130.61891174316"/>
        <n v="2460014.033317566"/>
        <n v="1480403.8563461304"/>
        <n v="2352.4765434265137"/>
        <n v="14331.968091011047"/>
        <n v="111711.32175922394"/>
        <n v="77860.96796979904"/>
        <n v="331439.63108577725"/>
        <n v="205622.93027251243"/>
        <n v="130660.90535736084"/>
        <n v="1871824.6919622933"/>
        <n v="460581.38894587994"/>
        <n v="10726.625442504883"/>
        <n v="348.12278747558594"/>
        <n v="726340.8530712128"/>
        <n v="385360.6036603975"/>
        <n v="181662.5747680664"/>
        <n v="19074.618577957153"/>
        <n v="27564.14668893814"/>
        <n v="671383.8305110931"/>
        <n v="74935.81209182739"/>
        <n v="486085.0705318451"/>
        <n v="146587.23357725143"/>
        <n v="62807.127356529236"/>
        <n v="2.9462561386234283E7"/>
        <n v="4255.996999740601"/>
        <n v="294625.61386234284"/>
        <n v="788.1475925445557"/>
        <n v="4905.345916748047"/>
        <n v="38354.97998046875"/>
        <n v="18309.959193940165"/>
        <n v="1703.0866384506226"/>
        <n v="378.4636974334717"/>
        <n v="264269.3607006073"/>
        <n v="11153.223294258118"/>
        <n v="1016.708984375"/>
        <n v="1307.230224609375"/>
        <n v="87606.16467905045"/>
        <n v="70133.04677009583"/>
        <n v="376714.65587615967"/>
        <n v="451201.43218040466"/>
        <n v="21597.210963349342"/>
        <n v="396487.4529838562"/>
        <n v="352867.6115179062"/>
        <n v="6874.605178833008"/>
        <n v="68705.30662536621"/>
        <n v="1588.6077880859375"/>
        <n v="4581.325155735016"/>
        <n v="1559.150221824646"/>
        <n v="6453.38236284256"/>
        <n v="13054.452890367507"/>
        <n v="56962.94512939453"/>
        <n v="85618.36586236954"/>
        <n v="130472.71211901188"/>
        <n v="126.65849685668945"/>
        <n v="765758.1806182861"/>
        <n v="3595745.56350708"/>
        <n v="516.7873764038086"/>
        <n v="99574.88661336899"/>
        <n v="3668.635892868042"/>
        <n v="287230.9412097931"/>
        <n v="719149.112701416"/>
        <n v="1000.8687257766724"/>
        <n v="262774.31801802997"/>
        <n v="199569.17034387589"/>
        <n v="86155.50398826599"/>
        <n v="323571.4605998993"/>
        <n v="1727363.9624118805"/>
        <n v="6267227.057719231"/>
        <n v="811090.5866394043"/>
        <n v="62805.44242295456"/>
        <n v="532581.1870918274"/>
        <n v="306261.42416000366"/>
        <n v="825502.4909973145"/>
        <n v="6677.962108612061"/>
        <n v="13112.6673579216"/>
        <n v="214775.07469177246"/>
        <n v="413597.0618057251"/>
        <n v="575.3192901611328"/>
        <n v="1546.6411590576172"/>
        <n v="132353.61122131348"/>
        <n v="263702.100276947"/>
        <n v="266963.80615234375"/>
        <n v="6611.456823348999"/>
        <n v="7096.012115478516"/>
        <n v="5539.296886224746"/>
        <n v="67676.24457836151"/>
        <n v="1920117.8267564392"/>
        <n v="1469.2126274108887"/>
        <n v="10278.813362121582"/>
        <n v="587.6850509643555"/>
        <n v="1496.5782165527344"/>
        <n v="54191.81823730469"/>
        <n v="1835116.447108202"/>
        <n v="322392.94765075686"/>
        <n v="74243.94844293594"/>
        <n v="6892.440319061279"/>
        <n v="198223.41918945312"/>
        <n v="7465.518841266632"/>
        <n v="556299.6579713821"/>
        <n v="317417.2375488281"/>
        <n v="685296.2817649841"/>
        <n v="466913.5783029556"/>
        <n v="417130.9471130371"/>
        <n v="331091.30859375"/>
        <n v="508257.060546875"/>
        <n v="7563.416004180908"/>
        <n v="1037005.4662789197"/>
        <n v="574892.2698608398"/>
        <n v="1744.283454724015"/>
        <n v="536331.2721252441"/>
        <n v="2725102.2913074493"/>
        <n v="122202.55012512207"/>
        <n v="7315.996848917008"/>
        <n v="7468.303203582764"/>
        <n v="3347441.577911377"/>
        <n v="54912.51806415558"/>
        <n v="296305.302734375"/>
        <n v="729.3909072875977"/>
        <n v="14053.964138031006"/>
        <n v="7.837951660156251E-7"/>
        <n v="80432.73624420166"/>
        <n v="95806.37893867493"/>
        <n v="1056.9041740216637"/>
        <n v="2.3609445095062258E-4"/>
        <n v="2229814.5294189453"/>
        <n v="5.540664574909211E-6"/>
        <n v="85667.00112946094"/>
        <n v="959623.5275268555"/>
        <n v="3.773815484352112E-5"/>
        <n v="302281.4111709595"/>
        <n v="783.795166015625"/>
        <n v="331657.97014045715"/>
        <n v="12665.849685668945"/>
        <n v="135185.2431256485"/>
        <n v="2.0557626724243163E-7"/>
        <n v="880478.2604961395"/>
        <n v="34170.69396972656"/>
        <n v="263126.90505981445"/>
        <n v="3.322150802612305E-5"/>
        <n v="296017.76819229126"/>
        <n v="1449112.3947343826"/>
        <m/>
        <n v="310852.76851882937"/>
        <n v="541579.5109577179"/>
        <n v="586962.711227417"/>
        <n v="8389035.22491455"/>
        <n v="8389035.224914549"/>
        <n v="292322.4540710449"/>
        <n v="6.416129473114013E-6"/>
        <n v="69917.49607086182"/>
        <n v="79695.83463668823"/>
        <n v="8727.157974243164"/>
        <n v="216.76727294921875"/>
        <n v="2.6497650403213502E-5"/>
        <n v="272566.48607444763"/>
        <n v="611698.2231445312"/>
        <n v="5687.193984985352"/>
        <n v="100585.54290962219"/>
        <n v="707799.1305651856"/>
        <n v="198.14796447753906"/>
        <n v="6869346.141815186"/>
        <n v="332241.49905347824"/>
        <n v="1667839.7744413202"/>
        <n v="1209674.120432971"/>
        <n v="713.5406494140625"/>
        <n v="84335.54649353027"/>
        <n v="2.491375777578354E-5"/>
        <n v="179.64178085327148"/>
        <n v="187.38618850708008"/>
        <n v="327676.18657547934"/>
        <n v="3343.8289165496826"/>
        <n v="3567514.419555664"/>
        <n v="387553.1917362213"/>
        <n v="91183.36183691025"/>
        <n v="79710.15886688232"/>
        <n v="1121.9181418418884"/>
        <n v="40253.754930496216"/>
        <n v="9.642625808715819E-7"/>
        <n v="8.70672607421875E-7"/>
        <n v="8706.72607421875"/>
        <n v="9642.62580871582"/>
        <n v="8863.756141662598"/>
        <n v="315931.8970413208"/>
        <n v="190.3356170654297"/>
        <n v="312933.0634903908"/>
        <n v="1039523.2200622559"/>
        <n v="428930.6640625"/>
        <n v="1943013.6346817017"/>
        <n v="149164.6519241333"/>
        <n v="139792.06814956665"/>
        <n v="18503.687727479934"/>
        <n v="5817.008123588563"/>
        <n v="6359.6087453842165"/>
        <n v="192.8525161743164"/>
        <n v="110461.22982398987"/>
        <n v="49132.236557006836"/>
        <n v="8221.25452041626"/>
        <n v="37815.65284729004"/>
        <n v="964.262580871582"/>
        <n v="167.78070449829102"/>
        <n v="118434.50736999512"/>
        <n v="53626.45076751709"/>
        <n v="69959.59631824493"/>
        <n v="213157.60334157944"/>
        <n v="8660.052299490852"/>
        <n v="671.1228179931641"/>
        <n v="235410.55987262726"/>
        <n v="8401.010855255126"/>
        <n v="6422237.873077393"/>
        <n v="6824516.040802002"/>
        <n v="176465.82658290863"/>
        <n v="730678.4152984619"/>
        <n v="453963.42182521825"/>
        <n v="1.5363803105163574E-5"/>
        <n v="6869.346141815186"/>
        <n v="241844.73929177283"/>
        <n v="42018.60427856445"/>
        <n v="227461.93294525146"/>
        <n v="61340.678367614746"/>
        <n v="57566.5656536293"/>
        <n v="1122.3687744140625"/>
        <n v="304.125732421875"/>
        <n v="3.7823893139362332E-6"/>
        <n v="34455.30618906021"/>
        <n v="646235.1382727623"/>
        <n v="110847.84743452072"/>
        <n v="113880.58637094498"/>
        <n v="549.5476913452148"/>
        <n v="3732.037615776062"/>
        <n v="530843.5537233353"/>
        <n v="145508.92766571045"/>
        <n v="537.0024871826172"/>
        <n v="6154.469304561615"/>
        <n v="66148.3999671936"/>
        <n v="5945.327813625336"/>
        <n v="5961.032665252686"/>
        <n v="201278.24343884469"/>
        <n v="862508.809337616"/>
        <n v="17499.748046398163"/>
        <n v="68468.27041625977"/>
        <n v="1646.9685745239258"/>
        <n v="142.70057678222656"/>
        <n v="559280.6775851505"/>
        <n v="7196755.886077881"/>
        <n v="320723.7566728592"/>
        <n v="322287.8837585449"/>
        <n v="547006.5241241455"/>
        <n v="215918.55821228027"/>
        <n v="3468767.4045562744"/>
        <n v="242071.45509147644"/>
        <n v="1.150823616027832E-5"/>
        <n v="2.262704140253067E-5"/>
        <n v="124594.09097290039"/>
        <n v="208898.57222366333"/>
        <n v="574406.0542068481"/>
        <n v="133424.63614062278"/>
        <n v="68.35916449170344"/>
        <n v="2807333.188522339"/>
        <n v="7285.116195678711"/>
        <n v="4656.12245798111"/>
        <n v="1363694.7931671143"/>
        <n v="1488369.7701263428"/>
        <n v="244.34801983833313"/>
        <n v="131.83465957641602"/>
        <n v="7428137.77923584"/>
        <n v="106442.31845350743"/>
        <n v="320032.9130115509"/>
        <n v="4341.929252624512"/>
        <n v="73720.1905002594"/>
        <n v="3.876193356513977E-7"/>
        <n v="4019.326066970825"/>
        <n v="3.428402066230774E-7"/>
        <n v="3428.402066230774"/>
        <n v="199823.08615207672"/>
        <n v="1088.2651805877686"/>
        <n v="637888.0462646484"/>
        <n v="1049878.2674679707"/>
        <n v="8.830690005874634E-6"/>
        <n v="92552.53884124756"/>
        <n v="59481.187398433685"/>
        <n v="416094.5658416748"/>
        <n v="967618.7876639366"/>
        <n v="71702.70205640793"/>
        <n v="76282.91130065918"/>
        <n v="968942.6153392792"/>
        <n v="24997.04909324646"/>
        <n v="21306.466939155554"/>
        <n v="357100.7013320923"/>
        <n v="540075.9947309494"/>
        <n v="55094.15142440796"/>
        <n v="4627.188558769227"/>
        <n v="264399.8936829567"/>
        <n v="66.22914888819314"/>
        <n v="135964.913977623"/>
        <n v="258430.23341417313"/>
        <n v="242006.27492523193"/>
        <n v="1272957.3502349854"/>
        <n v="247415.71657746792"/>
        <n v="3222.878837585449"/>
        <n v="88162.14821720123"/>
        <n v="324.04267234802245"/>
        <n v="78910.52069616318"/>
        <n v="177981.32514953613"/>
        <n v="1.0300641551208496E-5"/>
        <n v="99859.64012050629"/>
        <n v="325372.3382949829"/>
        <n v="540604.7917079926"/>
        <n v="5794211.864471436"/>
        <n v="313096.19440270425"/>
        <n v="1078483.2119941711"/>
        <n v="138.75069618225098"/>
        <n v="50375.90036130734"/>
        <n v="7329.517050266266"/>
        <n v="7599.261079311371"/>
        <n v="6039.630308471829"/>
        <n v="183705.48716306686"/>
        <n v="7058611.869812012"/>
        <n v="7244290.828704834"/>
        <n v="17326.952934265137"/>
        <n v="17978.788414001465"/>
        <n v="30461.302161216736"/>
        <n v="7.244290828704834"/>
        <n v="2805531.0249328613"/>
        <n v="2805525.4138708115"/>
        <n v="519.7083950042725"/>
        <n v="367052.7576508522"/>
        <n v="24977.36747264862"/>
        <n v="589.3658447265625"/>
        <n v="49799.23912715912"/>
        <n v="54819.03844976425"/>
        <n v="20829.652276039124"/>
        <n v="6227.234549045563"/>
        <n v="9.435797810554504E10"/>
        <n v="84716.17698669434"/>
        <n v="15737.2081439209"/>
        <n v="3.827938270568847E-6"/>
        <n v="34765.27118682861"/>
        <n v="9.470763847351076E-6"/>
        <n v="53796.368242263794"/>
        <n v="564.6889495849609"/>
        <n v="335020.81961870193"/>
        <n v="62814.44072723389"/>
        <n v="26013.53200531006"/>
        <n v="6.030186309814453E7"/>
        <n v="460575.6479480849"/>
        <n v="144473.21367263794"/>
        <n v="2609.3517499923705"/>
        <n v="310163.98537259904"/>
        <n v="337326.0840868566"/>
        <n v="39076.12317720577"/>
        <n v="564984.4871211052"/>
        <n v="26243.873335838318"/>
        <n v="4.209823817539215E-6"/>
        <n v="79171.32109260559"/>
        <n v="155779.81300354004"/>
        <n v="42098.23817539215"/>
        <n v="164982.1285700798"/>
        <n v="2798.431739807129"/>
        <n v="51916.13526105881"/>
        <n v="13507.56331356535"/>
        <n v="87033.1764940262"/>
        <n v="111949.96914062025"/>
        <n v="2148.9548344135283"/>
        <n v="290165.0274953842"/>
        <n v="49843.25871706009"/>
        <n v="9541.513546466827"/>
        <n v="47085.70476913452"/>
        <n v="485.91320037841797"/>
        <n v="8319791.5186543465"/>
        <n v="851305.2708439827"/>
        <n v="117322.17418381693"/>
        <n v="40388.56053121127"/>
        <n v="157036.10181808472"/>
        <n v="615080.7624054146"/>
        <n v="245849.4395623207"/>
        <n v="105159.38450301548"/>
        <n v="3756303.5554885864"/>
        <n v="847360.5239663124"/>
        <n v="213569.09847259521"/>
        <n v="1036370.8721044587"/>
        <n v="263.8206510543823"/>
        <n v="876078.6581223964"/>
        <n v="88551.34182929993"/>
        <n v="444946.09089136124"/>
        <n v="174894.2473168373"/>
        <n v="0.09799052753448485"/>
        <n v="6281.444072723389"/>
        <n v="52645.37613699199"/>
        <n v="107293.3462061882"/>
        <n v="196299.3906440735"/>
        <n v="3140722.0363616943"/>
        <n v="236015.14790762425"/>
        <n v="888164.7846627235"/>
      </sharedItems>
    </cacheField>
    <cacheField name="Category" numFmtId="0">
      <sharedItems containsBlank="1">
        <s v=""/>
        <s v="Outreach"/>
        <s v="Development"/>
        <s v="Operations"/>
        <s v="Talent &amp; Education"/>
        <s v="Research"/>
        <m/>
        <s v="Economy"/>
      </sharedItems>
    </cacheField>
    <cacheField name="Subcategory" numFmtId="0">
      <sharedItems containsBlank="1">
        <s v=""/>
        <s v="Media"/>
        <s v="Protocol Subsidies"/>
        <s v="Multisig"/>
        <s v="Other"/>
        <s v="Wallets"/>
        <s v="Governance"/>
        <s v="Trainings &amp; Hackathon"/>
        <s v="Data Services &amp; Indexing"/>
        <s v="Explorers"/>
        <s v="Smart Contracts"/>
        <s v="RPCs and Nodes"/>
        <s v="Education"/>
        <s v="Software Development"/>
        <s v="Light Clients"/>
        <s v="Polkadot Protocol &amp; SDK"/>
        <s v="Community Building"/>
        <s v="SDKs"/>
        <s v="Recruiting"/>
        <s v="Software Services"/>
        <s v="Games"/>
        <s v="Business Development"/>
        <s v="Incubation"/>
        <s v="Research"/>
        <s v="Advertising/Digital Ads"/>
        <s v="Events/Conference Attendance &amp; Side Events"/>
        <s v="Advertising/Influencers"/>
        <m/>
        <s v="Events/Conference Hosting"/>
        <s v="Staking"/>
        <s v="Events/Meetups"/>
        <s v="Privacy"/>
        <s v="Loans"/>
        <s v="Advertising/Physical Ads"/>
        <s v="Stablecoins"/>
        <s v="Infrastructure"/>
        <s v="Advertising/Sponsorships"/>
        <s v="Market Operations"/>
        <s v="Ecosystem Services"/>
        <s v="Events"/>
        <s v="Security"/>
        <s v="Advertising/Platform Integrations"/>
      </sharedItems>
    </cacheField>
    <cacheField name="hide from income statement (represented via child bounties and/or via the balance sheet)" numFmtId="0">
      <sharedItems containsBlank="1">
        <m/>
        <s v="x"/>
      </sharedItems>
    </cacheField>
    <cacheField name="bounty-related" numFmtId="0">
      <sharedItems containsBlank="1">
        <m/>
        <s v="x"/>
      </sharedItems>
    </cacheField>
    <cacheField name="recurring" numFmtId="0">
      <sharedItems containsBlank="1">
        <m/>
        <s v="x"/>
      </sharedItems>
    </cacheField>
    <cacheField name="Notes" numFmtId="0">
      <sharedItems containsBlank="1">
        <m/>
        <s v="did not properly execute"/>
        <s v="failed to execute"/>
      </sharedItems>
    </cacheField>
    <cacheField name="year" numFmtId="0">
      <sharedItems containsBlank="1">
        <m/>
        <s v="2023"/>
        <s v="2024"/>
      </sharedItems>
    </cacheField>
    <cacheField name="month" numFmtId="0">
      <sharedItems containsString="0" containsBlank="1" containsNumber="1" containsInteger="1">
        <m/>
        <n v="7.0"/>
        <n v="6.0"/>
        <n v="8.0"/>
        <n v="4.0"/>
        <n v="9.0"/>
        <n v="10.0"/>
        <n v="11.0"/>
        <n v="12.0"/>
        <n v="1.0"/>
        <n v="3.0"/>
        <n v="2.0"/>
        <n v="5.0"/>
      </sharedItems>
    </cacheField>
    <cacheField name="quarter" numFmtId="0">
      <sharedItems containsBlank="1">
        <m/>
        <s v="2023-Q3"/>
        <s v="2023-Q2"/>
        <s v="2024-Q2"/>
        <s v="2023-Q4"/>
        <s v="2024-Q1"/>
      </sharedItems>
    </cacheField>
    <cacheField name="year-month" numFmtId="0">
      <sharedItems containsBlank="1">
        <m/>
        <s v="2023-07"/>
        <s v="2023-06"/>
        <s v="2023-08"/>
        <s v="2024-06"/>
        <s v="2024-04"/>
        <s v="2023-09"/>
        <s v="2023-10"/>
        <s v="2023-11"/>
        <s v="2023-12"/>
        <s v="2024-01"/>
        <s v="2024-03"/>
        <s v="2024-02"/>
        <s v="2024-05"/>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1667" sheet="Referenda"/>
  </cacheSource>
  <cacheFields>
    <cacheField name="#" numFmtId="0">
      <sharedItems containsString="0" containsBlank="1"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904.0"/>
        <n v="69.0"/>
        <n v="70.0"/>
        <n v="71.0"/>
        <n v="796.0"/>
        <n v="73.0"/>
        <n v="74.0"/>
        <n v="75.0"/>
        <n v="76.0"/>
        <n v="77.0"/>
        <n v="78.0"/>
        <n v="79.0"/>
        <n v="80.0"/>
        <n v="81.0"/>
        <n v="82.0"/>
        <n v="83.0"/>
        <n v="84.0"/>
        <n v="85.0"/>
        <n v="86.0"/>
        <n v="87.0"/>
        <n v="88.0"/>
        <n v="89.0"/>
        <n v="90.0"/>
        <n v="91.0"/>
        <n v="92.0"/>
        <n v="93.0"/>
        <n v="94.0"/>
        <n v="95.0"/>
        <n v="96.0"/>
        <n v="97.0"/>
        <n v="98.0"/>
        <n v="99.0"/>
        <n v="601.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599.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582.0"/>
        <n v="371.0"/>
        <n v="372.0"/>
        <n v="373.0"/>
        <n v="374.0"/>
        <n v="375.0"/>
        <n v="376.0"/>
        <n v="559.0"/>
        <n v="378.0"/>
        <n v="379.0"/>
        <n v="380.0"/>
        <n v="381.0"/>
        <n v="382.0"/>
        <n v="383.0"/>
        <n v="384.0"/>
        <n v="385.0"/>
        <n v="386.0"/>
        <n v="387.0"/>
        <n v="388.0"/>
        <n v="389.0"/>
        <n v="390.0"/>
        <n v="391.0"/>
        <n v="392.0"/>
        <n v="393.0"/>
        <n v="394.0"/>
        <n v="395.0"/>
        <n v="541.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96.0"/>
        <n v="483.0"/>
        <n v="484.0"/>
        <n v="485.0"/>
        <n v="486.0"/>
        <n v="487.0"/>
        <n v="488.0"/>
        <n v="489.0"/>
        <n v="490.0"/>
        <n v="491.0"/>
        <n v="492.0"/>
        <n v="493.0"/>
        <n v="494.0"/>
        <n v="495.0"/>
        <n v="482.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396.0"/>
        <n v="542.0"/>
        <n v="543.0"/>
        <n v="544.0"/>
        <n v="545.0"/>
        <n v="546.0"/>
        <n v="547.0"/>
        <n v="548.0"/>
        <n v="549.0"/>
        <n v="550.0"/>
        <n v="551.0"/>
        <n v="552.0"/>
        <n v="553.0"/>
        <n v="554.0"/>
        <n v="555.0"/>
        <n v="556.0"/>
        <n v="557.0"/>
        <n v="558.0"/>
        <n v="377.0"/>
        <n v="560.0"/>
        <n v="561.0"/>
        <n v="562.0"/>
        <n v="563.0"/>
        <n v="564.0"/>
        <n v="565.0"/>
        <n v="566.0"/>
        <n v="567.0"/>
        <n v="568.0"/>
        <n v="569.0"/>
        <n v="570.0"/>
        <n v="571.0"/>
        <n v="572.0"/>
        <n v="573.0"/>
        <n v="574.0"/>
        <n v="575.0"/>
        <n v="576.0"/>
        <n v="577.0"/>
        <n v="578.0"/>
        <n v="579.0"/>
        <n v="580.0"/>
        <n v="581.0"/>
        <n v="370.0"/>
        <n v="583.0"/>
        <n v="584.0"/>
        <n v="585.0"/>
        <n v="586.0"/>
        <n v="587.0"/>
        <n v="588.0"/>
        <n v="589.0"/>
        <n v="590.0"/>
        <n v="591.0"/>
        <n v="592.0"/>
        <n v="593.0"/>
        <n v="594.0"/>
        <n v="595.0"/>
        <n v="596.0"/>
        <n v="597.0"/>
        <n v="598.0"/>
        <n v="162.0"/>
        <n v="600.0"/>
        <n v="100.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2.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68.0"/>
        <n v="905.0"/>
        <n v="906.0"/>
        <n v="907.0"/>
        <n v="908.0"/>
        <n v="909.0"/>
        <n v="910.0"/>
        <n v="911.0"/>
        <n v="912.0"/>
        <n v="913.0"/>
        <n v="914.0"/>
        <n v="915.0"/>
        <n v="916.0"/>
        <n v="917.0"/>
        <n v="918.0"/>
        <n v="919.0"/>
        <n v="920.0"/>
        <n v="921.0"/>
        <n v="922.0"/>
        <n v="923.0"/>
        <n v="924.0"/>
        <n v="925.0"/>
        <m/>
      </sharedItems>
    </cacheField>
    <cacheField name="Title" numFmtId="0">
      <sharedItems containsBlank="1">
        <s v="[Reject] Supposed to be Hello World"/>
        <s v="OpenCommunity Governance"/>
        <s v="Proposal"/>
        <s v="[Whitelisted Caller] Referendum #3: Upgrade Bridge Hub to v9420"/>
        <s v="PolkaWorld Ops and Maintenance proposal：2023.6 - 2023.8"/>
        <s v="KILT Decentralized Identity Provider (DIP) - Polkadot Medium Spender Proposal"/>
        <s v="Saturn Gateway - A Multichain Multisig Application for the Polkadot Ecosystem"/>
        <s v="Nomination Pool Incentives - Fixing an issue with Motion 339"/>
        <s v="Nova Wallet 4th Proposal: Multistaking dashboard, Staking Nomination Pools, WalletConnect v2, New Assets tab UI, Community Requested Features, Reimbursement for delivered features"/>
        <s v="Fix HostConfiguration"/>
        <s v="Polkashots.io Cloud Costs January-April 2023"/>
        <s v="Restructuring of Polkadot Brasil"/>
        <s v="Aibot proposal：June 2023 - August 2023"/>
        <s v="Subsquare and dotreasury new features development plan including governance statistics, dotreasury dark mode, etc"/>
        <s v="Encode Club Tranches 2 and 3"/>
        <s v="Subsquid - Public data indexing Infrastructure for Polkadot and Kusama (Q1 2023)"/>
        <s v="A Common Ledger App Compatible With All Polkadot And Kusama Parachains [ retroactive funding for development ]"/>
        <s v="Privacy Sidechains for all Substrate- Based Chains"/>
        <s v="[Whitelisted Caller] Referendum #18 Polkadot v9430"/>
        <s v="[Small Spender] Stakeworld's polkadot RPC and bootnode infrastructure - Q2 2023"/>
        <s v="Subscan | Infrastructure Costs of Subscan for Polkadot &amp; Westend &amp; Rococo &amp; Statemint &amp; Rockmine  Networks (from July to December 2022)"/>
        <s v="Ledger Apps Maintenance Proposal (Polkadot, Kusama, Statemine, Statemint)"/>
        <s v="Genesis DAO Ecosystem Integration"/>
        <s v="Polkassembly's Registrar Application"/>
        <s v="Proposal: ink! design security review by OpenZeppelin (treasury proposal 2/2)"/>
        <s v="Requesting a return of the submission deposit related to Motion #406."/>
        <s v="[OpenGov] Return of the bond for the rejection of (Gov1) Treasury Proposal #244 (MVP Workshop)"/>
        <s v="Requesting a return of the submission deposit related to Motion #405."/>
        <s v="Returning submission deposit for Anagolay proposal, related to rejecting proposal #256 (more info in the desc.)"/>
        <s v="Societal - A Homebase for Decentralized Communities"/>
        <s v="OpenGov submission of Motion 420 - Upstream funding Matrix.org Foundation"/>
        <s v="Requesting a return of the submission deposit"/>
        <s v="Milestone 2: Polkadot Hackathon Global Series 2023: Europe Edition"/>
        <s v="Encointer Treasury Proposal"/>
        <s v="RadiumBlock seeks reimbursement for Polkadot Endpoint Service (Q4 2022 and Q1 2023)"/>
        <s v="Polkadotters – retroactive and future funding of community powered media for Polkadot &amp; Kusama ecosystem in 2022-2024"/>
        <s v="OneBlock The 2023 Polkadot Summer Hackathon proposal"/>
        <s v="(Big Tipper) Small Funding for KryptosChain Media"/>
        <s v="(Small tipper) Funding for AnimatedCrypto channel "/>
        <s v="Next revision of increasing nomination pool limits &amp; commission"/>
        <s v="Pinknode Public Endpoint for Polkadot in Q4 2022"/>
        <s v="Notifi Vote RE: #1767 Notifi - Communication &amp; Notification Tooling for Polkadot's Broader Ecosystem"/>
        <s v="[Please reject] Erroneous Referendum Submission"/>
        <s v="Polkadot Relayers Incubator 2023"/>
        <s v="Treasury proposal for New Product Development &amp; OpenGov Deployment"/>
        <s v="Funded High Performance Public Infrastructure for the entire Polkadot Ecosystem (OnFinality)"/>
        <s v="Polkadot Hubs - Initiative case-study, education and support for future hubs (12 months period)"/>
        <s v="Approve Polkadot Assurance Legion Bounty"/>
        <s v="Part 1 of 2 request for 1100 DOT deposit reimbursement"/>
        <s v="Part 2 of 2 request for 1100 DOT deposit reimbursement"/>
        <s v="GovernGoofed, a proposal to tackle 3 of the most challenging issues in OpenGov V1"/>
        <s v="[Whitelisted Caller] Referendum #51: Open HRMP Channels Between System Parachains"/>
        <s v="DAO_Terminal: Enhancing User Involvement in Polkadot Governance"/>
        <s v="[Auction Admin] Referendum #53: Start an Auction"/>
        <s v="25-minute contextual primer on Polkadot 2.0"/>
        <s v="[TAKE TWO] Next revision of increasing nomination pool limits &amp; commission"/>
        <s v="Canceling Remaining Auctions and Introducing New Ones"/>
        <s v="Rust, Substrate, ink! technical content for rust developers."/>
        <s v="[Whitelisted Caller] Referendum #58: Increase Parachain Validators to 250"/>
        <s v="[Reject] incorrect preimage"/>
        <s v="A small tip for media representation"/>
        <s v="A small chatbot for the polkadot wiki"/>
        <s v="Metadata for offline signers"/>
        <s v="vote no pls , I missed preimage :("/>
        <s v="Treasury Proposal by 727.ventures: Polkadot Wink"/>
        <s v="AIWeb3 Chinese Unit proposal (爱Web3 中文社区提案)  -   PLEASE REJECT THIS, the amount of KSM is not correct!"/>
        <s v="AIWeb3 Chinese Unit proposal (爱Web3 中文社区提案)"/>
        <s v="Security Audit of trustless Ethereum 2.0 Light Client, developed as a Substrate Pallet"/>
        <s v=" Top Up request: Universal Hybrid Substrate Faucet"/>
        <s v="[FAULTY PREIMAGE, PLEASE REJECT] A Polkadot Ecosystem App Store"/>
        <s v="Finsig SDK for Apple Products"/>
        <s v="Wasm Smart Contracts Bounty #19"/>
        <s v="[Retroactive] RegionX Corehub | Parachain management"/>
        <s v="Rejecting Gov1.0 Treasury Proposals and Facilitating Bond Reimbursement where applicable"/>
        <s v="Runtime Upgrade on Kusama to v9370"/>
        <s v="canceling"/>
        <s v="Smoldot development financing Q3/2023"/>
        <s v="Blockops Network - Grant Proposal for the development of One-Click Parachain Deployment"/>
        <s v="SmallTipper"/>
        <s v="deleted"/>
        <s v="Bounty to back Apillon Web3 development platform as a common good infrastructure"/>
        <s v="OnFinality High Performance Public Infrastructure (Q2 2023)"/>
        <s v="[Staking Admin] Referendum #84: Update System Collator Sets and Configurations"/>
        <s v="DOT holders 🤝 &amp; The Kusamarian 🤖❤️"/>
        <s v="Substrate, XCM rust technical practice videos."/>
        <s v="Maintenance for the substrate-api-client Feb-23 to Apr-23  -&gt; Wrong KSM PLEASE REJECT"/>
        <s v="OnFinality Unified NFT API"/>
        <s v="Proposal: Artificial Intelligence for security monitoring on a network level "/>
        <s v="Gosemble Phase 2 - a Framework for building Substrate-compatible Runtimes in Go (Parachains &amp; Solochains)"/>
        <s v="Specialized Learning Path of Polkadot Ecosystem for Devs"/>
        <s v="Wrong $DOT amount, please nay"/>
        <s v="Infrastructure Funding for Polkadot Asset Hub - Migration of Kusama NFTs"/>
        <s v="Small tip for Polkadot community activation in Finland"/>
        <e v="#ERROR!"/>
        <s v="Milestone 2 and 3 Payment Request – YieldBay: Polkadot’s yield farming dashboard"/>
        <s v="POLKADOT INSIDER - 28 WEEKS OPERATION &amp; GROWTH FUNDING (AUGUST 2023 - FEBRUARY 2024)"/>
        <s v="Patron Milestones 2-7 Development"/>
        <s v="Polkadot Agents Program - Phase 1"/>
        <s v="Milestone 3 Proposal: Polkadot x EasyA Hackathons at Harvard and in London (#60DaysOfPolkadot)"/>
        <s v="[Retroactive] Polytope Labs: ISMP Research &amp; Development"/>
        <s v="Milestone 3: Polkadot Hackathon Global Series 2023"/>
        <s v="Polkadot journal: A Marketing Proposal for Polkadot/Kusama"/>
        <s v="Proposal: OpenZeppelin x Polkadot Ecosystem Growth"/>
        <s v="Community-Centric Blockchain Education: Dacade's Commitment to Polkadot's Growth via learning through sharing"/>
        <s v="LayerX - rollout parachain as Trustless Bridge between Polkadot and Ethereum."/>
        <s v="Polkasafe - Milestone 2 - Retroactive funding proposal"/>
        <s v="[Whitelisted Caller] Referendum #110: Update Parachain Validation Config"/>
        <s v="Propose Curator for PAL Bounty"/>
        <s v="Refunding Pink Node's GOV1 Treasury Spend Deposit"/>
        <s v="Refunding MIDL.DEV's GOV1 Treasury Spend Deposit"/>
        <s v="Refunding Radium Block's GOV1 Treasury Spend Deposit"/>
        <s v="Refunding CCTF's GOV1 Treasury Spend Deposit"/>
        <s v="PolkaWorld Ops and Maintenance proposal：2023.9 - 2023.11"/>
        <s v="Societal: Advanced Treasury, Governance and Member Management Systems for Decentralized Communities"/>
        <s v="Maintenance for the substrate-api-client Sep-23 to Dec-23"/>
        <s v="An Open Communication Layer For Polkadot"/>
        <s v="Multix - Further development and Cypress Dapp testing plugin"/>
        <s v="Crypto-Friendly Substrate Scaffold Pallets for Every Parachains"/>
        <s v="[Whitelisted Caller] Referendum #122: Register KSM on Asset Hub"/>
        <s v="Recognising Paradox's Contributions to Reject Gov 1 Proposals and Release Bonds"/>
        <s v="Magnet Proposal: Polkadot’s Smart Contract Docking Station using DOT as Gas Based on the PAYG Model"/>
        <s v="Nova Spektr Milestone 3 Proposal: Dynamic Derivations, WalletConnect v2, Proxy accounts, Cross-chain transfers, Fiat values, EVM addresses &amp; more"/>
        <s v="RadiumBlock: Retroactive funding for High Performance Public Endpoint Service for Polkadot(Q4 2022 and Q1 2023)"/>
        <s v="Void - incorrect spend submitted"/>
        <s v="Allocate DOT Loan for Use Amongst Cross-Ecosystem DeFi within the Cosmos Ecosystem"/>
        <s v="Encointer Treasury Proposal (budget halving)"/>
        <s v="Cancel Old Auctions Schedule - Replaced by New Schedule After OpenGov Inclusion"/>
        <s v="Polkadot @ SXSW 2023, Austin, Texas on March 12th-15th 2023"/>
        <s v="Unbrick Nodle"/>
        <s v="Election of curation team - bounty 19: Wasm Smart Contracts Bounty"/>
        <s v="Proposal: Building a better understanding of blockchain across mainstream global media"/>
        <s v="Moderation Team Bounty"/>
        <s v="Create &amp; implement RFC14 - Improve locking mechanism for parachains"/>
        <s v="ink!Hub Treasury Proposal "/>
        <s v="OnFinality High Performance Public Infrastructure (Q3 2023)"/>
        <s v="Moonbeam: Swap Leases with Parachain 3342"/>
        <s v="(VOTE NAY!!) Polkadot Parachain Assets Onramp Bounty Program "/>
        <s v="Increasing Hiring Success in Polkadot by Missing Link"/>
        <s v="Increase MaxMemoryPages to 512MB"/>
        <s v="Refunding AlexPromoTeam GOV1 Treasury Spend Deposit"/>
        <s v="Small Tips retroactive for Content in Portuguese UPDATED (Vote Nay - if you set AYE Change your vote to NAY)"/>
        <s v="Subsquid - Public data indexing Infrastructure for Polkadot and Kusama (Q2 2023)"/>
        <s v="KAGOME – the C++ implementation of Polkadot Host milestone 2"/>
        <s v="Ignore / Nay (Duplicate Ref) "/>
        <s v="Notifi - Communication &amp; Notification Tooling for Polkadot's Broader Ecosystem V2 Proposal"/>
        <s v="Untitled"/>
        <s v="Bounty: The Genesis Incentive Pool"/>
        <s v="Polkadot System Parachain Collators - Tips"/>
        <s v="KryptosChain Media Support (Continuation) - Big Tipper Request"/>
        <s v="ink! OpenBrush 8-9, 11 milestone delivery"/>
        <s v="Retroactive and future maintenance/development of Parachains.info"/>
        <s v="Polkadot &amp; Teddy DAO: A New Way to Leverage Charitable Giving in Web3"/>
        <s v="Polkadot System Parachain Collators - Tips - Referenda #151 failed to execute"/>
        <s v="Increase DOT media visibility through media buying and airdrop campaign"/>
        <s v="PolkaWorld Ops and Maintenance proposal：2023.10 - 2024.3"/>
        <s v="Moderation Team Bounty Curator Proposal"/>
        <s v="AIWeb3 Chinese Unit proposal (爱Web3 中文社区提案) - September, 2023 - March, 2024"/>
        <s v="Apillon Platform Milestone 1 Proposal"/>
        <s v="Polkadot P2P Network Health Weekly Reports"/>
        <s v="Polkadot Parachain Assets Onramp Bounty Program"/>
        <s v="Polkadot Nominator Insight Hub. Spreading the Best Nominator Strategies through TOP Nomination Leaderboards"/>
        <s v="Tweak Polkadot's Ideal Staking Rate"/>
        <s v="Maintenance &amp; Support Python Libraries (April to September 2023)"/>
        <s v="A French content hub for Polkadot Ecosystem"/>
        <s v="Need to get tip which is not executed in old gov"/>
        <s v="Coinsider Media Campaign for Polkadot"/>
        <s v="Get tip for substrate PR"/>
        <s v="OpenSquare infrastructure products maintenance(2023 Q2 and Q3) and a new batch of features development"/>
        <s v="Dubbing Polkadot Decoded 2023 into Italian"/>
        <s v="Proposal for USDC Sufficiency on Polkadot Asset Hub"/>
        <s v="SubQuery &lt;&gt; Nova Wallet Common API:  Maintenance Cost For Q1-Q2 2023"/>
        <s v="Polkadot Unity SDK proposal to become a Verified Solution (Part 1)"/>
        <s v="Dot Leap 2: Let's grow!"/>
        <s v="Polkadot Blockchain Academy - retroactive funding for wave 3 of the Academy held at UC Berkeley this Summer."/>
        <s v="Beyond Raw Data: How Polkascan Transforms Subsquid Aggregates into a User-Friendly Polkadot Experience (Polkadot Treasury Proposal)"/>
        <s v="Polkawatch, Decentralization Analytics, Continued Operation and Development"/>
        <s v="Featured Research Proposal: Empowering the Polkadot Ecosystem [CryptoEQ]"/>
        <s v="Polkassembly Social Contract | Maintenance proposal Q3 &amp; Q4’23"/>
        <s v="Cryptozilla - retroactive and continuation of video content production. (Big Tipper)"/>
        <s v="Proposal：Polkadot Hackathon 2023 Winter in HongKong"/>
        <s v="Public rpc services for polkadot including the common chains in Q3 2023"/>
        <s v="Encode latest tranche request"/>
        <s v="ELLIPAL Self-custody Cold Wallet 1 Proposal: DOT/KSM Tokens, Staking,ASTR &amp; GLMR Parachains&amp;Tokens,DOT/KSM/ ASTR/GLMR Swap,WalletConnect v2,Polkadot Wallet Integration"/>
        <s v="Kuma Wallet - Milestone 5"/>
        <s v="Recognizing Alice und Bob and #stakedot"/>
        <s v="Polkadot RPC services Dwellir Q3 2023 (retroactive) "/>
        <s v="Removed"/>
        <s v="DOTCAST - Pursuing quality improvement by spreading honest and true awareness."/>
        <s v="[TrackingChain] Bring Adoption for Companies: Building Infrastructure for Web2 Integration (Big Tipper Discussion)"/>
        <s v="Please vote against"/>
        <s v="Educational content maintenance proposal by Cryptonitas"/>
        <s v="Polkadot Weigher"/>
        <s v="Big Tips for Content in Portuguese - Verbo da Sabedoria Channel"/>
        <s v="Polkadot Ecosystem App Store - Dynamic App Pages &amp; Project Reputation System - dotappstore.com"/>
        <s v="Polkadot Relayers 2023 Milestone 2"/>
        <s v="Proposal: The operating cost for the research organization Polkadot Ecology Research Institute for 2023/10-2024/3"/>
        <s v="💎DOT Airdrop on Terra 2.0 ✅"/>
        <s v="Kill Referendum 203 (Scam Referendum)"/>
        <s v="Treasury Proposal: Parachain Loan Financing (PLF) Kapex Parachain"/>
        <s v="Please ignore or disapprove!"/>
        <s v="Go-Substrate-Rpc-Client - Retroactive Maintenance Grant (Sept 2021 to Dec 2023)"/>
        <s v="[Root] Referendum #208"/>
        <s v="[Retroactive Funding] Dotinsights - A Research Hub &amp; Data Platform for Polkadot &amp; Kusama Ecosystem"/>
        <s v="[Whitelisted Caller] Referendum #211: Upgrade Polkadot v1,000,000"/>
        <s v="Encointer Lease2 Treasury Proposal 2/2"/>
        <s v="KryptosChain Media (The Next Level!) - 6 Months of funding"/>
        <s v="[PRE-IMAGE FIX + RESUBMISSION] Polkadot Ecosystem App Store - Dynamic App Pages &amp; Project Reputation System - dotappstore.com"/>
        <s v="Smoldot development financing Q4/2023"/>
        <s v="Long Overdue Tip for Leemo's Contributions to the Polkadot Ecosystem"/>
        <s v="KryptosChain en Español (Polkadot ecosystem video content in Spanish) - 12 weeks funding"/>
        <s v="BlockchainBrad Educational &amp; Journalist Content - 6 Months funding"/>
        <s v="Proof-driven Whistleblowing: Decrease in the Number of Teams in the Ecosystem. Several Posts/Research by Rita2me."/>
        <s v="PolkaTube: Empowering the Spanish-Speaking Polkadot Ecosystem with RUST Programming, Substrate, and Marketing Content"/>
        <s v="Markedot: Marketplace and marketing with profits for the Polkadot and Kusama  community."/>
        <s v="Polkadot Pulse 1.0 &amp; Polkadot Networking Night @ IBW, ETHIndia Week"/>
        <s v="Proposal: Funding for the Brazilian Portuguese Language Content Producers Group"/>
        <s v="Retroactive funding for 73videos about Polkadot ecosystem(波卡梦龙)"/>
        <s v="AfterSide Crypto in Italian (Polkadot ecosystem video content in Italian) - 2 Videos"/>
        <s v="Retroactive tip for Polkadot booth at Hacktivity Security Festival 2023"/>
        <s v="Non-custodial DOT payments integration for major eCommerce platforms"/>
        <s v=" [VOTE NAY - RESUBMISSION IN PROCESS] Activation and retention of developers in Turkey and India for the Polkadot Ecosystem"/>
        <s v="Polkadot Sanctuary: A Journey of Achievements and Innovations in Bali - Retroactive funding"/>
        <s v="Polkadot Treasury USDT Acquisition"/>
        <s v="Chain Cohort Event Sponsorship - Opportunity to tap more than 1000 developers community and technology university in Vietnam."/>
        <s v="Enhance analytics solutions for Polkadot: Chainspect's Treasury Proposal"/>
        <s v="Title: Polkadot @CoindeskConsensus 2023, April 26-28, 2023 in Austin, Texas"/>
        <s v="Invalid: Events Bounty V2 Curator Candidacy"/>
        <s v="Events Bounty V2 Curator Candidacy"/>
        <s v="Retroactive Funding - Polkasafe Revised Proposal"/>
        <s v="IBC x Largest Polkadot Developer Outreach Proposal"/>
        <s v="Cancel Referendum 211 (runtime upgrade) due to bad call "/>
        <s v="Crafting a Users &amp; Developers Onboarding Funnel"/>
        <s v="Retroactive &amp; Ongoing Funding Rationale: Republik Rupiah - Turning Indonesia into the Polkadot Island's With Education and Community"/>
        <s v="BRA_16-D! Quality improvement of content for the Spanish Comunity by BRA_16-D"/>
        <s v="PROPOSAL FOR ADVANCING DECENTRALIZED FINANCE EDUCATION IN LATIN AMERICA WITH THE POLKADOT ECOSYSTEM"/>
        <s v=" Milestone 4: Polkadot Hackathon Global Series 2023 APAC Edition"/>
        <s v="Cancel Referendum 241 (runtime upgrade) due to XCM issue"/>
        <s v="PR, Content marketing, Social amplifications proposal"/>
        <s v="substrate-etl Retroactive funding: Q3+Q4 2022-Q1+Q2 2023"/>
        <s v="Cryptor. Polkadot AMAs for 2 largest Russian speaking crypto communities."/>
        <s v="Bounty Proposal: Business Prospects for Polkadot in Brazil"/>
        <s v="VOTE NAY IN THIS PROPOSAL 251"/>
        <s v="[Small Spender] Referendum #252: Retroractive funding for Web3 Education and Investment YouTube Channel Proposal"/>
        <s v="Vote (NAY) Revised the Tip Proposal - Dotgraphic "/>
        <s v="[Small Spender] Referendum #254: Retroractive funding for Web3 Education and Investment YouTube Channel Proposal"/>
        <s v="Altcoin Daily - High impact Polkadot media promotion"/>
        <s v="MASON VERSLUIS - Medium to High impact Polkadot media promotion"/>
        <s v="Addressing Polkadot's Negative Image on Twitter"/>
        <s v="DECENTRALISEDCHAIN - Low impact Polkadot media promotion"/>
        <s v="Big Tips for Subtitling and Promoting Kusamarian's Gavin Wood Interview"/>
        <s v="6 months Educational Campaign in India - Crypto India"/>
        <s v="AllInCrypto's Strategic Content and Community Engagement Proposal"/>
        <s v="Tip for Adam Steeber's participation in Dot Take"/>
        <s v="TuPrimerBitcoin: Creation of quality content on Youtube to make the Spanish-speaking Polkadot ecosystem more visible."/>
        <s v="EatYourCryptos: Creation of Educational Content in Spanish on Youtube"/>
        <s v="A Pink Proposal for $PINK"/>
        <s v="Cancel Referendum 265 - Funding 999,999 DOT for meme coin in the name of Polkadot Marketing."/>
        <s v="Revised Tip Proposal After Community Feedback - Dotgraphic "/>
        <s v="[Whitelisted Caller] Referendum #268: Polkadot v1,000,0001"/>
        <s v="Maria Andersen Crypto | Youtube Media Package Funding"/>
        <s v="Crypto Crow | Youtube Media Package Funding"/>
        <s v="Proposal to Fund educational content for MAD CRIPTO MX YouTube Channel and twitter account"/>
        <s v="Clockwise Crypto | Youtube Media Package Funding"/>
        <s v="MineYourBiz  | Youtube Media Package Funding"/>
        <s v="Advancing Decentralization:  @asteeber's Educational Video on Runtime Upgrade"/>
        <s v="Mind The Chart | Youtube Media Package Funding"/>
        <s v="&quot;Mistake in preimage - please Nay&quot;"/>
        <s v="SIAMO TUTTI NON FUNGIBILI | Youtube &amp; Social Media Package Funding"/>
        <s v="Open HRMP channels: AssetHub &lt;&gt; Composable Finance &amp; AssetHub &lt;&gt; Zeitgeist"/>
        <s v="dApp Marvels 💎 - Ink! Ecosystem growth tool"/>
        <s v="CryptoWendyO | Youtube Media Package Funding"/>
        <s v="Discover Crypto | Youtube Media Package Funding"/>
        <s v="Crypto Blood | Youtube Media Package Funding"/>
        <s v="Wrong Proposal"/>
        <s v="Decentralized Staking Support Group"/>
        <s v="Connecting The Dots "/>
        <s v="AfterSide Crypto | 6 MONTHS - Youtube &amp; Social Media Package Funding"/>
        <s v="Polkadot System Parachain Collators - Tips Q4/2023"/>
        <s v="please vote nay"/>
        <s v="Maintenance for the substrate-api-client Jan-24 to Jun-24"/>
        <s v="Please reject"/>
        <s v="Quality Content Creation and P2P support - The Bitcoin Army's Orinoco Campaign"/>
        <s v="The HGA Marketing Proposal"/>
        <s v="Wrong Preimage please vote Nay"/>
        <s v="VOTE NAY - WE ARE REPOSTING - Polkadot Brand Awareness Partnership with Real Vision (Raoul Pal)"/>
        <s v="ignore - UI errors"/>
        <s v="Holder-targeted Audience Growth w/  Addressable.io &amp; The Kusamarian"/>
        <s v="Polkadot's Educational Campaign India: A Wise Advice Initiative"/>
        <s v="Effective Media Proposal Evaluation System for the Polkadot Marketing Collective/s (Stage 1: Focus on Builders)"/>
        <s v="Easybuild. Fast Path for Future Polkadot Builders committed to building."/>
        <s v="Nova Wallet 5th Proposal: Cloud backups, Push Notifications, Proxies, Deeplinks, OpenGov improvements, Network management, Reimbursement"/>
        <s v="Reward for Content already made on Rust"/>
        <s v="Supercharge Polkadot's Brand: Collaborative Partnership with (Mario Nawfal) IBC Ventures"/>
        <s v="Bounty 27 Curator Committee Proposal "/>
        <s v="YouTube Polkadot Round Table Discussion"/>
        <s v="Toni Ghinea - Creating Polkadot Content"/>
        <s v="DAPP CENTRE | Youtube Media Package Funding"/>
        <s v="Talisman Wallet - Retroactive Proposal #1"/>
        <s v="Subscan | Infrastructure Costs of Subscan for Polkadot &amp; Westend &amp; Rococo &amp; Statemint &amp; Rockmine  Networks (from January to September 2023)"/>
        <s v="Oracle Ecosystem Initiative"/>
        <s v="KryptosChain Short Term Funding"/>
        <s v="#ERROR PLEASE VOTE NAY"/>
        <s v="https://github.com/paritytech/polkadot-api/pull/200"/>
        <s v="#ERROR PLEASE VOTE NAY!"/>
        <s v="Bring Adoption for Companies: Empowering BlockSpace with PolkadotSDK as the Core Infrastructure"/>
        <s v="“NacionCrypto” Establishment of Study Group and Development of Technical and Non-Technical Content."/>
        <s v="Increase Awareness of Polkadot On-Brand Narratives via Twitter Ads"/>
        <s v="Bitskwela - Bringing Polkadot to the Thriving Philippine Web 3.0 Community"/>
        <s v="Posted in error please vote nay"/>
        <s v="A 12-Month Strategic Alliance proposal: Polkadot and Cheeky Crypto Partner for Decentralized Innovation"/>
        <s v="Polkadot Brand Awareness Partnership with Real Vision (Raoul Pal)"/>
        <s v="Building Developer Ecosystems In Turkey &amp; India"/>
        <s v=" Crypto Sj Media proposal - Educational &amp; Awareness  Campaign in India"/>
        <s v="Alpha Airdrop - Polkadot Education Content Creation Proposal (6 months)"/>
        <s v="Corespace Weigher"/>
        <s v="DOT Request - UPDATE REJECT THIS REQUEST"/>
        <s v="OG Tracker"/>
        <s v="Proposed Polkadot Auction Schedule 2024"/>
        <s v="Treasury Proposal: An expansive course on Substrate and Polkadot"/>
        <s v="Development &amp; Maintenance for Node Red Polkadot bridge, a Client for Low Code IoT Integration"/>
        <s v="Polkadot Sponsorship @Token 2049, Singapore on September 13th - 14th 2023"/>
        <s v="Polkadot Colombia Ambassadors: technology education marathon through ten universities in Colombia and one in San Salvador."/>
        <s v="Open HRMP channels between AssetHub and Polimec"/>
        <s v="test"/>
        <s v="Polkadot Ecosystem Growth with Key Opinion Leaders"/>
        <s v="Business Expansion with Fintech, Corporate and Institutions in Spain and Andorra"/>
        <s v="Funding for 6 months of Polkadot brand promotion"/>
        <s v="Lark Davis - Proposal for Funding Polkadot Content Creation"/>
        <s v="Bounty Proposal for Public RPCs for Relay and System Chains"/>
        <s v="Scholarship for Polkadot Blockchain Academy Founder's Track"/>
        <s v="Cancel Ref 341 - Dolpha.com seeking 150,000 DOT "/>
        <s v="Polkadot Workshop @ UPR Mayaguez"/>
        <s v="sub0 Asia 2024 - pre-funding request"/>
        <s v="Proposal for the Deregistration of Equilibrium Parachain"/>
        <s v="Financial Support for Polkadot Blockchain Academy (PBA)."/>
        <s v="Polkadot IRL ADS Campaign #1 - Out of Home Digital Billboards, Toronto Canada"/>
        <s v="Influencer Marketing Campaign for Polkadot Community Engagement"/>
        <s v="Polkadot Staking Dashboard: Maintenance and Growth of Polkadot UX Proposal"/>
        <s v="Amplification of important ecosystem posts on X"/>
        <s v=" Polkadot Unity SDK proposal to become a Verified Solution (Part 2)"/>
        <s v="Magnet Milestone 2 Proposal: Polkadot’s Smart Contract Docking Station using DOT as Gas Based on On-demand Coretime Model"/>
        <s v="Retroactive Funding to Pepe Araucano for the Polkadot Meetup Buenos Aires"/>
        <s v="Bagpipes - Powerful No-code Cross-Chain XCM Dapp and Workflow Builder for the Polkadot Ecosystem 🪄"/>
        <s v="Funding of Polkadot System Parachain Collators"/>
        <s v="[Retroactive] Funding Development Costs for Dot Code School PoC - An Interactive Coding School to Build Meaningful Web3 Applications using the Polkadot SDK"/>
        <s v="WagMedia - Collective Content Creation for 26 Weeks"/>
        <s v="substrate-etl 2.0: Polkadot + Kusama Data on Dune (12 months, 3/15/24-3/14/25)"/>
        <s v="Polkadot Music Events Initiative - onboarding fans, artists and builders to Polkadot through music"/>
        <s v="Big Tipper Proposal : Retroactive fund - Meetup Multi Chain 2023 - Curitiba, Brazil "/>
        <s v="2nd installment for the referendum #196 already approved (2/3)"/>
        <s v="RegionX | Coretime Marketplace for Polkadot"/>
        <s v="Milestone 4 Report: Polkadot x EasyA Hackathons at Harvard and in London (#60DaysOfPolkadot)"/>
        <s v="Subsquid - Public data indexing Infrastructure for Polkadot and Kusama (Q3 2023)"/>
        <s v=" Proposal for retroactive funding of Fellowship product development."/>
        <s v="Ignite Polkadot | Campaign #1"/>
        <s v="Polkadot Blockchain Academy - funding and reimbursement for costs associated with Wave 4 in Hong Kong."/>
        <s v="Unchained (by Laura Shin) X Polkadot - Sponsorship Proposal "/>
        <s v="Tip for maintenance of the ORML pallets"/>
        <s v="Reimburse AssetHub HRMP channel deposit"/>
        <s v="NFT XCM"/>
        <s v="Setting the relay chain's safeXcmVersion to v3"/>
        <s v="BLOX MEDIA GROUP - Media Package"/>
        <s v="Continuous Coverage on Ivan on Tech for a FULL YEAR"/>
        <s v="Executive Search for PolkaDot - Senior BD Executive Search for PolkaDot "/>
        <s v="Boosting NFT Education in Latin America with the Polkadot Ecosystem"/>
        <s v="Community Memecoin launch marketing campaign"/>
        <s v="Polkadot Decoded 2023, final tranche (June, Copenhagen, DK)"/>
        <s v="Promoting the adoption of Polkadot through Gaming - The Great Escape"/>
        <s v="A Chain of Blocks - ACOBJason - 6 Months Continual Polkadot EcoSystem News &amp; Explanations"/>
        <s v="THIS PROPOSAL IS AN ERROR. PLEASE IGNORE: THE AMOUNT IS NOT CORRECT. PLEASE VOTE NAY. "/>
        <s v="Marketing Support NoSpec"/>
        <s v="(please read the important update first) To build the Sónar +D DAO by Polkadot: How blockchain can revolutionize the music industry."/>
        <s v="Finding and fixing a vulnerability in broker-pallet"/>
        <s v="Assigning a Curator to Bounty 32 (System Parachain Collator Bounty)"/>
        <s v="Twitter Kols Outreach"/>
        <s v="Universal Hybrid Substrate Faucet"/>
        <s v="Maintenance &amp; Support Substrate Python API (Oct-Dec 2023)"/>
        <s v="Error in Submission and Address"/>
        <s v="Small tip to CultureDot for their efforts to market Polkadot at Times Square."/>
        <s v="Approve Current Fellowship V and VI Dan Members"/>
        <s v="Proposal: Polkadot Brand Awareness Campaign with Crypto Banter - Ran Neuner / PLEASE VOTE NAY"/>
        <s v="Marketing Bounty"/>
        <s v="Re-submission: Open HRMP channels between AssetHub and Polimec"/>
        <s v="Web3 Association 2024 Sponsorship"/>
        <s v="Error! Please vote NAY"/>
        <s v="Representing Polkadot on Radio Intereconomía &amp; BDZ, the Main Spanish Web3 Event"/>
        <s v="Treasury Proposal for Zeeve Wrench - an open-source Parachain Automation Framework"/>
        <s v="ink! + Ethereum RPC = ethink!. Proposal-01: PoC and Prototype."/>
        <s v="Polkadot Southeast Asia Developer Community Expansion for 1 Year Operation"/>
        <s v="Curators Candidates - Bounty #28"/>
        <s v="Polkadot Developers Conference // sub0 September 19-20, 2023 in Lisbon, Portugal - Final tranche"/>
        <s v="Polkadot in Finance: A Strategic Partnership Development Proposal"/>
        <s v="Building a Polkadot Hub for DevRels, Talent Pipeline and Potential Deal Flow for the Polkadot Ecosystem from the Philippines"/>
        <s v="Open HRMP Channels Between AssetHub And InvArch"/>
        <s v="Behind the Code II' - A Web Documentary series - OpenGov proposal "/>
        <s v="Upgrade Polkadot v1,001,000"/>
        <s v="Marketing Support NoSpec Tipper 2"/>
        <s v="PolkaWarriors - Cultivate a robust &amp; collaborative community of Polkadot in Vietnam"/>
        <s v=" Illustrated Book: &quot;The Sacred Coin Quest&quot; - Create a Collective Memory"/>
        <s v="Big Tip for Content in Portuguese - Verbo DotSama"/>
        <s v="Retroactive tip for Polkadot hackathon brunch in Dubai and Budapest"/>
        <s v="DOT Experts Tip for Hector Bulgarini for Proposal #379: NFT XCM"/>
        <s v="Proposing Curators for Bounty #31"/>
        <s v="Encode Club x Polkadot Education Programming 2023 - A Summary Report of Tranche 4 to Request Funding for Tranche 5"/>
        <s v="Treasury Proposal: Marketing and media proposal for Polkadot in China"/>
        <s v="Private Transfers of DOT"/>
        <s v="Encode x Polkadot 2024 Programming"/>
        <s v="Update Sufficient Asset Minimum Balances"/>
        <m/>
        <s v="Open HRMP channels between AssetHub and Hashed Network"/>
        <s v="Polkadot Watchdogs Governance Monthly Incentive Referendum #1 - VOTE NAY"/>
        <s v="Treasury Proposal: DOT liquidity loan for Bifrost DOT liquid staking token (vDOT) to be returned + DOT Staking rewards to Polkadot Treasury"/>
        <s v="Press Kit Polkadot 2.0"/>
        <s v="Approval of curators for Bounty 33 (marketing bounty)"/>
        <s v="Retroactive reimburesement for para upgrade fees contributions"/>
        <s v="Integrating Polkadot Blockchain for Decentralized Electric Vehicle Charging Network"/>
        <s v="Open HRMP channels between AssetHub and Unique Network"/>
        <s v="Retroactive Funding for ORML, Chopsticks, and Subway"/>
        <s v="Clean up undecodable storage entry"/>
        <s v="DOT Experts Tip for OnlyDeFiGuy for Proposal #432 | Bifrost vDOT liquidity loan"/>
        <s v="OpenZeppelin x Polkadot Ecosystem Growth Phase M2"/>
        <s v="Update Polkadot Asset Hub v1,001,001 and Sufficient Asset Minimum Balances"/>
        <s v="Cancelling Referenda 416, 428, and 443 in a batch"/>
        <s v="[PLEASE REJECT] Bridging Minds with TEACHMEDEFI: Growing Polkadot‘s Mindshare in the Crypto Space"/>
        <s v="POLKADOT IRL CAMPAIGN #2 - BERLIN TAXIS"/>
        <s v="Polkadot Branding and Differentiation Partnership with Cointelegraph"/>
        <s v="[Retroactive] SubWallet 14 Months Development"/>
        <s v="Mistake in pre-image - please vote NAY"/>
        <s v="Project Glove: Introducing Capital Efficiency and Pseudo-Anonymity on top of OpenGov"/>
        <s v="Redot #1: Polkadot Restaking and Enabling Polkadot DA Capabilities"/>
        <s v="Dota: Build up an Inscription Ecosystem on Polkadot"/>
        <s v="De-register parachain ID 2057"/>
        <s v="CryptoRank.io Exclusive Proposal: Empowering Polkadot’s Presence in the Crypto Sphere and Attracting New Active Users"/>
        <s v="The Polkadot Caravan Tour: Bridging the Gap in the U.S. Crypto Landscape"/>
        <s v="USDT and USDC Acquisition for the Treasury"/>
        <s v="Upgrade System to v1.1.2"/>
        <s v="Tip for 2023 Treasury Budget Analysis"/>
        <s v="Tip for Educational Content: OpenGov Thought Leadership"/>
        <s v="3nd installment for the referendum #196 already approved (3/3)"/>
        <s v="Retroactive Funding for Mimir - A Powerful Multisig Management Application For Polkadot Ecosystem"/>
        <s v="Polkadot Hackathon Global Series 2024: North America Edition"/>
        <s v="Paseo - Developer Testnet Funding"/>
        <s v="Polkalator"/>
        <s v="Polkadot-API: development financing"/>
        <s v="Project Proposal: Integration &amp; Support for  Moonbeam"/>
        <s v="Setup of two Swiss Foundations for DED and Mythos"/>
        <s v="Games Bounty [38]"/>
        <s v="BD Bounty [39]"/>
        <s v="Big Tip for a Portuguese/English educational channel"/>
        <s v="Big Tip For Market Mobster Polkadot Content Since 2020"/>
        <s v="Compensate for insufficient `phragmenElection.renounce` unreserve amount"/>
        <s v="Tutorial Media funding for KryptosChain"/>
        <s v="NoSpec Content Creator Support. "/>
        <s v="Polkadot Decoded 2024 treasury spend tranche 1/2"/>
        <s v="Small Tips for Retroactive Content"/>
        <s v="ETHDenver 2024 - Polkadot - Event Recap Video Marketing - Amplify Presence at One of the Largest Blockchain Conferences"/>
        <s v="Retroactive tip for work done on exchanging a member in the ranked collective"/>
        <s v="Formation of new space. Eliminate blockage. Developed for peace!"/>
        <s v="Veles project proposal - Carbon credits pallet"/>
        <s v="Polkassembly Social Contract 2024"/>
        <s v="Polkadot Moderation Team Bounty Top-up"/>
        <s v="Polkadot Ecosystem Discord Risk Mitigation"/>
        <s v="Retroactive Tip For Independent Content Creation"/>
        <s v="Polkadot Ambassador Program"/>
        <s v="Refill Marketing Bounty [33]"/>
        <s v="Setting setOnDemandQueueMaxSize to 500"/>
        <s v="Funding Development Costs to Expand Dot Code School – Bridging the Gap Between Online Learning and Real-World Web3 Development with Local Coding Environments"/>
        <s v="Polkadot Greece (Retroactive)"/>
        <s v="Proposal: 2024 Polkadot Decoded China (Hong Kong) July 27-28 (Time TBD, usually two weeks after the Flagship Decoded)"/>
        <s v="LiteSend - remittance service secured by Polkadot"/>
        <s v="Implementing a Polkadot-native system parachain for data storage: Phase 1/3"/>
        <s v="The Sónar+D DAO by Polkadot"/>
        <s v="DeFi Infrastructure &amp; Tooling Bounty"/>
        <s v="Bounty Proposal: Business Development Polkadot in Spain &amp; Andorra - VOTE NAY"/>
        <s v="Dot Amplify"/>
        <s v="Swissborg Proposal - A One Month Polkadot Awareness Campaign "/>
        <s v="Unified Wallet And Dapp Interaction"/>
        <s v="Tip for Longtime Polkadot Supporters CryptoWise"/>
        <s v="Treasury Proposal: Futarchy, a New Signal Generating Tech for Polkadot Governance"/>
        <s v="Milestone 1: EasyA x Polkadot Developer Growth via In-Person Hackathons and Crash Courses (#180DaysOfPolkadot)"/>
        <s v="Retroactive funding for developing the RFCs Referenda Bot"/>
        <s v="Set `safeXcmVersion` to 3 for AssetHub, Collectives and BridgeHub"/>
        <s v="[Medium Spender] Referendum #506"/>
        <s v="Polkadot Community Workspace NYC by Transistor"/>
        <s v="Polkadot sponsorship for LIFT Learning - A Fenasbac + Central Bank of Brazil initiative"/>
        <s v="Approval of curators for Bounty 39 (BD bounty)"/>
        <s v="Approval of curators for Bounty 38 (Games bounty)"/>
        <s v="Dot Latam Day 2023 (Retroactive)"/>
        <s v="Big Tipper Proposal: ETHDenver Official Afterparty (Bash) Polkadot Airdrop "/>
        <s v="Open HRMP Channels between AssetHub and Crust Network"/>
        <s v="Conor Daly - 2024 Indianapolis 500 Sponsorship"/>
        <s v="Marketing Bounty Flex [#41] - VOTE NAY"/>
        <s v="Bounty Cleanup Proposal"/>
        <s v="Polkadot Desktop Wallet Tutorial by Altcoin Daily"/>
        <s v="Parachain Runtime Builder - Treasury"/>
        <s v="Tip for Common Good Referendum Deposit Clean-up and Validator Payout Bot"/>
        <s v="Representation of Polkadot at the NERDCONF 6th Edition event in Mexico City at the BBVA Tower."/>
        <s v="Explainer video for Polkadot 2.0 - easy and understandable "/>
        <s v="(PLEASE REJECT) Read below if you are a PolkadotJS user"/>
        <s v="Rising Karting Star Seeks Polkadot Partnership(withdrawn)"/>
        <s v="Transfer the Lease of Bifrost Parachain 3356 to Bifrost Parachain 2030 to avoid downtime"/>
        <s v="Polkadot marketing proposal in Chinese speaking areas"/>
        <s v="Bounty proposal: Business Development Polkadot in Spain &amp; Andorra"/>
        <s v="Reimbursement for lost pool rewards"/>
        <s v="Error - Vote NAY"/>
        <s v="Refill for marketing bounty number #33 [250k]"/>
        <s v="1TRIBE: Africa On DOT - Phase II"/>
        <s v="Bounty Proposal: [Spanish content and event production bounty]"/>
        <s v="Meetups Bounty [#43]"/>
        <s v="NOTE - Vote Nay [Incorrect Preimage]"/>
        <s v="Inscriptions generator and marketplace (tender offer)"/>
        <s v="Vote Nay"/>
        <s v=" Polkadot Developer Community in China Expansion for 1 Year Operation"/>
        <s v="POLKADOT &lt;&gt; KUSAMA BRIDGE SECURITY BOUNTY"/>
        <s v="Chopsticks Web for dry run governance proposals and more"/>
        <s v="OpenGov Discord Voting Bot Development"/>
        <s v="Retroactive Small Tips for Content (February)"/>
        <s v="Talisman Unified Retroactive Proposal #2"/>
        <s v="Initialize Kusama GRANDPA light-client running on Polkadot BridgeHub"/>
        <s v="Request for transferring all the DOT from the hacker's account to the Starlay's account"/>
        <s v="Replaced by Proposal #551 Amharic Chain Polkadot Academy to Small Spender Track"/>
        <s v="[VOTE NAY] DED Token birthing phase: &quot;EDs&quot; and technical proposal | On-Demand Governance for Assets on Asset Hub. "/>
        <s v="SHITTY PROPOSAL SORRY "/>
        <s v="PolkaMAPS, a DOTins project"/>
        <s v="AmharicChain Polkadot Academy"/>
        <s v="Token Terminal x Polkadot data partnership - Polkadot ecosystem on Token Terminal and their partner platforms (Bloomberg, MarketVector)"/>
        <s v="Polkadot Pulse Dubai Edition &amp; Networking Night @ Token2049, Dubai"/>
        <s v="{bash} Events (the PMEI team) - a music and technology sandbox | onboarding users into Polkadot through music"/>
        <s v="DED Bounty - VOTE NAY"/>
        <s v="BD Bounty (retry)"/>
        <s v="Games Bounty (retry)"/>
        <s v="Infrastructure funding for Polkadot Asset Hub #2 -  Components"/>
        <s v="Polkadot Hydration: Treasury LP"/>
        <s v="Polkadot Hydration: Liquidity Incentives"/>
        <s v="AMI Bounty Program"/>
        <s v="Cancelling DED Tech Proposal, and Deferring to DED Bounty Fund"/>
        <s v="Please vote to reject! The preimages hash is incorrect."/>
        <s v="Pinkdrop: Powering User Engagement and Ecosystem Growth"/>
        <s v="Proposal: Codigo Brazuca + Polkadot Brazil - Tech Academy - from Basic to Advanced  -  8 Months Track"/>
        <s v="Retroactive Tip For Solo Content Creation"/>
        <s v="Duplicate of #545 - please ignore"/>
        <s v="Please vote to reject! The preimages hash is incorrect"/>
        <s v="PolkaWorld Ops and Maintenance proposal：2024.4 - 2025.4"/>
        <s v="Polkadot Anti-scam Team Bounty Top-up"/>
        <s v="Big Tip for Polkadot Brasil on X"/>
        <s v="Continuation of work through Messari Protocol Services"/>
        <s v="Increase Awareness of Polkadot On-Brand Messages via Twitter Ads (5/1/24-12/31/24)"/>
        <s v="StellaSwap Incentive Program"/>
        <s v="Polkadot Runtime Upgrade v1.1.3"/>
        <s v="Kalatori — non-custodial Polkadot/AssetHub payment gateway for eCommerce"/>
        <s v="PBA referendum - vote NAY - incorrect preimage"/>
        <s v="Polkadot Blockchain Academy - Wave 5 in person and remote - Singapore 20th May to 20th June 2024"/>
        <s v="Request withdrawn - replaced by whitelisted caller #593"/>
        <s v="Vote NO - Mistake in submission - New referenda coming shortly -  Polkadot @ Coindesk Consensus"/>
        <s v="Nomination Pool: Remove max pool and max member limits"/>
        <s v="Polkadot @ Coindesk Consensus"/>
        <s v="VOTE NAY - ERROR IN PREIMAGE"/>
        <s v="Fund system chains sovereign accounts on Polkadot BridgeHub for Polkadot&lt;&gt;Kusama bridge"/>
        <s v="Open HRMP Channels between AssetHub and Mythos"/>
        <s v="Error - Vote no"/>
        <s v="Requesting a refill for marketing bounty number #33"/>
        <s v="Brave Browser Advertising Campaign Discussion"/>
        <s v="Proposing Curators for the DeFi Infrastructure &amp; Tooling Bounty"/>
        <s v="Polkadot Live: Proposal for funding community driven development to initial release."/>
        <s v="Funding for Decentralized Social Media Editorial Board"/>
        <s v="A small tip for a staking rewards calculator"/>
        <s v="VOTE NO. Mistake in submission - New referendum coming shrtly"/>
        <s v="Lawsuit against Giotto Bounty"/>
        <s v="Mistake vote NO"/>
        <s v="This is a tip request for Boosting NFT Education in Latin America with the Polkadot Ecosystem"/>
        <s v="Contribution to the Italian Polkadot Community: Funding Request"/>
        <s v="Manta Wallet Retroactive Funding"/>
        <s v="Telenova: Polkadot Wallet built into Telegram. Retroactive Funding for 6 months"/>
        <s v="Setting onDemandBaseFee to 0.025 DOT"/>
        <s v="Polkadot x The Tie Partnership to Increase Institutional Exposure and Access"/>
        <s v="Integration of Polkadot into ChatG (An Ai Chat Startup)"/>
        <s v="Set BEEFY genesis (thus starting BEEFY consensus on Polkadot)"/>
        <s v="Conor Daly Indy500 Replacement Ref"/>
        <s v="PolkaBot.AI - Decentralized AI education hub on Polkadot "/>
        <s v="Subsquid Migration to ArrowSquid &amp; Indexing Upgrades"/>
        <s v="ink! Analyzer: Retroactive funding for ink! v5 support"/>
        <s v="VOTE no, wrong track"/>
        <s v="Discord Governance Bot Self Tip Request - 0xTaylor"/>
        <s v="Polkadot Growth Index 📈 and AI Insights 💡"/>
        <s v=" Vote Nay"/>
        <s v="Technical Support Bounty #625"/>
        <s v="[Big Tipper] Referendum #626"/>
        <s v="Proposal for Polkadot OpenGov Funding: WEB3DEV Bootcamp for Rust and Pallets Learning"/>
        <s v="Tip for Adam Steeber + Kusamarian concerning #514 Conor Daly - 2024 Indianapolis 500 Sponsorship"/>
        <s v="[Revision] Nomination Pool: Remove max pool and max member limits"/>
        <s v="Subsquare polkadot fellowship support milestone 1"/>
        <s v="TEACHMEDEFI - Growing Polkadot’s Mindshare in the Crypto Space"/>
        <s v="DOTCAST /This_is_the_DOT"/>
        <s v="OG Tracker 2.0"/>
        <s v="REJECT"/>
        <s v="Approval of curators for Bounty 43 (Meetup bounty)"/>
        <s v="Tip for 7 Polkadot Decentralized Voices"/>
        <s v="Bump parachain validation timeouts"/>
        <s v="Curators Candidates - Bounty #42"/>
        <s v="Polkadot in Spanish X account and Marketing Decentralization"/>
        <s v="Maintenance &amp; Support Substrate Python API (Jan-Mar 2024)"/>
        <s v="Mythical Games and Polkadot, a proposal from Mythos Foundation Swiss"/>
        <s v="#644 Polkadot - Sports Sponsorship Fund"/>
        <s v="Set Asset Rates for Treasury Assets"/>
        <s v="CURATORS PROPOSAL FOR BOUNTY 44 - POLKADOT &lt;&gt; KUSAMA BRIDGE SECURITY BUGBOUNTY"/>
        <s v="Polkadot.JS API UI enhancements"/>
        <s v="Upgrade Polkadot to Release v1.2.0"/>
        <s v="Infrastructure Builders Program Bounty"/>
        <s v="(Vote Nay) Polkadot Ecosystem growth campaigns"/>
        <s v="The Block x Polkadot"/>
        <s v="Test Proposal - Please Vote Nay"/>
        <s v="Magnet Milestone 3 Proposal: An Appchain Tech Stack leverages the Coretime Model to enhance DOT use cases and facilitate Polkadot's growth"/>
        <s v="Polkadot AmharicChain Hub: Mastering Polkadot | Empowering Learning"/>
        <s v="POLKADOT IRL CAMPAIGN #5 - POLKADOT X LYFT NYC"/>
        <s v="PolkaBiz  - Where founders forge investment-ready innovations."/>
        <s v="Semi-Retroactive &amp; Ongoing Funding for Cryptopolitan for Media Boost, Engagement, and Reach 2024 "/>
        <s v="Tip for Polkadot Presentation at Vienna Crypto Meetup"/>
        <s v="Tip Request for @OnlyDeFiGuy for the Expert Report on Referendum #561"/>
        <s v="Wrong amount vote nay"/>
        <s v="Polkadot Beam Sponsorship at ETHPrague 2024"/>
        <s v="⧓ Apillon Platform - Milestone 2 Proposal"/>
        <s v="Polkadot Fleet of Bikes in Paris for the Olympic &amp; Paralympic Games : A Unique &amp; Massive Marketing opportunity."/>
        <s v="Retroactive Tip for Portuguese Content Creation"/>
        <s v="52 Weeks of Kus Coverage ❤️🤖"/>
        <s v="Polkadot Drone Shows Over VELD Music Fest (100K+ Attendance) - Brand Awareness + PR Campaign"/>
        <s v="Retrospective Funding Proposal of the Polkadot HK Event"/>
        <s v="Infinity Wallet - A unique native desktop Wallet &amp; Web3 Browser - Milestone 1"/>
        <s v="Retroactive self-tip Request for Maintenance and Ongoing Development Validator Dashboard and Services"/>
        <s v="Retroactive Polkadot Event in Guadalajara Mexico - Talent Land 2024"/>
        <s v="Improving Polkadot’s Presence In the U.S. With The Texas Blockchain Council"/>
        <s v="Nova Spektr Milestone 4 Proposal: OpenGov voting and delegation, Support for complex account structures, Flexible multisigs, Operation basket, Assets Portfolio view, Fellowship voting, Web-hosted app"/>
        <s v="Polkadot Aligned Sponsorship at Proto Layers @ Prague [cancelled]"/>
        <s v="Polkadot Dapps over Apps"/>
        <s v="Proposal for Ensuring Continuity in Creating Content about Polkadot - VOTE NAY. THE PREIMAGE PROPOSAL IS PULLED"/>
        <s v="Initialize Snowbridge on BridgeHub and AssetHub"/>
        <s v="Proposal for JAM Ratification, Conformance, Performance by Polkadot Fellows"/>
        <s v="Pop Network | Enabling simple and powerful smart contract development, with DOT"/>
        <s v="Chainalysis analytics solutions on Polkadot Relay Network"/>
        <s v="Polkadot Q2 Marketing Campaigns by Distractive "/>
        <s v="Proposal for Klaster Integration into the Polkadot Ecosystem"/>
        <s v=" Integration of Avata with the Polkadot Ecosystem"/>
        <s v="Enable async backing on polkadot"/>
        <s v="Curators Candidates - Bounty #40"/>
        <s v="G6 Networks: Polkadot Ecosystem Expansion with Institutions"/>
        <s v="Proposal for unlocking $PINK from Phala soverign account to sibling account"/>
        <s v="Polkadot Bridge Hub 1.2.2 upgrade: Unstuck bridge with Kusama"/>
        <s v="Polkadot-API: Apr-Jul development financing"/>
        <s v="（Wrong commit! Please vote NAY）"/>
        <s v="Sponsorship and Side Event: Merge Madrid"/>
        <s v="The operating cost for the research organization Polkadot Ecology Research Institute for 2024/4-2025/3"/>
        <s v="BlockDeep Labs: Ecosystem Services Proposal for Polkadot Treasury"/>
        <s v="Restrict delegations on root and treasurer tracks"/>
        <s v="Elevating the Polkadot Ecosystem: Encode x Polkadot Programme 2024 "/>
        <s v="Approve the Polkadot EVM Collective"/>
        <s v="Reducing duration of spending periods"/>
        <s v="Reducing inflation - VOTE NAY"/>
        <s v="Wrong preimage - Please vote NAY"/>
        <s v="Test the brand-new spend() extrinsic"/>
        <s v="Ongoing Development of Gossamer (16 months)"/>
        <s v="NFT in Polkadot, the first book on NFTs in the Polkadot ecosystem."/>
        <s v="Retroactive Funding Request for PolkadotPrague 2023 Marketing Costs"/>
        <s v="Implement Optimistic Project Funding"/>
        <s v="VOTE NO - DUPLICATE"/>
        <s v="Incentivize Interlay iBTC capacity as Polkadot common good"/>
        <s v="Tip Request for Fardeen Haque for Awesome Dot"/>
        <s v="Proposal Outdated - Do Not Vote: LAOS already won Auction 68 with SF Bid"/>
        <s v="Establishing an Insurance Bounty to increase fiscal efficiency of Polkadot treasury"/>
        <s v="Top Up for Polkadot at Consensus "/>
        <s v="Polkadot @ Coinfest Asia 2024"/>
        <s v="TIP: Gamer Streaming Reimbursement"/>
        <s v="Open HRMP channels between AssetHub and SORA"/>
        <s v="ink! + Ethereum RPC = ethink!. Proposal-02: Getting Testnet-Ready."/>
        <s v="REJECT "/>
        <s v="The Gray Paper Interview' Retrospective Funding for Post-Production"/>
        <s v="Please vote NAY - Wrong preimage"/>
        <s v="#727 Semi-Retroactive Proposal for the translation of the Polkadot Wiki to Hungarian"/>
        <s v="Polkadot Insider 52 weeks Operation (May 2024 - May 2025)"/>
        <s v="Tip Ajay Dhore for transferring the polkadot_api npm package"/>
        <s v="Proposal: Establish the Polkadot Community Foundation to represent DOT holders IRL"/>
        <s v="Marketing support to help raise a new  US$100 Million Polkadot Ecosystem Fund"/>
        <s v="Please, VOTE NAY"/>
        <s v="Decoded 2024 Sponsorship for active community members"/>
        <s v="PREMATURE UN-NOTE OF PREIMAGE - BERLIN TAXI - REFILL #1 - WILL NOT EXECUTE"/>
        <s v="Reimbursement - Polkadot Pulse Dubai Edition &amp; Polkamix w/ Afrojack @ Token2049, Dubai"/>
        <s v="Kampela hardware cold signer productizing proposal"/>
        <s v="Onboarding Established Generative Artists to Polkadot Asset Hub and driving user engagement"/>
        <s v="Polkadot Blockchain Academy Wave 5 Singapore - Demo day seed prize fund proposal"/>
        <s v="Changing the curves of the referendums that were affected by extended confirmation periods"/>
        <s v="Move Part of Treasury to Asset Hub"/>
        <s v="CoinMarketCap x Polkadot 6 months integration (Renewable)"/>
        <s v="Express Lane"/>
        <s v="Empower Polkadot Playground - Educate With Game For Highschool and University"/>
        <s v="MobilePolka: Unveiling Polkadot's Depths on the Go"/>
        <s v="Polkadot 2.0 Definition"/>
        <s v="Bringing Stellar Liquidity to Polkadot: Loan DOT Collateral for Pendulum’s Spacewalk Bridge Vaults"/>
        <s v="Runtime Verification: Advanced Rust Property Test Verification for Polkadot Ecosystem"/>
        <s v="Propose Curator for IBP"/>
        <s v="Polkadot @ Blockchain Rio 2024"/>
        <s v="Should we abolish DV?"/>
        <s v="Learn Polkadot Tip for Polkadot Brand Being Elevated by Conor Daly and Inter Miami"/>
        <s v="PRE-IMAGE ERROR - VOTE NAY"/>
        <s v="Pilot MOU Proposal for a Collaboration between the Polkadot Ecosystem and the Founder Institute:"/>
        <s v="Test the brand-new spend() extrinsic (resubmission of 708)"/>
        <s v="Replacing curators for events bounty 17"/>
        <s v="Open source alternative to centralized polkadot API gateways and node as a service"/>
        <s v="POLKADOT IRL CAMPAIGN #6 - THE CITY &amp; CANARY WHARF, LONDON UK"/>
        <s v="Retroactive Payments for {bash} + adding Zebu Live Official Closing Party"/>
        <s v="HEROIC x Polkadot sponsorship"/>
        <s v="The JAM Spring Time Tour &amp; Top Up - The Kus x Key Pictures"/>
        <s v="Retroactive Tip - Reimbursement for Miami trip wrt Polkadot x Inter Miami proposal"/>
        <s v="Replacing curators for event bounty 17 (backup)"/>
        <s v="OG Tracker 2.0 Top Up"/>
        <s v="Recovering lost funds for local initiative"/>
        <s v="2nd Milestone Request for Rewards and Fees for Polkadot Prodigy Hackathon 2024"/>
        <s v="Make DED the official meme coin of Polkadot"/>
        <s v="dotafair: Fair Launch Chain,  A zero-threshold Fair Launch platform aims to build a DOT-based public benefit chain ecosystem, adding more use cases and adoption for DOT."/>
        <s v="Pease VOTE NAY, parameter is wrong"/>
        <s v="AIWeb3 Chinese Unit(爱Web3 中文社区) operation June. 2024 - Dec. 2024"/>
        <s v="DOTphin Event Multipass by Sovereign Nature with WalletConnect integration &amp; upgradeable, dynamic NFTs by Unique Network"/>
        <s v="Kinera, a Decentralised Media Platform [CANCELLED]"/>
        <s v="Events Bounty Top Up Proposal "/>
        <s v="Proposal: Funding for Design and Development of XCQ, the Cross-Consensus Query Language"/>
        <s v="Proposal for the Development of SubstrateSQL Server"/>
        <s v="ink! Analyzer: Retroactive funding for ink! 4.x to 5.0 migration features, and other major improvements (56,750 USDT)"/>
        <s v="Ignore - superceded by 781"/>
        <s v="DOT Experts Tip for OnlyDeFiGuy for Proposal #684 Chainalysis analytics solutions in DOT"/>
        <s v="DOT Experts Tip for OnlyDeFiGuy for Proposal #684 Chainalysis analytics solutions in USD"/>
        <s v="Developer tools for Polkadot-API"/>
        <s v="VOTE NAY, WRONG PRE-IMAGE"/>
        <s v="Chainalysis analytics solutions on Polkadot Network"/>
        <s v="Cancel Chainanalysis ref"/>
        <s v="Cancel root ref #693"/>
        <s v="Proposal for DED Bounties: Revitalizing Community Engagement"/>
        <s v="Top-up of Proposal 657 due to DOT price change."/>
        <s v="Polkadot Relayers Incubator 2024"/>
        <s v="[Whitelisted Caller] Upgrade Polkadot v1.2.4"/>
        <s v="Maintenance for the substrate-api-client Jul-24 to Dec-24"/>
        <s v="Beamex PERPadot: DOT LP Depth Loan, a significant DOT liquidity depth on Beamex Perpetual Exchange"/>
        <s v="Beamex PERPadot: Liquidity Incentives  program to attract liquidity and onboard new users to the Polkadot ecosystem via Perpetual Trading "/>
        <s v="A Polkadot Ecosystem App Store"/>
        <s v="Polkadot Ecosystem vCISO Program w/Spearbit"/>
        <s v="DOTCAST /This_is_the_DOT Top Up"/>
        <s v="Presentation on Augmented Reality Advertising for Polkadot by Overthereality"/>
        <s v="Polkadot Dapps over Apps (REVISED)"/>
        <s v="Inclusion of Moonbeam in marketing narratives"/>
        <s v="Curators Candidates - Bounty #49"/>
        <s v="Polkadot in Spanish Editorial Board and Marketing Top Up "/>
        <s v="Ecosystem Test Environment Bounty"/>
        <s v="Polkadot Education Program for Top Ethiopian Universities."/>
        <s v="Automated Reward Payout Initiative"/>
        <s v="Pre-Image error vote NAY"/>
        <s v="12 Months of Polkadot Advertising on Spotify x 2 Ad Campaigns"/>
        <s v="Open-Source Registrar Development Continuity"/>
        <s v="Pre-Image error, vote NAY"/>
        <s v="A reactive library for building Substrate front-end"/>
        <s v="error vote no"/>
        <s v="#814 Proposal: Promotion to &quot;VII Dan: Free Master&quot; for Gavin Wood - Evidence below"/>
        <s v="*UPDATED* Polkadot Drone Show + NFT Drop Over VELD Music Fest (100K+ Attendance) - Brand Awareness + PR Campaign"/>
        <s v="Proposal: Adding More Auctions For LP18 On Polkadot"/>
        <s v="Polkadot Business Development in Brazil - Continuation of Operations"/>
        <s v="Referendum #819 for the Polkadot UX Bounty"/>
        <s v="Title Sponsorship at the Crypto AI Summer Conference"/>
        <s v=" Free Beer Stand &amp; BD/Networking Space at Polkadot Decoded"/>
        <s v="Referendum #822 - Refill for marketing bounty number #33"/>
        <s v="Vote Nay. Is a toturial about How to Request Stable asset USDT, USDC"/>
        <s v="AssetX the new Polkadot Asset Hub DEX"/>
        <s v=" Cancelling treasury proposal #774"/>
        <s v="Revolutionizing Social Media for a Better Internet"/>
        <s v="Polkadot.js UI Bug When Initiating A Parathread for Parachain Auction"/>
        <s v="StorageHub’s Codebase Audit"/>
        <s v="Referendum 631 top up due to DOT price change"/>
        <s v="Funding the Technical Fellowship Sub-Treasury"/>
        <s v="VIRTUNE AB X POLKADOT - ETP CAMPAIGN, SWEDEN &amp; THE NORDICS"/>
        <s v="Inclusion of DED in marketing narratives"/>
        <s v="Retroactive Sponsorship Reimbursement for Polkadot CCTF Yacht event at Token 2049, Dubai"/>
        <s v="BD &amp; Marketing Proposal. Polkadot as the preferred network of chains for digitizing financial assets and similar real world assets "/>
        <s v="Polkadot Education - Polkadot Onboarding for Business"/>
        <s v="Treasury proposal for renewal of API licenses for Blockexplorers"/>
        <s v="Upgrade Polkadot v1.2.5"/>
        <s v="Big Tips for Content in Portuguese - JOÃO HAZIM - 440 DOT"/>
        <s v="RE-SUBMISSION OF REF #734 - BERLIN TAXI REFILL"/>
        <s v="Decoded 2024:  PopUp Hub for the community"/>
        <s v="VOTE NAY - ERROR PREIMAGE"/>
        <s v="Volatility adjustment for REF651 and REF742"/>
        <s v="Kudos: Unlocking the Full Potential of Polkadot’s Developer Community"/>
        <s v="Retroactive - Participation of Polkadot in Unlock summit 2024 Mexico, Puebla Talk + Workshop"/>
        <s v="JUST Retroactive Compensation for Contributions to the Polkadot Ecosystem"/>
        <s v="."/>
        <s v="Fixed Maximum Supply for Fiscal Certainty"/>
        <s v="lol - NAY"/>
        <s v="please vote no, wrong preimage"/>
        <s v="Inclusion of Hydration in marketing narratives"/>
        <s v="Polkadot London Event - Dawn of RWAs "/>
        <s v="Verified Organization Badges on Twitter/X for Parachains, Top Wallets &amp; Comms Channels"/>
        <s v="Reduce minBalance of USDT/C to 0.01"/>
        <s v="Polkadot Head Ambassador Application: six / David Pethes"/>
        <s v="Polkadot Head Ambassador Application: Leemo"/>
        <s v="Polkadot Head Ambassador Application: Ezio Rojas"/>
        <s v="Head Ambassador Application: Max Rebol"/>
        <s v="Inclusion of Novasama Technologies' Products in Marketing Narratives"/>
        <s v="Polkadot Head Ambassador Application: Albert(I Love Cripto)"/>
        <s v="Polkadot Head Ambassador Application: Irina Karagyaur"/>
        <s v="(EDIT) VOTE NAY "/>
        <s v="Preimage removed - referendum revoked"/>
        <s v="Incognitee: Productive Privacy Sidechains for DOT, KSM and all Substrate-Based Chains"/>
        <s v="Polkadot Head Ambassador Application: Alice und Bob"/>
        <s v="Polkadot Head Ambassador Application: Michiko Watanabe"/>
        <s v="[Whitelisted Caller] Upgrade Polkadot: v1.2.6"/>
        <s v="Polkadot Head Ambassador Application: William"/>
        <s v="Polkadot Head Ambassador Application: Abdulbee"/>
        <s v="Top-up of Proposal #87 due to DOT price change"/>
        <s v="#876 Polkadot Head Ambassador Application: Lorena (Blockya)"/>
        <s v="Proposal: Expanding the Polkadot ecosystem with Polkadot for Beginners (book) v2"/>
        <s v="Wrong pre-image, please vote NO"/>
        <s v="Polkadot Head Ambassador Application: Zoé"/>
        <s v="Polkadot Head Ambassador Application: Mario Altenburger"/>
        <s v="Polkadot Head Ambassador Application: Remy"/>
        <s v="Requesting &quot;Top Up&quot; of Ref #601 due to DOT price change"/>
        <s v="[Fellowship Admin] Referendum #884"/>
        <s v="Should we allow EVM compatible contracts on Asset Hub?"/>
        <s v="Kampela Productizing Proposal, Redux"/>
        <s v="Resubmission of Promotion to &quot;VII Dan: Free Master&quot; for Gavin Wood - Evidence below"/>
        <s v="Enable approval voting protocol improvements"/>
        <s v="Polkadot Head Ambassador Application: Angelina "/>
        <s v="[Whitelisted Caller] Make WETH asset sufficient and set asset metadata"/>
        <s v="Please vote Nay - Technical issues with Pure Proxy"/>
        <s v="Proposal: OpenZeppelin x Polkadot Ecosystem Growth Phase M3"/>
        <s v="Asia Blockchain Summit 2024 Sponsorship"/>
        <s v="Inclusion of Dot Code School in Marketing Narratives"/>
        <s v="Requesting &quot;Top Up&quot; of Approved Ref #644 due to DOT price change"/>
        <s v="[Whitelisted Caller] Update Max HRMP Channels"/>
        <s v="2024 Polkadot Hackathons (September 2024 in Singapore and November 2024 in Bangkok)"/>
        <s v="pre-image pulled "/>
        <s v="Revised Proposal: Polkadot Sponsorship of traditional Family Office Investment Conference Series"/>
        <s v="Head Ambassador Proposal for Polkadot - Georgi #900"/>
        <s v="PLEASE VOTE NAY 😅"/>
        <s v="Polkadot Head Ambassador Application: Mexican Collective"/>
        <s v="PolkaVM Solidity IDE"/>
        <s v="UI &amp; Front-end for Asset Conversion pallet (referenda68) - Project Status Update - Delivery Completed"/>
        <s v="&quot;Reward Mode&quot; - Unlocking Gaming Rewards with Polkadot.  TapNation is introducing 734,366 new users to the Polkadot ecosystem, adding 73,437 new wallets every month throughout the partnership period."/>
        <s v="Please reject."/>
        <s v="Hope Clary For Head Ambassador Team"/>
        <s v="Establish a rule for &quot;top up&quot;"/>
        <s v="Polkadot Head Ambassador Application:  Rish"/>
        <s v="Polkadot Head Ambassador Application | Cris, Patricia, Tin"/>
        <s v="Treasury Proposal: Polkadot Bounty Manager UI Development"/>
        <s v="Full Disclosure for Head Ambassador Sponsorship - Whistle-Blower Series Part 1"/>
        <s v="Referendum 912 posted on the wrong track"/>
        <s v="Ecosystem Agent Tip for Adam Steeber's bounty &amp; multisig tutorial"/>
        <s v="Top Up | RegionX Coretime Marketplace for Polkadot"/>
        <s v="Referendum for PolkaDotJobs.xyz: A Polkadot Native Job Board Provided as a Public Good"/>
        <s v="Dot Play Bounty"/>
        <s v="PROPOSAL -  FHE-WASM Research and Development for the Polkadot Ecosystem"/>
        <s v="Removing curators from Spanish bounty"/>
        <s v="Refill for marketing bounty number #33 - 500k DOT"/>
        <s v="Polkadot Head Ambassador Application: Adam Clay Steeber 🇺🇸"/>
        <s v="Polkadot User Segments &amp; Conversions 👨‍👩‍👧‍👦 for Ink!, Pallets &amp; XCM "/>
        <s v="Removing curators from Games Bounty [38]"/>
        <s v="Polkadot Head Ambassador for Gaming Application - Angie Dalton"/>
        <s v="KAGOME – the C++ implementation of Polkadot Host milestone 3"/>
      </sharedItems>
    </cacheField>
    <cacheField name="Status" numFmtId="0">
      <sharedItems containsBlank="1">
        <s v="Rejected"/>
        <s v="Executed"/>
        <s v="TimedOut"/>
        <s v="Executed_err"/>
        <s v="Killed"/>
        <s v="Cancelled"/>
        <s v="Approved"/>
        <m/>
        <s v="Deciding"/>
        <s v="Confirming"/>
        <s v="Queueing"/>
        <s v="Preparing"/>
      </sharedItems>
    </cacheField>
    <cacheField name="DOT" numFmtId="165">
      <sharedItems containsString="0" containsBlank="1" containsNumber="1">
        <n v="0.0"/>
        <n v="6454.0"/>
        <n v="16823.0"/>
        <n v="61477.0"/>
        <n v="75435.0"/>
        <n v="120026.26"/>
        <n v="3936.69"/>
        <n v="43663.107"/>
        <n v="36969.0"/>
        <n v="26765.99"/>
        <n v="49880.0"/>
        <n v="68479.0"/>
        <n v="8775.0"/>
        <n v="3469.0"/>
        <n v="41867.704"/>
        <n v="175419.0"/>
        <n v="77500.0"/>
        <n v="25533.0"/>
        <n v="382.7"/>
        <n v="500.0"/>
        <n v="38249.0"/>
        <n v="146628.0"/>
        <n v="11730.685"/>
        <n v="99672.0"/>
        <n v="19256.0"/>
        <n v="14746.0"/>
        <n v="69786.0"/>
        <n v="932.45"/>
        <n v="120.0"/>
        <n v="4246.19"/>
        <n v="72916.6667"/>
        <n v="35277.535"/>
        <n v="36538.0"/>
        <n v="4747.129"/>
        <n v="7915.0"/>
        <n v="100.0"/>
        <n v="1000.0"/>
        <n v="250.0"/>
        <n v="3956.0"/>
        <n v="40.0"/>
        <n v="234.0"/>
        <n v="110693.7"/>
        <n v="28078.569"/>
        <n v="97000.0"/>
        <n v="724.78"/>
        <n v="12117.0"/>
        <n v="3282.0"/>
        <n v="11229.05"/>
        <n v="999.0"/>
        <n v="15139.0"/>
        <n v="29946.0"/>
        <n v="20.0"/>
        <n v="12455.083"/>
        <n v="59203.58"/>
        <n v="990.0"/>
        <n v="14269.071"/>
        <n v="6686.0"/>
        <n v="63916.0"/>
        <n v="31612.0"/>
        <n v="3668676.0"/>
        <n v="36686.0"/>
        <n v="80.0"/>
        <n v="50.0"/>
        <n v="15375.745"/>
        <n v="14257.0"/>
        <n v="18391.596"/>
        <n v="50817.27"/>
        <n v="43920.94"/>
        <n v="99520.0"/>
        <n v="60246.888"/>
        <n v="2441.0"/>
        <n v="43877.1439"/>
        <n v="10400.0"/>
        <n v="81300.0"/>
        <n v="41936.15"/>
        <n v="172.387"/>
        <n v="212.8825"/>
        <n v="360.2"/>
        <n v="16842.0"/>
        <n v="26616.0"/>
        <n v="4100.0"/>
        <n v="27259.0"/>
        <n v="42820.0"/>
        <n v="20359.6878"/>
        <n v="300.0"/>
        <n v="40105.193"/>
        <n v="129145.0"/>
        <n v="19401.45"/>
        <n v="1.94779899E8"/>
        <n v="194779.0"/>
        <n v="59895.0"/>
        <n v="71068.0"/>
        <n v="53938.013"/>
        <n v="950.0"/>
        <n v="58018.0"/>
        <n v="12153.7439"/>
        <n v="75600.0"/>
        <n v="44196.0"/>
        <n v="58253.66"/>
        <n v="253862.0"/>
        <n v="35008.393"/>
        <n v="6075.79"/>
        <n v="841.34"/>
        <n v="14833.623"/>
        <n v="22400.0"/>
        <n v="45074.0"/>
        <n v="247058.0"/>
        <n v="32420.0"/>
        <n v="16231.0"/>
        <n v="171454.05"/>
        <n v="5600.0"/>
        <n v="32480.0"/>
        <n v="6444.7"/>
        <n v="5233.0"/>
        <n v="15.0"/>
        <n v="5000.0"/>
        <n v="67438.0"/>
        <n v="130.227"/>
        <n v="11183.81"/>
        <n v="42685.0"/>
        <n v="37851.0"/>
        <n v="255835.014"/>
        <n v="16955.0"/>
        <n v="12115.0"/>
        <n v="5457.0"/>
        <n v="43154.0"/>
        <n v="980.0"/>
        <n v="90540.0"/>
        <n v="1711.0"/>
        <n v="12091.65"/>
        <n v="33943.0"/>
        <n v="9452.0"/>
        <n v="4774.6"/>
        <n v="425660.0"/>
        <n v="4395.0"/>
        <n v="925.0"/>
        <n v="200.0"/>
        <n v="700.0"/>
        <n v="26281.383"/>
        <n v="168432.0"/>
        <n v="28010.0"/>
        <n v="10000.0"/>
        <n v="592573.0"/>
        <n v="2.4474149E7"/>
        <n v="24474.0"/>
        <n v="42650.0"/>
        <n v="150.0"/>
        <n v="22687.0"/>
        <n v="1800.0"/>
        <n v="18982.6915423"/>
        <n v="54753.61"/>
        <n v="420.69"/>
        <n v="1959.93"/>
        <n v="14165.0"/>
        <n v="1111.0"/>
        <n v="4895.0"/>
        <n v="3535.0"/>
        <n v="24701.0"/>
        <n v="17000.0"/>
        <n v="1563.0"/>
        <n v="1500.0"/>
        <n v="350.0"/>
        <n v="59746.84"/>
        <n v="138711.0"/>
        <n v="6970.0"/>
        <n v="590.0"/>
        <n v="5917.0"/>
        <n v="137768.0"/>
        <n v="1000000.0"/>
        <n v="33124.7"/>
        <n v="82140.34"/>
        <n v="9700.0"/>
        <n v="16182.0"/>
        <n v="4455.0"/>
        <n v="3161.0"/>
        <n v="10891.119"/>
        <n v="21400.0"/>
        <n v="99025.0"/>
        <n v="17765.0"/>
        <n v="240.0"/>
        <n v="4351.0"/>
        <n v="21219.12"/>
        <n v="5304.73"/>
        <n v="310.02"/>
        <n v="21849.0"/>
        <n v="8000.0"/>
        <n v="905.66"/>
        <n v="1674.0"/>
        <n v="999999.0"/>
        <n v="632.18"/>
        <n v="3266.28"/>
        <n v="4700.0"/>
        <n v="2107.27"/>
        <n v="3160.91"/>
        <n v="1661.0"/>
        <n v="1628.0"/>
        <n v="498.3"/>
        <n v="25361.29"/>
        <n v="9807.68"/>
        <n v="9364.15"/>
        <n v="4327.47"/>
        <n v="9735.0"/>
        <n v="2400.0"/>
        <n v="7939.0"/>
        <n v="7289.03"/>
        <n v="2.0E-10"/>
        <n v="5645.0"/>
        <n v="6098.0"/>
        <n v="3463.0"/>
        <n v="5.3723E-6"/>
        <n v="53723.0"/>
        <n v="32000.0"/>
        <n v="28489.0"/>
        <n v="8842.0"/>
        <n v="125484.0"/>
        <n v="47837.0"/>
        <n v="11877.0"/>
        <n v="3.0"/>
        <n v="8300.0"/>
        <n v="572.63"/>
        <n v="79975.0"/>
        <n v="78676.0"/>
        <n v="70475.0"/>
        <n v="999.99"/>
        <n v="900.0"/>
        <n v="35395.0"/>
        <n v="12000.0"/>
        <n v="42865.0"/>
        <n v="22195.0"/>
        <n v="9999.0"/>
        <n v="13560.0"/>
        <n v="6431.0"/>
        <n v="1086847.0"/>
        <n v="9000.0"/>
        <n v="71503.0"/>
        <n v="5210.0"/>
        <n v="149657.0"/>
        <n v="26706.0"/>
        <n v="11239.0"/>
        <n v="16981.0"/>
        <n v="21000.0"/>
        <n v="610.0"/>
        <n v="482.0"/>
        <n v="99950.0"/>
        <n v="450.0"/>
        <n v="1950.0"/>
        <n v="48750.0"/>
        <n v="22252.0"/>
        <n v="11059.0"/>
        <n v="41667.0"/>
        <n v="10541.327"/>
        <n v="26448.736"/>
        <n v="25910.7234"/>
        <n v="2500.0"/>
        <n v="26058.0"/>
        <n v="325000.0"/>
        <n v="176852.0"/>
        <n v="282.0"/>
        <n v="1798.0"/>
        <n v="17406.0"/>
        <n v="10356.9"/>
        <n v="45234.77"/>
        <n v="25796.18"/>
        <n v="20632.0"/>
        <n v="248986.130762"/>
        <n v="57781.69"/>
        <n v="106700.0"/>
        <n v="55858.31"/>
        <n v="24000.0"/>
        <n v="2750.0"/>
        <n v="4267.0"/>
        <n v="91557.0"/>
        <n v="9900.0"/>
        <n v="64658.0"/>
        <n v="21969.0"/>
        <n v="8250.0"/>
        <n v="4417012.0"/>
        <n v="540.0"/>
        <n v="44170.12"/>
        <n v="4471.0"/>
        <n v="2744.11"/>
        <n v="225.0"/>
        <n v="38684.0"/>
        <n v="1658.0"/>
        <n v="160.0"/>
        <n v="12489.0"/>
        <n v="9975.0"/>
        <n v="56600.0"/>
        <n v="65050.0"/>
        <n v="3157.89"/>
        <n v="55000.0"/>
        <n v="51574.0"/>
        <n v="673.0"/>
        <n v="226.0"/>
        <n v="1678.37"/>
        <n v="8208.0"/>
        <n v="11655.0"/>
        <n v="17038.37"/>
        <n v="100000.0"/>
        <n v="500000.0"/>
        <n v="13333.0"/>
        <n v="550.0"/>
        <n v="38460.0"/>
        <n v="34315.574377"/>
        <n v="25555.0"/>
        <n v="11250.0"/>
        <n v="43946.0"/>
        <n v="209250.0"/>
        <n v="818361.0"/>
        <n v="81836.0"/>
        <n v="6655.868"/>
        <n v="64516.0"/>
        <n v="37100.0"/>
        <n v="952.0"/>
        <n v="1655.0"/>
        <n v="21670.0"/>
        <n v="51034.0"/>
        <n v="13509.0"/>
        <n v="31500.0"/>
        <n v="712.17"/>
        <n v="8666.0"/>
        <n v="184235.82"/>
        <n v="172066.93"/>
        <n v="32528.24"/>
        <n v="9507.0"/>
        <n v="20000.0"/>
        <n v="969.0"/>
        <n v="54121.0"/>
        <n v="28761.0"/>
        <n v="65178.0"/>
        <n v="41242.84"/>
        <n v="50000.0"/>
        <n v="30000.0"/>
        <n v="44032.0"/>
        <n v="93962.490651"/>
        <n v="52090.67"/>
        <n v="217.2437202987"/>
        <n v="310930.0"/>
        <n v="11275.0"/>
        <n v="923.38"/>
        <n v="290000.0"/>
        <n v="5986.39"/>
        <n v="34540.0"/>
        <n v="90.0"/>
        <n v="8.0E-8"/>
        <n v="8260.0"/>
        <n v="10458.0"/>
        <n v="121.8441544774"/>
        <n v="2.5E-5"/>
        <n v="250000.0"/>
        <n v="5.867E-7"/>
        <n v="9986.112944"/>
        <n v="3.9326E-6"/>
        <n v="39326.0"/>
        <n v="2000.0"/>
        <n v="14737.47"/>
        <n v="2.0E-8"/>
        <n v="98026.0"/>
        <n v="3600.0"/>
        <n v="31200.0"/>
        <n v="3.5E-6"/>
        <n v="35100.0"/>
        <n v="171827.0"/>
        <m/>
        <n v="32393.2"/>
        <n v="64329.0"/>
        <n v="71842.0"/>
        <n v="999999.9999999999"/>
        <n v="6.621E-7"/>
        <n v="7215.0"/>
        <n v="9500.0"/>
        <n v="3.1474E-6"/>
        <n v="31474.0"/>
        <n v="84476.0"/>
        <n v="620.0"/>
        <n v="11121.0"/>
        <n v="97747.61"/>
        <n v="44429.5"/>
        <n v="248929.562796"/>
        <n v="167214.563518"/>
        <n v="3.7865E-6"/>
        <n v="38921.48979"/>
        <n v="58902.0"/>
        <n v="24937.0"/>
        <n v="9468.0"/>
        <n v="1.0E-7"/>
        <n v="45588.0"/>
        <n v="45555.0"/>
        <n v="150000.0"/>
        <n v="21524.0"/>
        <n v="18694.0"/>
        <n v="2812.27"/>
        <n v="694.2"/>
        <n v="16344.73"/>
        <n v="7270.0"/>
        <n v="5300.0"/>
        <n v="16348.0"/>
        <n v="7935.0"/>
        <n v="9355.5"/>
        <n v="31353.0"/>
        <n v="999.999999999"/>
        <n v="35713.0"/>
        <n v="1212.24"/>
        <n v="968000.0"/>
        <n v="24323.0"/>
        <n v="68868.6"/>
        <n v="2.1557E-6"/>
        <n v="33956.17"/>
        <n v="5800.0"/>
        <n v="31352.0"/>
        <n v="8420.0"/>
        <n v="8235.42"/>
        <n v="155.0"/>
        <n v="42.0"/>
        <n v="5.365E-7"/>
        <n v="5365.0"/>
        <n v="91663.0"/>
        <n v="16153.0"/>
        <n v="74533.0"/>
        <n v="21557.0"/>
        <n v="907.0"/>
        <n v="9924.0"/>
        <n v="889.0"/>
        <n v="824.0"/>
        <n v="28549.62"/>
        <n v="122705.0"/>
        <n v="2395.0"/>
        <n v="9560.0"/>
        <n v="83906.813273"/>
        <n v="48117.0"/>
        <n v="45000.0"/>
        <n v="77820.0"/>
        <n v="30148.0"/>
        <n v="34763.0"/>
        <n v="1.6448E-6"/>
        <n v="2.9719E-6"/>
        <n v="16448.0"/>
        <n v="29719.0"/>
        <n v="81718.0"/>
        <n v="17898.6052999"/>
        <n v="10.054836659398221"/>
        <n v="368016.0"/>
        <n v="725.0"/>
        <n v="202030.0"/>
        <n v="35.5"/>
        <n v="14278.99"/>
        <n v="42404.0"/>
        <n v="596.0"/>
        <n v="9732.0"/>
        <n v="5.54E-8"/>
        <n v="554.0"/>
        <n v="4.9E-8"/>
        <n v="490.0"/>
        <n v="26195.0"/>
        <n v="88000.0"/>
        <n v="150217.81"/>
        <n v="1.2563E-6"/>
        <n v="12563.0"/>
        <n v="8265.0"/>
        <n v="56016.0"/>
        <n v="134627.0"/>
        <n v="9997.0"/>
        <n v="138218.0"/>
        <n v="3500.0"/>
        <n v="2858.213094"/>
        <n v="75142.0"/>
        <n v="7873.0"/>
        <n v="39713.0"/>
        <n v="10.222279992449682"/>
        <n v="20422.0"/>
        <n v="37882.0"/>
        <n v="199260.0"/>
        <n v="35400.53"/>
        <n v="13242.0"/>
        <n v="46.1"/>
        <n v="10979.0"/>
        <n v="26400.0"/>
        <n v="1.3982E-6"/>
        <n v="13982.0"/>
        <n v="80188.0"/>
        <n v="49075.43"/>
        <n v="175000.0"/>
        <n v="7885.497423885508"/>
        <n v="1049.0"/>
        <n v="833.7089787367938"/>
        <n v="31705.0"/>
        <n v="3000.0"/>
        <n v="2960.0"/>
        <n v="4670.0"/>
        <n v="1.0"/>
        <n v="499999.0"/>
        <n v="60431.0"/>
        <n v="4015.0"/>
        <n v="8822.0"/>
        <n v="9461.0"/>
        <n v="3690.0"/>
        <n v="891.0"/>
        <n v="1.45E10"/>
        <n v="14500.0"/>
        <n v="2737.92"/>
        <n v="6.0E-7"/>
        <n v="6000.0"/>
        <n v="1.4048E-6"/>
        <n v="9286.0"/>
        <n v="53335.0"/>
        <n v="4504.0"/>
        <n v="9600000.0"/>
        <n v="73323.210812"/>
        <n v="23000.0"/>
        <n v="408.45"/>
        <n v="53701.995939383596"/>
        <n v="6220.882129141348"/>
        <n v="89945.0"/>
        <n v="4178.0"/>
        <n v="6.702E-7"/>
        <n v="12604.0"/>
        <n v="24800.0"/>
        <n v="6702.0"/>
        <n v="26265.0"/>
        <n v="440.0"/>
        <n v="2150.3914"/>
        <n v="13855.6"/>
        <n v="17822.33"/>
        <n v="348.7"/>
        <n v="46194.0"/>
        <n v="1519.0"/>
        <n v="7496.0"/>
        <n v="1324503.0"/>
        <n v="135527.0"/>
        <n v="18677.58"/>
        <n v="6429.820923917001"/>
        <n v="25000.0"/>
        <n v="97920.28"/>
        <n v="39139.0"/>
        <n v="16741.2753"/>
        <n v="598000.0"/>
        <n v="134899.0"/>
        <n v="34000.0"/>
        <n v="164989.27"/>
        <n v="139470.9"/>
        <n v="17820.0"/>
        <n v="70835.0"/>
        <n v="27843.0"/>
        <n v="0.0156"/>
        <n v="8381.094462911777"/>
        <n v="17081.0"/>
        <n v="33884.0"/>
        <n v="37573.39"/>
        <n v="141395.0"/>
      </sharedItems>
    </cacheField>
    <cacheField name="USD Propose Date" numFmtId="164">
      <sharedItems containsString="0" containsBlank="1" containsNumber="1">
        <n v="0.0"/>
        <n v="28506.33201599121"/>
        <n v="74304.62093353271"/>
        <n v="271534.51709747314"/>
        <n v="333184.87071990967"/>
        <n v="530137.6538887024"/>
        <n v="17817.975249123574"/>
        <n v="197835.91983825018"/>
        <n v="167189.41288661957"/>
        <n v="121047.09766098976"/>
        <n v="225578.401222229"/>
        <n v="319723.23665475845"/>
        <n v="40969.806826114655"/>
        <n v="16196.496852397919"/>
        <n v="195477.1219524727"/>
        <n v="847173.0464744568"/>
        <n v="374373.66366386414"/>
        <n v="123340.42263650894"/>
        <n v="1848.6813043117522"/>
        <n v="2415.313959121704"/>
        <n v="2550.107479095459"/>
        <n v="195078.12193584442"/>
        <n v="747834.3188896179"/>
        <n v="59829.01510682583"/>
        <n v="508348.6253128052"/>
        <n v="96423.39492416382"/>
        <n v="73839.81000995636"/>
        <n v="362524.6718673706"/>
        <n v="4843.896057701111"/>
        <n v="623.3766174316406"/>
        <n v="21344.45496540546"/>
        <n v="366532.4699567448"/>
        <n v="177330.67929085018"/>
        <n v="186192.67222309113"/>
        <n v="24190.722915806295"/>
        <n v="38649.0385389328"/>
        <n v="488.3011817932129"/>
        <n v="4883.011817932129"/>
        <n v="1246.5652227401733"/>
        <n v="21765.575653076172"/>
        <n v="216.77236557006836"/>
        <n v="1251.2494668960571"/>
        <n v="1256.5122842788696"/>
        <n v="556351.9753691197"/>
        <n v="143621.25811869334"/>
        <n v="497267.4136161804"/>
        <n v="4066.7855525016785"/>
        <n v="63148.25598335266"/>
        <n v="23632.940900802612"/>
        <n v="61227.28246085643"/>
        <n v="5301.590266227722"/>
        <n v="80293.15419864655"/>
        <n v="158825.4703502655"/>
        <n v="106.07458114624023"/>
        <n v="64508.252939070226"/>
        <n v="103.58542442321777"/>
        <n v="325016.46138450626"/>
        <n v="5434.9128341674805"/>
        <n v="74438.51840883636"/>
        <n v="35115.54053878784"/>
        <n v="332237.6813659668"/>
        <n v="164320.3201599121"/>
        <n v="1.8554478895202637E7"/>
        <n v="185540.94522094727"/>
        <n v="404.603271484375"/>
        <n v="248.95095825195312"/>
        <n v="33289.72213745117"/>
        <n v="76697.32342167378"/>
        <n v="71116.79726886749"/>
        <n v="91740.99769817735"/>
        <n v="456445.24404507637"/>
        <n v="222265.37885418892"/>
        <n v="503628.80447387695"/>
        <n v="304504.62928609084"/>
        <n v="12337.497002124786"/>
        <n v="221767.362281052"/>
        <n v="52363.85459899902"/>
        <n v="405386.421918869"/>
        <n v="399.0641784667969"/>
        <n v="195674.3712114811"/>
        <n v="804.3589559373855"/>
        <n v="993.3112441039085"/>
        <n v="2333.003520965576"/>
        <n v="1680.695736503601"/>
        <n v="78584.89060020447"/>
        <n v="118120.84882736206"/>
        <n v="18498.44570159912"/>
        <n v="122987.59301948547"/>
        <n v="193442.9811668396"/>
        <n v="90004.46167887497"/>
        <n v="1326.2157440185547"/>
        <n v="177293.79457834244"/>
        <n v="570913.7742042542"/>
        <n v="87075.59324355125"/>
        <n v="8.741911175372972E8"/>
        <n v="874187.0827379227"/>
        <n v="268814.58124637604"/>
        <n v="318843.313583374"/>
        <n v="242960.53415033102"/>
        <n v="4309.509634971619"/>
        <n v="247704.9609889984"/>
        <n v="51238.14529046054"/>
        <n v="322765.8199310303"/>
        <n v="188689.9229850769"/>
        <n v="428.67398262023926"/>
        <n v="1062.4747276306152"/>
        <n v="246977.81079312327"/>
        <n v="1012129.512418747"/>
        <n v="142089.46907217262"/>
        <n v="25165.674229249955"/>
        <n v="3521.520161495209"/>
        <n v="60441.0481690278"/>
        <n v="92024.64294433594"/>
        <n v="187338.44711971283"/>
        <n v="25153.181664819716"/>
        <n v="1022796.1723079681"/>
        <n v="134215.65748214722"/>
        <n v="65452.15421628952"/>
        <n v="684226.2976417779"/>
        <n v="50299.698638916016"/>
        <n v="81.49321556091309"/>
        <n v="132429.46731567383"/>
        <n v="26276.729926395416"/>
        <n v="21484.6989941597"/>
        <n v="61.584270000457764"/>
        <n v="21305.04608154297"/>
        <n v="63.915138244628906"/>
        <n v="278098.27057266235"/>
        <n v="537.025170999527"/>
        <n v="45565.603036952016"/>
        <n v="325.9397506713867"/>
        <n v="172759.68663454056"/>
        <n v="153194.9607310295"/>
        <n v="1029157.2274032126"/>
        <n v="68205.52244901657"/>
        <n v="49334.08271074295"/>
        <n v="22221.716001033783"/>
        <n v="175051.9150943756"/>
        <n v="3934.0003204345703"/>
        <n v="363453.4581756592"/>
        <n v="6633.92164349556"/>
        <n v="46098.59400590658"/>
        <n v="129405.38109707832"/>
        <n v="35332.12506866455"/>
        <n v="934.5145225524902"/>
        <n v="17847.732157516482"/>
        <n v="1563703.3404779434"/>
        <n v="16420.932630300522"/>
        <n v="3736.2759113311768"/>
        <n v="3502.2451877593994"/>
        <n v="731.3097953796387"/>
        <n v="2559.5842838287354"/>
        <n v="96099.16412011957"/>
        <n v="615879.8572769165"/>
        <n v="102419.9368429184"/>
        <n v="36488.7809753418"/>
        <n v="2205127.14460063"/>
        <n v="9.107504105131412E7"/>
        <n v="95556.41083431244"/>
        <n v="169095.1355934143"/>
        <n v="594.7073936462402"/>
        <n v="97215.02479076385"/>
        <n v="7713.09757232666"/>
        <n v="81341.8622506333"/>
        <n v="234622.18687062262"/>
        <n v="1782.2135768079759"/>
        <n v="8303.05891652584"/>
        <n v="60008.68885755539"/>
        <n v="4706.6468987464905"/>
        <n v="20737.206633090973"/>
        <n v="14776.682028770447"/>
        <n v="111841.16629743576"/>
        <n v="76972.58520126343"/>
        <n v="6957.194310665131"/>
        <n v="6676.769971847534"/>
        <n v="1557.9129934310913"/>
        <n v="265943.93814985274"/>
        <n v="617427.6263766289"/>
        <n v="31024.724469184875"/>
        <n v="2791.2367963790894"/>
        <n v="27427.212115764618"/>
        <n v="635867.3463134766"/>
        <n v="4691026.210784912"/>
        <n v="155388.83592438698"/>
        <n v="408103.83283005713"/>
        <n v="48193.216371536255"/>
        <n v="79801.3394165039"/>
        <n v="21969.779205322266"/>
        <n v="15974.38235092163"/>
        <n v="55039.19618329239"/>
        <n v="113437.13712692261"/>
        <n v="524911.7992520332"/>
        <n v="2776.5824794769287"/>
        <n v="101400.66644906998"/>
        <n v="1369.8936080932617"/>
        <n v="24835.02953672409"/>
        <n v="113912.04795364379"/>
        <n v="28477.743570003506"/>
        <n v="26841.840744018555"/>
        <n v="1612.9493752384185"/>
        <n v="5202.7268409729"/>
        <n v="121612.78387641907"/>
        <n v="44528.45764160156"/>
        <n v="4852.908289670944"/>
        <n v="26792.10901260376"/>
        <n v="8775.448216438293"/>
        <n v="5242197.993422985"/>
        <n v="634.9464225769043"/>
        <n v="3345.0035785388945"/>
        <n v="17282.60667612076"/>
        <n v="24868.734884262085"/>
        <n v="11472.500903282165"/>
        <n v="16767.356404628754"/>
        <n v="8810.937036514282"/>
        <n v="8635.885307312012"/>
        <n v="2643.281110954285"/>
        <n v="124001.21331771852"/>
        <n v="47953.563081054686"/>
        <n v="48439.48298387527"/>
        <n v="22385.417729129793"/>
        <n v="50357.83993721008"/>
        <n v="12414.875793457031"/>
        <n v="41067.37455177307"/>
        <n v="37705.16754365921"/>
        <n v="1.034572982788086E-9"/>
        <n v="28979.385974407196"/>
        <n v="31304.92394542694"/>
        <n v="17777.788065433502"/>
        <n v="2.757944291768074E-5"/>
        <n v="275794.4291768074"/>
        <n v="164276.4129638672"/>
        <n v="149377.56803750992"/>
        <n v="46361.629281044006"/>
        <n v="657955.5178356171"/>
        <n v="1048.668384552002"/>
        <n v="250825.7475590706"/>
        <n v="62275.172016620636"/>
        <n v="15.990258693695068"/>
        <n v="44239.71571922302"/>
        <n v="3049.3286376714705"/>
        <n v="412789.20645713806"/>
        <n v="406084.44647979736"/>
        <n v="371451.0351061821"/>
        <n v="5270.625336585045"/>
        <n v="527.0678043365479"/>
        <n v="421.6542434692383"/>
        <n v="4651.2800216674805"/>
        <n v="182924.50707435608"/>
        <n v="41344.71130371094"/>
        <n v="218.63176345825195"/>
        <n v="65589.52903747559"/>
        <n v="234291.26351594925"/>
        <n v="121313.29974889755"/>
        <n v="54744.92454957962"/>
        <n v="75581.82838439941"/>
        <n v="5573.881149291992"/>
        <n v="28131.635189056396"/>
        <n v="38017.319400310516"/>
        <n v="6568170.625558376"/>
        <n v="56219.993591308594"/>
        <n v="446655.3557510376"/>
        <n v="32545.129623413086"/>
        <n v="934857.2867660522"/>
        <n v="166823.46098327637"/>
        <n v="76871.14963245392"/>
        <n v="116144.58509731293"/>
        <n v="143633.2540512085"/>
        <n v="4341.748194694519"/>
        <n v="3430.6928358078003"/>
        <n v="711406.1181306839"/>
        <n v="3303.708815574646"/>
        <n v="14316.0715341568"/>
        <n v="326951.47812366486"/>
        <n v="149237.42135810852"/>
        <n v="74169.36198091507"/>
        <n v="6706.6969871521"/>
        <n v="279447.94336366653"/>
        <n v="80221.37476058006"/>
        <n v="201279.58867034913"/>
        <n v="3760.547399520874"/>
        <n v="194877.0070031493"/>
        <n v="18802.73699760437"/>
        <n v="181278.80293178558"/>
        <n v="2260941.3981437683"/>
        <n v="1253156.8216552734"/>
        <n v="1893.6917638778687"/>
        <n v="12482.965863227844"/>
        <n v="172448.17348480225"/>
        <n v="71904.79930415153"/>
        <n v="378230.8648057174"/>
        <n v="215694.95036857604"/>
        <n v="164419.1303215027"/>
        <n v="1984203.328906746"/>
        <n v="460469.9117054415"/>
        <n v="10522.542953491211"/>
        <n v="318.7652778625488"/>
        <n v="850306.378698349"/>
        <n v="465976.46819307323"/>
        <n v="221487.83111572266"/>
        <n v="23933.441638946533"/>
        <n v="37135.99835395813"/>
        <n v="796826.9513225555"/>
        <n v="83656.13107681274"/>
        <n v="536184.5748748779"/>
        <n v="182180.68801116943"/>
        <n v="68414.15977478027"/>
        <n v="3.662862602365112E7"/>
        <n v="4520.265998840332"/>
        <n v="369742.02148277283"/>
        <n v="837.086296081543"/>
        <n v="5517.03314781189"/>
        <n v="43804.35234069824"/>
        <n v="21627.636901774407"/>
        <n v="1675.2514243125916"/>
        <n v="372.278094291687"/>
        <n v="288024.1159915924"/>
        <n v="12398.438097000122"/>
        <n v="1196.4717102050781"/>
        <n v="99550.58369779587"/>
        <n v="81497.63431549072"/>
        <n v="462432.6919555664"/>
        <n v="531470.788192749"/>
        <n v="23902.934509763716"/>
        <n v="418714.1823768616"/>
        <n v="387722.34568977356"/>
        <n v="7517.786979675293"/>
        <n v="74426.0910987854"/>
        <n v="1872.5149631500244"/>
        <n v="4935.082166671753"/>
        <n v="1657.2489891052246"/>
        <n v="7000.6293869018555"/>
        <n v="11761.407751846313"/>
        <n v="57518.68469238281"/>
        <n v="81674.00951385498"/>
        <n v="119398.7124393463"/>
        <n v="137.49210357666016"/>
        <n v="687460.5178833008"/>
        <n v="3437302.589416504"/>
        <n v="551.9115829467773"/>
        <n v="84436.88692951202"/>
        <n v="3494.9371337890625"/>
        <n v="244391.42211914062"/>
        <n v="635443.115234375"/>
        <n v="968.9763307571411"/>
        <n v="220802.29448091207"/>
        <n v="170458.16407680511"/>
        <n v="75040.27962684631"/>
        <n v="293130.6780872345"/>
        <n v="1431681.6169023514"/>
        <n v="5446794.743771553"/>
        <n v="544678.8088035583"/>
        <n v="44299.700056133275"/>
        <n v="429401.4618110657"/>
        <n v="251948.96178245544"/>
        <n v="679107.7136993408"/>
        <n v="6347.201267242432"/>
        <n v="11133.04255247116"/>
        <n v="145772.22484111786"/>
        <n v="343301.3254518509"/>
        <n v="544.4565582275391"/>
        <n v="1361.1413955688477"/>
        <n v="91938.29556369781"/>
        <n v="218607.7938079834"/>
        <n v="222077.7587890625"/>
        <n v="6245.936965942383"/>
        <n v="6939.929962158203"/>
        <n v="4995.634742531776"/>
        <n v="60789.09625339508"/>
        <n v="1324930.264808178"/>
        <n v="1438.298225402832"/>
        <n v="7191.49112701416"/>
        <n v="575.3192901611328"/>
        <n v="1441.7725563049316"/>
        <n v="38291.335105895996"/>
        <n v="1240406.8876082087"/>
        <n v="234491.61868450165"/>
        <n v="67461.78718185425"/>
        <n v="6386.410903930664"/>
        <n v="734606.3137054443"/>
        <n v="146921.26274108887"/>
        <n v="7118.335179805756"/>
        <n v="398489.30549144745"/>
        <n v="211765.32058238983"/>
        <n v="479901.2574291229"/>
        <n v="315848.6814317703"/>
        <n v="382913.35105895996"/>
        <n v="233341.62712097168"/>
        <n v="342483.2841796875"/>
        <n v="7778.054237365723"/>
        <n v="730845.3485614477"/>
        <n v="398888.56686387537"/>
        <n v="1663.5615600668034"/>
        <n v="385217.6904678345"/>
        <n v="2395514.7299432755"/>
        <n v="86866.58920049667"/>
        <n v="7248.587509374618"/>
        <n v="7850.059032440186"/>
        <n v="2242629.680633545"/>
        <n v="44795.50434894562"/>
        <n v="258459.05799865723"/>
        <n v="702.84583568573"/>
        <n v="11884.592771530151"/>
        <n v="6.338449478149414E-7"/>
        <n v="65444.4908618927"/>
        <n v="87549.09729194641"/>
        <n v="1020.0177600685447"/>
        <n v="2.0856547355651856E-4"/>
        <n v="2085654.7355651855"/>
        <n v="4.894614533424378E-6"/>
        <n v="83310.3350061696"/>
        <n v="867422.9621887207"/>
        <n v="3.4112275411033634E-5"/>
        <n v="273238.233089447"/>
        <n v="693.9383697509766"/>
        <n v="341122.7541103363"/>
        <n v="15762.951850891113"/>
        <n v="144389.47181625364"/>
        <n v="1.9594879150390627E-7"/>
        <n v="960403.8117980957"/>
        <n v="37851.216888427734"/>
        <n v="328043.87969970703"/>
        <n v="3.679979419708252E-5"/>
        <n v="369049.3646621704"/>
        <n v="1806628.0678577423"/>
        <m/>
        <n v="345477.73993797303"/>
        <n v="686077.2486963272"/>
        <n v="572518.3773050308"/>
        <n v="1.0522542953491211E7"/>
        <n v="1.052254295349121E7"/>
        <n v="320698.97689819336"/>
        <n v="7.102098705482483E-6"/>
        <n v="77392.60256767273"/>
        <n v="101902.94170379639"/>
        <n v="9653.962898254395"/>
        <n v="214.53250885009766"/>
        <n v="3.563197384929657E-5"/>
        <n v="356319.7384929657"/>
        <n v="975098.1887435913"/>
        <n v="7156.599235534668"/>
        <n v="120533.44212341309"/>
        <n v="1059424.1428501892"/>
        <n v="216.76727294921875"/>
        <n v="1.0838363647460938E7"/>
        <n v="308460.4737598896"/>
        <n v="2181708.172095138"/>
        <n v="1465528.5439902127"/>
        <n v="701.1487579345703"/>
        <n v="94918.59436035156"/>
        <n v="3.594092575454712E-5"/>
        <n v="189.83718872070312"/>
        <n v="357022.68164573674"/>
        <n v="4459.629058837891"/>
        <n v="4459629.058837891"/>
        <n v="525362.1416473389"/>
        <n v="99516.75789690018"/>
        <n v="85042.41905593872"/>
        <n v="1138.63023519516"/>
        <n v="38326.57394504547"/>
        <n v="9.369309425354003E-7"/>
        <n v="9369.309425354004"/>
        <n v="9542.867012023926"/>
        <n v="443918.593208313"/>
        <n v="194.75238800048828"/>
        <n v="441454.12799835205"/>
        <n v="1453586.196899414"/>
        <n v="484528.7322998047"/>
        <n v="2738695.6310272217"/>
        <n v="204839.19108581543"/>
        <n v="177906.70127105713"/>
        <n v="26763.757290229798"/>
        <n v="6606.549268341065"/>
        <n v="190.3356170654297"/>
        <n v="155549.213515892"/>
        <n v="69764.63045120239"/>
        <n v="9404.310569763184"/>
        <n v="50860.04695892334"/>
        <n v="959.6235275268555"/>
        <n v="191.9247055053711"/>
        <n v="154222.7292251587"/>
        <n v="76514.23579216003"/>
        <n v="85706.30886983871"/>
        <n v="287226.7545289993"/>
        <n v="8578.613281241422"/>
        <n v="686.2890625"/>
        <n v="301187.53719234467"/>
        <n v="10223.492288131714"/>
        <n v="8490893.363952637"/>
        <n v="8219184.776306152"/>
        <n v="206523.99929141998"/>
        <n v="849418.6401367188"/>
        <n v="584982.7256011963"/>
        <n v="1.8310917625427245E-5"/>
        <n v="8706.72607421875"/>
        <n v="295647.0707196045"/>
        <n v="50228.30333709717"/>
        <n v="271509.9596939087"/>
        <n v="72917.64036178589"/>
        <n v="71319.16790834427"/>
        <n v="1304.929723739624"/>
        <n v="353.5938606262207"/>
        <n v="4.516740624427795E-6"/>
        <n v="44955.70236682892"/>
        <n v="768084.7243337631"/>
        <n v="135353.11469364166"/>
        <n v="579.287109375"/>
        <n v="3982.598876953125"/>
        <n v="539700.0765380859"/>
        <n v="156096.15270996094"/>
        <n v="5821.105873584747"/>
        <n v="63692.0117855072"/>
        <n v="6106.8487200737"/>
        <n v="5520.83874130249"/>
        <n v="187845.85164945602"/>
        <n v="807353.1355810165"/>
        <n v="16251.327435970306"/>
        <n v="64869.59928512573"/>
        <n v="1628.525505065918"/>
        <n v="135.71045875549316"/>
        <n v="561140.0570355842"/>
        <n v="6687657.833099365"/>
        <n v="321790.03195524216"/>
        <n v="300944.60248947144"/>
        <n v="520433.5325717926"/>
        <n v="218098.5592136383"/>
        <n v="3617131.471633911"/>
        <n v="248035.0075340271"/>
        <n v="1.2299668005371093E-5"/>
        <n v="2.1530187940597532E-5"/>
        <n v="119158.96606445312"/>
        <n v="215301.87940597534"/>
        <n v="592013.1559371948"/>
        <n v="124040.10543983603"/>
        <n v="69.0"/>
        <n v="2525461.612174988"/>
        <n v="6862.369060516357"/>
        <n v="4975.217568874359"/>
        <n v="1365362.5518035889"/>
        <n v="241.35154271125793"/>
        <n v="135.97270011901855"/>
        <n v="6798635.005950928"/>
        <n v="97077.64126362324"/>
        <n v="288289.31879234314"/>
        <n v="4007.269241333008"/>
        <n v="62501.218980789185"/>
        <n v="3.5579197816848757E-7"/>
        <n v="3557.9197816848755"/>
        <n v="3.1468965578079226E-7"/>
        <n v="3146.8965578079224"/>
        <n v="168230.5210852623"/>
        <n v="1032.4564218521118"/>
        <n v="605707.7674865723"/>
        <n v="1033955.6174070692"/>
        <n v="9.152291476631165E-6"/>
        <n v="91522.91476631165"/>
        <n v="59963.41145038605"/>
        <n v="406401.7490386963"/>
        <n v="959494.6980743408"/>
        <n v="71249.2181854248"/>
        <n v="69967.38910675049"/>
        <n v="966160.2652339935"/>
        <n v="24465.416431427002"/>
        <n v="19979.24959841926"/>
        <n v="352505.9938430786"/>
        <n v="529760.1077871323"/>
        <n v="55505.59379053116"/>
        <n v="4685.823518371582"/>
        <n v="268061.2350692749"/>
        <n v="135994.75111293793"/>
        <n v="264457.91552972794"/>
        <n v="252264.86933994293"/>
        <n v="1319176.7137813568"/>
        <n v="235962.1541203785"/>
        <n v="2999.474000930786"/>
        <n v="85793.61847114563"/>
        <n v="298.6773758888245"/>
        <n v="71131.86355495453"/>
        <n v="171043.00918579102"/>
        <n v="9.058800584983825E-6"/>
        <n v="90588.00584983826"/>
        <n v="348173.99978637695"/>
        <n v="558387.5338973999"/>
        <n v="6963479.995727539"/>
        <n v="344957.3423823929"/>
        <n v="1230096.9123840332"/>
        <n v="143.93511772155762"/>
        <n v="56750.0"/>
        <n v="7549.396924495697"/>
        <n v="6000.0"/>
        <n v="228173.1453680992"/>
        <n v="7161952.972412109"/>
        <n v="22840.98529815674"/>
        <n v="22536.43882751465"/>
        <n v="34812.38008975983"/>
        <n v="7.454471111297607"/>
        <n v="3600387.0964050293"/>
        <n v="3600379.8956308365"/>
        <n v="545.2579021453857"/>
        <n v="435149.98524570465"/>
        <n v="29085.82767724991"/>
        <n v="579.5432662963867"/>
        <n v="63909.133690834045"/>
        <n v="68538.23553037643"/>
        <n v="27849.29367542267"/>
        <n v="6724.585546016693"/>
        <n v="1.1061022138595581E11"/>
        <n v="110610.22138595581"/>
        <n v="20885.65085083008"/>
        <n v="4.420243835449218E-6"/>
        <n v="44202.43835449219"/>
        <n v="1.00758183303833E-5"/>
        <n v="66603.11006259918"/>
        <n v="573.7937545776367"/>
        <n v="373230.86069107056"/>
        <n v="69978.59954833984"/>
        <n v="31470.10943222046"/>
        <n v="6.7076609802246094E7"/>
        <n v="514013.97538130055"/>
        <n v="165310.3175163269"/>
        <n v="2935.6956169366836"/>
        <n v="385978.0"/>
        <n v="44712.0"/>
        <n v="651986.8218326569"/>
        <n v="29839.33460330963"/>
        <n v="4.786577800655365E-6"/>
        <n v="90017.94479179382"/>
        <n v="165112.61711120605"/>
        <n v="44620.353220939636"/>
        <n v="174866.2455010414"/>
        <n v="2810.906524658203"/>
        <n v="52800.323696136475"/>
        <n v="13737.61185642929"/>
        <n v="88515.44646148682"/>
        <n v="116250.8306952715"/>
        <n v="2274.4873797893524"/>
        <n v="300604.9959039688"/>
        <n v="50624.48362827301"/>
        <n v="9691.0637216568"/>
        <n v="50535.9095954895"/>
        <n v="508.80577087402344"/>
        <n v="8423934.624249458"/>
        <n v="835220.5386967659"/>
        <n v="116193.46928014756"/>
        <n v="40000.0"/>
        <n v="151847.87511825562"/>
        <n v="565553.360956688"/>
        <n v="220774.05807971954"/>
        <n v="94433.66681342841"/>
        <n v="3373179.864883423"/>
        <n v="760934.097981453"/>
        <n v="191786.14616394043"/>
        <n v="925765.0315320491"/>
        <n v="235.66460609436035"/>
        <n v="782579.8740506172"/>
        <n v="91353.66299629211"/>
        <n v="407150.3692126274"/>
        <n v="162672.58729934692"/>
        <n v="0.0911429214477539"/>
        <n v="5842.494964599609"/>
        <n v="48554.0"/>
        <n v="98954.96079540253"/>
        <n v="196299.3906440735"/>
        <n v="3140722.0363616943"/>
        <n v="236015.14790762425"/>
        <n v="888164.7846627235"/>
      </sharedItems>
    </cacheField>
    <cacheField name="Track" numFmtId="0">
      <sharedItems containsBlank="1">
        <s v="SmallTipper"/>
        <s v="SmallSpender"/>
        <s v="WhitelistedCaller"/>
        <s v="MediumSpender"/>
        <s v="BigSpender"/>
        <s v="Root"/>
        <s v="Treasurer"/>
        <s v="GeneralAdmin"/>
        <s v="BigTipper"/>
        <s v="AuctionAdmin"/>
        <s v="StakingAdmin"/>
        <s v="ReferendumKiller"/>
        <s v="ReferendumCanceller"/>
        <s v="FellowshipAdmin"/>
        <s v="LeaseAdmin"/>
        <m/>
        <s v="WishForChange"/>
      </sharedItems>
    </cacheField>
    <cacheField name="AYEs" numFmtId="165">
      <sharedItems containsString="0" containsBlank="1" containsNumber="1">
        <n v="7735.4101"/>
        <n v="2233979.009701535"/>
        <n v="378059.8396858491"/>
        <n v="8.585082224565667E7"/>
        <n v="2528444.8001554697"/>
        <n v="9648535.68311292"/>
        <n v="2074686.070993722"/>
        <n v="2678085.5293575157"/>
        <n v="6253826.758248116"/>
        <n v="3.6401206899206065E7"/>
        <n v="786169.714188578"/>
        <n v="18333.1"/>
        <n v="81100.5"/>
        <n v="3378026.860683102"/>
        <n v="2374590.5707282093"/>
        <n v="2648904.398457322"/>
        <n v="4112784.7833038564"/>
        <n v="636529.2273782742"/>
        <n v="6.606000011524445E7"/>
        <n v="954772.8672961564"/>
        <n v="3210641.9696878437"/>
        <n v="5206765.447026082"/>
        <n v="4674309.070914032"/>
        <n v="3504455.105842395"/>
        <n v="1549724.6118197916"/>
        <n v="1999230.0560329945"/>
        <n v="1972241.1905529392"/>
        <n v="1824897.4281974696"/>
        <n v="1832886.2950795456"/>
        <n v="5716836.764256967"/>
        <n v="2027584.2021437099"/>
        <n v="1986121.7661197702"/>
        <n v="1421644.9241235747"/>
        <n v="2264937.4916216643"/>
        <n v="2946712.004114563"/>
        <n v="3627633.1003135424"/>
        <n v="1312361.345130413"/>
        <n v="1184379.4564274505"/>
        <n v="95326.1830414097"/>
        <n v="1926512.2894038626"/>
        <n v="535586.4422059607"/>
        <n v="578479.153888036"/>
        <n v="22100.0"/>
        <n v="1736554.51924286"/>
        <n v="3174849.7778280494"/>
        <n v="2881164.8922535484"/>
        <n v="258648.0611109425"/>
        <n v="1.1334665505857082E7"/>
        <n v="922871.0506156298"/>
        <n v="804877.8936606903"/>
        <n v="397715.71"/>
        <n v="6.2443324698371075E7"/>
        <n v="495269.8360762875"/>
        <n v="1.6388178298898268E8"/>
        <n v="2588925.6659325603"/>
        <n v="6.157420157551171E7"/>
        <n v="3.977665007842737E7"/>
        <n v="1026127.0465299801"/>
        <n v="6.124214665431561E7"/>
        <n v="122018.0659236606"/>
        <n v="44182.6993408617"/>
        <n v="381841.6537766811"/>
        <n v="4847597.456583484"/>
        <n v="8335.1"/>
        <n v="220863.9527388797"/>
        <n v="0.0"/>
        <n v="24.15"/>
        <n v="284632.6898"/>
        <n v="1.2985389954747396E7"/>
        <n v="24660.0"/>
        <n v="924670.6679387339"/>
        <n v="4880359.655201729"/>
        <n v="1.4044302470903544E7"/>
        <n v="5.6403189080470085E7"/>
        <n v="8435.0"/>
        <n v="701086.5995730502"/>
        <n v="586.6001"/>
        <n v="6210049.197051994"/>
        <n v="536698.3342410373"/>
        <n v="2770176.478645523"/>
        <n v="6921.2"/>
        <n v="3.8681362508912414E7"/>
        <n v="7574005.649151822"/>
        <n v="2732511.4242491024"/>
        <n v="3812823.3020713115"/>
        <n v="4.4924577120154776E7"/>
        <n v="332889.2860128057"/>
        <n v="10.864"/>
        <n v="1317634.1273362057"/>
        <n v="12107.60327"/>
        <n v="7908415.330092529"/>
        <n v="575.1"/>
        <n v="3171.71527"/>
        <n v="7725902.403130105"/>
        <n v="2374640.5356330145"/>
        <n v="2280748.43645582"/>
        <n v="241778.9867892313"/>
        <n v="4039651.941887917"/>
        <n v="8401407.083628017"/>
        <n v="1139247.9246899975"/>
        <n v="3.308373006945709E7"/>
        <n v="1454747.933590664"/>
        <n v="4201378.731518984"/>
        <n v="2718300.389463449"/>
        <n v="469.5001"/>
        <n v="1.3428261636466892E7"/>
        <n v="46.5606"/>
        <n v="349300.0235388797"/>
        <n v="1110896.6022407254"/>
        <n v="1607072.6209056086"/>
        <n v="6.832810810186908E7"/>
        <n v="9549371.48081784"/>
        <n v="6915202.110300566"/>
        <n v="6935202.312304886"/>
        <n v="6964815.49971053"/>
        <n v="6459460.543195448"/>
        <n v="552334.3568617809"/>
        <n v="2416625.7260041023"/>
        <n v="1.0393061010226985E7"/>
        <n v="9881167.304925859"/>
        <n v="1.3377423438059485E7"/>
        <n v="1639770.42252777"/>
        <n v="8.206835035509123E7"/>
        <n v="6510028.820878574"/>
        <n v="8838877.482657176"/>
        <n v="2.5778966219183177E7"/>
        <n v="477424.7660347505"/>
        <n v="250564.3001"/>
        <n v="1532577.915722291"/>
        <n v="1053668.0843173577"/>
        <n v="8.366270379160039E7"/>
        <n v="642061.6815548666"/>
        <n v="1.2979680756598456E8"/>
        <n v="1.148536594206403E7"/>
        <n v="2.260258761832344E7"/>
        <n v="1.4190929773337824E7"/>
        <n v="1259065.6445507207"/>
        <n v="1.1694379632907165E7"/>
        <n v="1620177.6132044385"/>
        <n v="6.735201764582942E7"/>
        <n v="1.500948115578165E7"/>
        <n v="9815523.715501022"/>
        <n v="7.962913429153393E7"/>
        <n v="709765.1801915593"/>
        <n v="539671.9548509261"/>
        <n v="1.0908977520959217E7"/>
        <n v="9073901.901891729"/>
        <n v="263544.2916222079"/>
        <n v="1738801.961481443"/>
        <n v="5500.2001"/>
        <n v="8173838.924613327"/>
        <n v="1.0935687746352661E7"/>
        <n v="1.1550445501611734E7"/>
        <n v="1.5145558668774566E7"/>
        <n v="3072144.4368458968"/>
        <n v="2.1296002802137867E7"/>
        <n v="1.415097775408714E7"/>
        <n v="2.900250996645172E7"/>
        <n v="2.853342736191947E7"/>
        <n v="6714486.932214823"/>
        <n v="3.2922393783723775E7"/>
        <n v="4.0992246510089815E7"/>
        <n v="2.4138423605158653E7"/>
        <n v="1.3862980444431776E7"/>
        <n v="1124068.261025354"/>
        <n v="1.5885988959660273E7"/>
        <n v="7.987862777888377E7"/>
        <n v="3.459635421283184E7"/>
        <n v="1.664284886018637E7"/>
        <n v="239659.293476854"/>
        <n v="3.0182311032798253E7"/>
        <n v="7838951.480903813"/>
        <n v="1.5974743506895315E7"/>
        <n v="453451.1"/>
        <n v="1.1359224421684125E8"/>
        <n v="1.940517177411935E7"/>
        <n v="9618419.74893157"/>
        <n v="4.183694146930335E7"/>
        <n v="1.560995924957572E7"/>
        <n v="4.729266341660337E7"/>
        <n v="3492930.8145728265"/>
        <n v="3.1642966237652868E7"/>
        <n v="42262.7451"/>
        <n v="1.213702657335041E7"/>
        <n v="3.1090138862718776E7"/>
        <n v="3.0524674569029473E7"/>
        <n v="3424916.8906073472"/>
        <n v="3.0398607270912297E7"/>
        <n v="305821.9566813823"/>
        <n v="155746.3318779763"/>
        <n v="3.119588903066481E7"/>
        <n v="3.326273688073045E7"/>
        <n v="65021.755100001"/>
        <n v="3.2315766331863116E7"/>
        <n v="3.0376400769506324E7"/>
        <n v="22322.9872152575"/>
        <n v="3.118663247414238E7"/>
        <n v="7594055.146525093"/>
        <n v="7170544.101573456"/>
        <n v="3.036573339115184E7"/>
        <n v="3.2575630328886285E7"/>
        <n v="3.506008154796286E7"/>
        <n v="4.0944721186264046E7"/>
        <n v="30782.7824"/>
        <n v="1.3526278503535137E7"/>
        <n v="268301.7400043632"/>
        <n v="4.253635629766143E7"/>
        <n v="3.2596761284318846E7"/>
        <n v="8747316.168064626"/>
        <n v="3.491141157795172E7"/>
        <n v="54351.1965872279"/>
        <n v="3.2009625444757596E7"/>
        <n v="3.342557354838428E7"/>
        <n v="4.6815598214285605E7"/>
        <n v="3.0641890579793774E7"/>
        <n v="4.070204191998445E7"/>
        <n v="3.0276875258131795E7"/>
        <n v="4.4349149885587655E7"/>
        <n v="158902.6395762959"/>
        <n v="3.0799899878889088E7"/>
        <n v="1.6096052322877951E7"/>
        <n v="4.215251327346247E7"/>
        <n v="310887.5519093985"/>
        <n v="3.01186582052E7"/>
        <n v="3.0458354505445477E7"/>
        <n v="3.0565509954260625E7"/>
        <n v="3915886.003298794"/>
        <n v="75835.6460449078"/>
        <n v="4.144936497389439E7"/>
        <n v="4.861064937283248E7"/>
        <n v="3.0394841984804146E7"/>
        <n v="405745.7794890173"/>
        <n v="3.1727688998453148E7"/>
        <n v="86511.1236388797"/>
        <n v="9657506.947035635"/>
        <n v="4.198844824830957E7"/>
        <n v="7420.0"/>
        <n v="5.0372653225207165E7"/>
        <n v="3.2834677912353866E7"/>
        <n v="1199182.177945212"/>
        <n v="4.084510661581922E7"/>
        <n v="3.0301602456372637E7"/>
        <n v="3.049210498361186E7"/>
        <n v="3.396786575441203E7"/>
        <n v="1.2611289326016707E7"/>
        <n v="4.447467007021421E7"/>
        <n v="4.170657932097578E7"/>
        <n v="3.0197495688847136E7"/>
        <n v="6960541.497850952"/>
        <n v="16033.3"/>
        <n v="25152.4251194975"/>
        <n v="117996.6605492723"/>
        <n v="134664.2983679656"/>
        <n v="3.082788707886366E7"/>
        <n v="3.0405853046075806E7"/>
        <n v="3.0009445E7"/>
        <n v="3.000600001E7"/>
        <n v="3.09119566222856E7"/>
        <n v="3.0790426015789296E7"/>
        <n v="3.378994176920147E7"/>
        <n v="3.0578919776982248E7"/>
        <n v="4.0095955500001E7"/>
        <n v="3915480.7786718556"/>
        <n v="8388366.351820052"/>
        <n v="2776898.2918266035"/>
        <n v="1.0201382906180096E8"/>
        <n v="4.015662752277223E7"/>
        <n v="4.00292686E7"/>
        <n v="4.2846134456303306E7"/>
        <n v="4.008488575168E7"/>
        <n v="19054.0"/>
        <n v="12005.0"/>
        <n v="4.008898921257388E7"/>
        <n v="0.01"/>
        <n v="4.00534141E7"/>
        <n v="354426.6326709574"/>
        <n v="5.0738421406445645E7"/>
        <n v="1.2195779086624645E7"/>
        <n v="66319.9858"/>
        <n v="28005.0011"/>
        <n v="46808.0"/>
        <n v="706090.0284884511"/>
        <n v="35845.1898"/>
        <n v="4.013379374191113E7"/>
        <n v="15014.5693732923"/>
        <n v="2.8468141141384706E7"/>
        <n v="10200.0"/>
        <n v="1.1597520754924638E7"/>
        <n v="4.0031866502648085E7"/>
        <n v="15130.5360900128"/>
        <n v="4.245212836202146E7"/>
        <n v="33573.9872152575"/>
        <n v="5887272.612024391"/>
        <n v="7951.3"/>
        <n v="5010.2"/>
        <n v="4.258797100522304E7"/>
        <n v="4.0819009214806415E7"/>
        <n v="5732.8372980983"/>
        <n v="104439.4898"/>
        <n v="4.465946919095604E7"/>
        <n v="446964.1980092828"/>
        <n v="4.967111193559184E7"/>
        <n v="30700.1"/>
        <n v="1.4313621314417174E7"/>
        <n v="2062021.4808090366"/>
        <n v="65403.9885414647"/>
        <n v="4.4187135340540595E7"/>
        <n v="5.226050330335246E7"/>
        <n v="1.570833500163753E7"/>
        <n v="6228798.944682249"/>
        <n v="16010.0"/>
        <n v="15000.0"/>
        <n v="15021.1"/>
        <n v="35000.00000001"/>
        <n v="1.0E-9"/>
        <n v="4865870.116532736"/>
        <n v="1000.1000010001"/>
        <n v="90810.5760615647"/>
        <n v="123349.5885424647"/>
        <n v="4.069527459459643E7"/>
        <n v="5.0609674107939035E7"/>
        <n v="9500.1"/>
        <n v="5.362030762578072E7"/>
        <n v="1100.601"/>
        <n v="27.20000001"/>
        <n v="4.344460132650781E7"/>
        <n v="1938416.8089000662"/>
        <n v="2452744.3595240074"/>
        <n v="5.3048548260518506E7"/>
        <n v="3.1116971862839773E7"/>
        <n v="705123.0032703419"/>
        <n v="4.391815148159021E7"/>
        <n v="2341030.322045777"/>
        <n v="1.1784649916953847E7"/>
        <n v="820167.5394027361"/>
        <n v="4.077124636234969E7"/>
        <n v="4.012783179648351E7"/>
        <n v="4.0139274507129185E7"/>
        <n v="642341.841820502"/>
        <n v="1.277154673353161E7"/>
        <n v="1299312.8215687599"/>
        <n v="1.0395602393778948E7"/>
        <n v="2186348.418541134"/>
        <n v="4.290680056530482E7"/>
        <n v="29367.0693732923"/>
        <n v="174575.1980649949"/>
        <n v="1284846.0818512216"/>
        <n v="18965.6761885379"/>
        <n v="1.4242921524911059E7"/>
        <n v="6.330314211125132E7"/>
        <n v="4.0012051951830134E7"/>
        <n v="5.441849491967519E7"/>
        <n v="4.026127863549032E7"/>
        <n v="1.322039321812113E7"/>
        <n v="956373.4506632377"/>
        <n v="4.3493004495830566E7"/>
        <n v="1.276356410238278E7"/>
        <n v="4.397089448350183E7"/>
        <n v="4.395592366645032E7"/>
        <n v="5.909476852444479E7"/>
        <n v="6135.6418470812"/>
        <n v="4.0552992542348444E7"/>
        <n v="4.067533323733385E7"/>
        <n v="4.06707686570151E7"/>
        <n v="4.261972314879799E7"/>
        <n v="1.4931890672529168E7"/>
        <n v="4.225674058329386E7"/>
        <n v="8.023698548943074E7"/>
        <n v="5.584778703853539E7"/>
        <n v="4.232410623543862E7"/>
        <n v="2.260301831403366E7"/>
        <n v="2449152.4135266454"/>
        <n v="1.8698599488974273E7"/>
        <n v="1.1339551889382637E8"/>
        <n v="265094.6151087827"/>
        <n v="4.072271855255669E7"/>
        <n v="4.006224401349976E7"/>
        <n v="20972.75511"/>
        <n v="8.823238309167229E7"/>
        <n v="5.4305843981351405E7"/>
        <n v="1.5053993907782946E7"/>
        <n v="4.205530829556923E7"/>
        <n v="25251.0"/>
        <n v="4.616974755489394E7"/>
        <n v="96537.7063194007"/>
        <n v="2822333.194635843"/>
        <n v="1.6431166850760797E7"/>
        <n v="12262.1531"/>
        <n v="1.0063210331016317E7"/>
        <n v="3868657.0971086035"/>
        <n v="25142.16037"/>
        <n v="206693.3777962458"/>
        <n v="1.3950343378647817E7"/>
        <n v="1.6332373649223462E7"/>
        <n v="5.536930947291529E7"/>
        <n v="3.305601927908205E7"/>
        <n v="22474.1362587345"/>
        <n v="82271.5289358169"/>
        <n v="3221218.82419314"/>
        <n v="406265.0568534576"/>
        <n v="1.570805249379172E7"/>
        <n v="5.347126750729976E7"/>
        <n v="5.484933424733982E7"/>
        <n v="1.650780816486209E7"/>
        <n v="4.920106429207879E7"/>
        <n v="18546.501"/>
        <n v="1.6200841224434428E7"/>
        <n v="7.054771671067053E7"/>
        <n v="7.94505155868593E7"/>
        <n v="6623982.139878463"/>
        <n v="4.922644423606378E7"/>
        <n v="435659.7318281898"/>
        <n v="2951739.321320447"/>
        <n v="2682637.447763442"/>
        <n v="5.929524864911567E7"/>
        <n v="1.646791793183994E7"/>
        <n v="2438772.265202299"/>
        <n v="5.0703275599762715E7"/>
        <n v="6233430.81305844"/>
        <n v="17022.8"/>
        <n v="1.5429450623665174E7"/>
        <n v="3056926.415414998"/>
        <n v="4011045.8533452693"/>
        <n v="996528.6622540269"/>
        <n v="6.924945406874073E7"/>
        <n v="3519457.6617520647"/>
        <n v="357610.8190186394"/>
        <n v="6.277156721532117E7"/>
        <n v="1.5656937631619591E7"/>
        <n v="277908.3436185267"/>
        <n v="1.5747458876525125E7"/>
        <n v="5.4020773505315796E7"/>
        <n v="1.0709022656888427E8"/>
        <n v="5876880.270488367"/>
        <n v="5.2014640126166955E7"/>
        <n v="521453.4074852575"/>
        <n v="8.9287631441525E7"/>
        <n v="390214.7004691655"/>
        <n v="5.1388946833150886E7"/>
        <n v="5.3714025922557965E7"/>
        <n v="5.313423483003441E7"/>
        <n v="550.0"/>
        <n v="5.8051105417226255E7"/>
        <n v="1.982663704532581E7"/>
        <n v="3.0073282522088356E7"/>
        <n v="2.1774369355430014E7"/>
        <n v="38210.7065089378"/>
        <n v="5052.42"/>
        <n v="6303042.257454891"/>
        <n v="6.56381745139761E7"/>
        <n v="1.219522559384857E8"/>
        <n v="3170874.660111985"/>
        <n v="5692593.665392343"/>
        <n v="1.914115084021847E7"/>
        <n v="2.5536990760058828E7"/>
        <n v="3.682739521376238E7"/>
        <n v="7.629591859518103E7"/>
        <n v="2961619.968297197"/>
        <n v="305211.4276028223"/>
        <n v="4.97698949781311E7"/>
        <n v="4.005788845602789E7"/>
        <n v="5.783022838123502E7"/>
        <n v="4.52831669928855E7"/>
        <n v="4.475472834893425E7"/>
        <n v="3256261.08794438"/>
        <n v="7030776.94725024"/>
        <n v="1.1111518046745734E8"/>
        <n v="2973029.555406196"/>
        <n v="3.990367906261194E7"/>
        <n v="8.016832127427164E7"/>
        <n v="2266670.1158870035"/>
        <n v="8545920.303610448"/>
        <n v="2593462.4618386147"/>
        <n v="11093.2"/>
        <n v="2.5419753158659376E7"/>
        <n v="5.962496221763242E7"/>
        <n v="6.8575843461037E7"/>
        <n v="5.4419645404911175E7"/>
        <n v="2.5092810810570687E7"/>
        <n v="3.2613245069945853E7"/>
        <n v="7.606264303949694E7"/>
        <n v="9.644876906770921E7"/>
        <n v="6.227270645543522E7"/>
        <n v="2590503.6868194886"/>
        <n v="6.224676456649029E7"/>
        <n v="6.2276848443343E7"/>
        <n v="4.337411657282051E7"/>
        <n v="571976.729612511"/>
        <n v="7.209142301734157E7"/>
        <n v="231496.3877401491"/>
        <n v="6143539.839719509"/>
        <n v="4.3595244972515054E7"/>
        <n v="6168691.171117416"/>
        <n v="2676.5"/>
        <n v="3.6828302610091045E7"/>
        <n v="5.031454435451154E7"/>
        <n v="2741623.0037323334"/>
        <n v="4.06685615959131E7"/>
        <n v="6.622422831225044E7"/>
        <n v="1.6979236869608227E7"/>
        <n v="2.50131365889723E7"/>
        <n v="5.327197928171667E7"/>
        <n v="5.350181199562601E7"/>
        <n v="716434.4270274406"/>
        <n v="3.9545297569549695E7"/>
        <n v="5366620.89512665"/>
        <n v="6.822262387859622E7"/>
        <n v="12187.6238876499"/>
        <n v="2.2788592006619725E7"/>
        <n v="5030.211"/>
        <n v="3.6588895925391264E7"/>
        <n v="4965874.744405296"/>
        <n v="4424404.1293616155"/>
        <n v="27572.1915504368"/>
        <n v="1536.0"/>
        <n v="30061.7151"/>
        <n v="4610983.325563604"/>
        <n v="2.8277300918579224E7"/>
        <n v="2.4519970660588082E7"/>
        <n v="1.6398563393097922E7"/>
        <n v="38.0233960344"/>
        <n v="8.966078829988521E7"/>
        <n v="51063.3338906851"/>
        <n v="3858268.0759964073"/>
        <n v="6.128728843590205E7"/>
        <n v="2.788864812668885E7"/>
        <n v="144746.2855027388"/>
        <n v="56434.4628020922"/>
        <n v="223662.7050747599"/>
        <n v="286690.0646839105"/>
        <n v="1.957999529438962E7"/>
        <n v="3.3321280719731968E7"/>
        <n v="3.0955745308786813E7"/>
        <n v="1.6188858585702918E7"/>
        <n v="8.085623036125809E7"/>
        <n v="2084645.057263179"/>
        <n v="6.944506625600159E7"/>
        <n v="7.711076833889154E7"/>
        <n v="1455004.3264711692"/>
        <n v="161606.7647552435"/>
        <n v="2970382.273284831"/>
        <n v="52422.31"/>
        <n v="0.1"/>
        <n v="6.139930534382708E7"/>
        <m/>
        <n v="5.1964057789723456E7"/>
        <n v="2.8993230107458778E7"/>
        <n v="6378737.315504522"/>
        <n v="4.114682858828724E7"/>
        <n v="5.3068844008963026E7"/>
        <n v="4.106191528092714E7"/>
        <n v="5.649735380051413E7"/>
        <n v="5.663275906343913E7"/>
        <n v="6656004.024445286"/>
        <n v="351354.5467962191"/>
        <n v="4080227.2882983503"/>
        <n v="2.2019297241739362E7"/>
        <n v="5.5976035508463316E7"/>
        <n v="2.055178827516754E7"/>
        <n v="2.1772603304757383E7"/>
        <n v="159023.2204742318"/>
        <n v="1.5509676192860667E7"/>
        <n v="5272.33429015"/>
        <n v="2.668803964254866E7"/>
        <n v="2.7123074765413158E7"/>
        <n v="6301797.348995305"/>
        <n v="3.858853669086745E7"/>
        <n v="2.6266859183600828E7"/>
        <n v="1.983412784100694E7"/>
        <n v="1.982902712300694E7"/>
        <n v="4.3585097631919436E7"/>
        <n v="9.584684971349336E7"/>
        <n v="4.120019627424938E7"/>
        <n v="58275.5709033567"/>
        <n v="4.811509113231536E7"/>
        <n v="9840638.10170878"/>
        <n v="9637007.806086784"/>
        <n v="13.1"/>
        <n v="9528497.355784496"/>
        <n v="1.5540508163125664E7"/>
        <n v="9.649316618004514E7"/>
        <n v="6.045112892136628E7"/>
        <n v="1.4070614507029708E7"/>
        <n v="1.1710285727579564E7"/>
        <n v="3.028339744175481E7"/>
        <n v="6.6444242702947125E7"/>
        <n v="6.408688965207504E7"/>
        <n v="4.0595759980480224E7"/>
        <n v="1.6363832556860913E7"/>
        <n v="4.212462315131025E7"/>
        <n v="1234996.1824093596"/>
        <n v="72002.4497526022"/>
        <n v="278396.3914973283"/>
        <n v="21144.9235388797"/>
        <n v="5042.5"/>
        <n v="174943.3292221152"/>
        <n v="19588.6"/>
        <n v="1.5925082458441354E7"/>
        <n v="6.820345296552911E7"/>
        <n v="3.0757536434500918E7"/>
        <n v="4.83865529140287E7"/>
        <n v="5585.9852822421"/>
        <n v="9.547172776203313E7"/>
        <n v="1.3999206840506938E8"/>
        <n v="3.2949208165320445E7"/>
        <n v="3.1222951084648177E7"/>
        <n v="2.2276762370600972E7"/>
        <n v="90.0"/>
        <n v="1.5118191149519898E7"/>
        <n v="1.543054023117283E7"/>
        <n v="6696387.242893838"/>
        <n v="1585353.068169271"/>
        <n v="2.6044238677712448E7"/>
        <n v="6126356.3945755465"/>
        <n v="3.328821125117913E7"/>
        <n v="1.460571317144677E7"/>
        <n v="1.6010808858177153E7"/>
        <n v="1.1359882397318932E8"/>
        <n v="3.1263802759612262E7"/>
        <n v="1.2670754229037007E7"/>
        <n v="2.2092464028749596E7"/>
        <n v="2.510706426516827E7"/>
        <n v="2.7861549025205825E7"/>
        <n v="3067530.4542505695"/>
        <n v="2.1956707246073242E7"/>
        <n v="9.513183595277497E7"/>
        <n v="4.27810084451573E7"/>
        <n v="2.633359030294356E7"/>
        <n v="2.9272225681329094E7"/>
        <n v="6.0186620898426965E7"/>
        <n v="7.164889069742276E7"/>
        <n v="2.3407486917756654E7"/>
        <n v="5.495008536106465E7"/>
        <n v="2792589.2605857137"/>
        <n v="7.827719518856193E7"/>
        <n v="2.501772531707894E7"/>
        <n v="2.1781669610639274E7"/>
        <n v="4.157178981025734E7"/>
        <n v="0.02"/>
        <n v="1.2378219411409115E7"/>
        <n v="1.8931912162431866E7"/>
        <n v="4.0"/>
        <n v="3.43843341452359E7"/>
        <n v="3.24976708496217E7"/>
        <n v="1.2956314595299855E7"/>
        <n v="2.7695702597177453E7"/>
        <n v="2.0291719983277466E7"/>
        <n v="3.808948874393382E7"/>
        <n v="3.2434635027898677E7"/>
        <n v="3.9"/>
        <n v="6147712.278539262"/>
        <n v="1.5790448086064912E7"/>
        <n v="1.2201796754149145E7"/>
        <n v="3.7226426753030896E7"/>
        <n v="2.3251352540421523E7"/>
        <n v="1.979789156981795E7"/>
        <n v="1.2682149199485077E7"/>
        <n v="1.2423933222471114E7"/>
        <n v="1.27845626729478E7"/>
        <n v="1.3959692809620485E7"/>
        <n v="5.400262213176732E7"/>
        <n v="4.4294834772344775E7"/>
        <n v="4.141246787565949E7"/>
        <n v="122718.7035491526"/>
        <n v="32604.01"/>
        <n v="8.062275986886974E7"/>
        <n v="1.9604690371823773E7"/>
        <n v="3.130147925432312E7"/>
        <n v="4.047935764175173E7"/>
        <n v="8.930637306363092E7"/>
        <n v="3.852607850973605E7"/>
        <n v="1253886.5470499354"/>
        <n v="6.3851171334315635E7"/>
        <n v="7.739687108635575E7"/>
        <n v="2.462397184997969E7"/>
        <n v="4.845083724324816E7"/>
        <n v="431.2303287823"/>
        <n v="4.993081629468225E7"/>
        <n v="3626138.55503579"/>
        <n v="9.54882896811075E7"/>
        <n v="4.135087819551657E7"/>
        <n v="20637.01"/>
        <n v="3.0680796148644384E7"/>
        <n v="6.294993000640261E7"/>
        <n v="4.598609098312451E7"/>
        <n v="110690.447091685"/>
        <n v="7.010156531E7"/>
        <n v="2.746472260536186E7"/>
        <n v="5.3078060435503535E7"/>
        <n v="5.554173244854301E7"/>
        <n v="7.077082042633684E7"/>
        <n v="2.668836595087183E7"/>
        <n v="2.214555960666927E7"/>
        <n v="7596050.504003475"/>
        <n v="1.365173018580691E7"/>
        <n v="5.569914678446152E7"/>
        <n v="1.1023924643445787E8"/>
        <n v="6459370.140016061"/>
        <n v="2189733.730543222"/>
        <n v="1.5691629735900668E7"/>
        <n v="8.347302205830307E7"/>
        <n v="3.837832311101514E7"/>
        <n v="2.4781612820135582E7"/>
        <n v="2.126443815495793E7"/>
        <n v="1.1900966157190477E7"/>
        <n v="2.6345761323407378E7"/>
        <n v="8062.0"/>
        <n v="1.5079383147556683E7"/>
        <n v="2373684.058770129"/>
        <n v="6.608190551E7"/>
        <n v="1.5486823745310143E7"/>
        <n v="5.7411484900751E7"/>
        <n v="4.369177981816692E7"/>
        <n v="2.8856070129855145E7"/>
        <n v="6.71098173642961E7"/>
        <n v="5.509427683145718E7"/>
        <n v="1.5630059168483255E7"/>
        <n v="2.2666868331777394E7"/>
        <n v="3.651738030086333E7"/>
        <n v="4.557832235378346E7"/>
        <n v="1.2750026550196104E8"/>
        <n v="8.03343693584753E7"/>
        <n v="7.219814847494596E7"/>
        <n v="6.76384267371569E7"/>
        <n v="3551695.3569179988"/>
        <n v="2.0"/>
        <n v="6.922501980393365E7"/>
        <n v="2.0151109116747275E7"/>
        <n v="2.9200896385980844E7"/>
        <n v="3.795721278723195E7"/>
        <n v="4.140273258308712E7"/>
        <n v="46210.2"/>
        <n v="1.6829807692869313E7"/>
        <n v="22559.5610012343"/>
        <n v="4.3775773303951435E7"/>
        <n v="2.852289554537966E7"/>
        <n v="10009.2480460108"/>
        <n v="7.386552094267233E7"/>
        <n v="2.7728138077237185E7"/>
        <n v="7.374476799739224E7"/>
        <n v="3.037627761639012E7"/>
        <n v="1.0757018181980687E8"/>
        <n v="5.8766640236364126E7"/>
        <n v="1.957365060392119E7"/>
        <n v="8.104297126360759E7"/>
        <n v="4.114354769820072E7"/>
        <n v="9792206.23882322"/>
        <n v="6.2418651328313775E7"/>
        <n v="6.476004899118147E7"/>
        <n v="149548.4807177868"/>
        <n v="720.0"/>
        <n v="4.169980396486731E7"/>
        <n v="4.18317662206843E7"/>
        <n v="521008.1670816278"/>
        <n v="7.945687603354435E7"/>
        <n v="2.322254547911089E7"/>
        <n v="529708.6358786034"/>
        <n v="1.5704305859246816E7"/>
        <n v="2.6542863801833585E7"/>
        <n v="5459116.52353888"/>
        <n v="1.2293383619492548E7"/>
        <n v="9970428.09812112"/>
        <n v="6.60528486E7"/>
        <n v="7.547054917272668E7"/>
        <n v="7.009742036974022E7"/>
        <n v="56.14"/>
        <n v="1.5190356339182127E7"/>
        <n v="1.7302899227684572E7"/>
        <n v="9.58845640645024E7"/>
        <n v="3.815879603813138E7"/>
        <n v="9299448.942535723"/>
        <n v="4906243.470630565"/>
        <n v="3573791.397174845"/>
        <n v="400680.9321555039"/>
        <n v="5.332484746138717E7"/>
        <n v="1.279854844864592E7"/>
        <n v="6439928.768173273"/>
        <n v="152076.357810075"/>
        <n v="4.638678910095427E7"/>
        <n v="1.77674757830758E7"/>
        <n v="1.0913055714323848E7"/>
        <n v="9906673.546190666"/>
        <n v="4287060.945655815"/>
        <n v="0.0913564389"/>
        <n v="4396613.709590542"/>
        <n v="1.9150399945134796E7"/>
        <n v="1.0E-10"/>
        <n v="1.6703818859296778E7"/>
        <n v="2.0983748858454604E7"/>
        <n v="4431.7090568882"/>
        <n v="9396264.12615785"/>
        <n v="8.618542929292434E7"/>
        <n v="2.1738347371875145E7"/>
        <n v="6.323707081344256E7"/>
        <n v="3896.6"/>
        <n v="3.366649862889355E7"/>
        <n v="6.070405556605734E7"/>
        <n v="101091.347091685"/>
        <n v="255711.5045491526"/>
        <n v="3950876.7834916604"/>
        <n v="137490.2235026052"/>
        <n v="1.3754766585765146E7"/>
        <n v="2.8614972529792883E7"/>
        <n v="1.942837050608435E7"/>
        <n v="4.7435370260943696E7"/>
        <n v="4.932535530294791E7"/>
        <n v="6.49088293E7"/>
        <n v="1.5145910207192047E7"/>
        <n v="4325310.85172637"/>
        <n v="1.768917172096417E7"/>
        <n v="2.359389874185622E7"/>
        <n v="341749.851087096"/>
        <n v="1.329316836791525E8"/>
        <n v="1.2980898190504821E7"/>
        <n v="1.941925958081955E7"/>
        <n v="2.8126382884544637E7"/>
        <n v="26441.2873962073"/>
        <n v="8920946.21300163"/>
        <n v="2.6260067339094143E7"/>
        <n v="1.319405825608982E7"/>
        <n v="7.304618611055021E7"/>
        <n v="5856471.01498141"/>
        <n v="2.1449377337148007E7"/>
        <n v="4.169707124053409E7"/>
        <n v="5.208743713188946E7"/>
        <n v="5.235930689288504E7"/>
        <n v="5.2841564359386615E7"/>
        <n v="5.369510900747268E7"/>
        <n v="1001716.1463541639"/>
        <n v="4296511.344585252"/>
        <n v="2.54603019907643E7"/>
        <n v="4230650.440340989"/>
        <n v="5.342226577575157E7"/>
        <n v="7698865.058179578"/>
        <n v="14705.0"/>
        <n v="1500.0"/>
        <n v="553654.1271781533"/>
        <n v="3.444482280267985E7"/>
        <n v="2.1342302071591366E7"/>
        <n v="3.0732960823749024E7"/>
        <n v="1.125431398822826E8"/>
        <n v="840527.6920139628"/>
        <n v="5.2479875605968155E7"/>
        <n v="1.2863495003549153E7"/>
        <n v="2054737.0138999878"/>
        <n v="53032.6675154096"/>
        <n v="96029.5035491526"/>
        <n v="1361287.8305774522"/>
        <n v="2181514.5518546794"/>
        <n v="16802.1"/>
        <n v="10250.0"/>
        <n v="2.3062078460262343E7"/>
        <n v="426626.6181879694"/>
        <n v="1.708520749290078E7"/>
        <n v="1.3529577332268534E7"/>
        <n v="5.217283833542938E7"/>
        <n v="1.1270362373251139E8"/>
        <n v="128143.847091685"/>
        <n v="1.770066171190921E8"/>
        <n v="712115.5404656086"/>
        <n v="4520145.849381444"/>
        <n v="1.775105841406512E7"/>
        <n v="1.2819849330637237E7"/>
        <n v="3.930751408049156E7"/>
        <n v="2.2486116171625115E7"/>
        <n v="9374020.835346866"/>
        <n v="4406773.960592074"/>
        <n v="1.9065683793081976E7"/>
        <n v="2.9069068703550152E7"/>
        <n v="113644.5035491526"/>
        <n v="624063.186134604"/>
        <n v="574081.9982314019"/>
        <n v="3561178.420361336"/>
        <n v="2.448287369319474E7"/>
        <n v="16808.2"/>
        <n v="4263508.736659206"/>
        <n v="2925953.717180307"/>
        <n v="4882023.271207002"/>
        <n v="2.236439077260931E7"/>
        <n v="25.0"/>
        <n v="3.0562661664434727E7"/>
        <n v="5331229.3926854925"/>
        <n v="4359694.370630565"/>
        <n v="21854.1000000001"/>
        <n v="16800.2"/>
        <n v="332408.6601980858"/>
        <n v="34261.7366592061"/>
        <n v="8050.0"/>
        <n v="945586.469146613"/>
        <n v="14994.0"/>
      </sharedItems>
    </cacheField>
    <cacheField name="NAYs" numFmtId="165">
      <sharedItems containsString="0" containsBlank="1" containsNumber="1">
        <n v="2776016.4071780127"/>
        <n v="3249706.493460312"/>
        <n v="1761651.3027568972"/>
        <n v="0.0"/>
        <n v="800119.465234279"/>
        <n v="2859825.6206017635"/>
        <n v="637265.3748057142"/>
        <n v="317570.8033617394"/>
        <n v="429028.9145927421"/>
        <n v="20264.5"/>
        <n v="2763283.584264918"/>
        <n v="3389665.0673079365"/>
        <n v="3200852.7298340774"/>
        <n v="375143.0475345054"/>
        <n v="701265.3519029213"/>
        <n v="846335.2475345054"/>
        <n v="7250812.633153093"/>
        <n v="2185637.1675414243"/>
        <n v="100.1"/>
        <n v="2747592.845394487"/>
        <n v="390263.0608"/>
        <n v="1469069.3459266594"/>
        <n v="4422681.847630495"/>
        <n v="50674.5001"/>
        <n v="476201.8865112867"/>
        <n v="322967.6608"/>
        <n v="344405.6556"/>
        <n v="322553.7556"/>
        <n v="379790.9589303516"/>
        <n v="8474908.448823085"/>
        <n v="8053184.338945685"/>
        <n v="373221.6924692313"/>
        <n v="673386.802499875"/>
        <n v="5921508.980960048"/>
        <n v="3816011.5749859964"/>
        <n v="3520391.387092367"/>
        <n v="1191227.811113608"/>
        <n v="624726.6057113309"/>
        <n v="801640.4259086589"/>
        <n v="634605.3660649953"/>
        <n v="2596306.643848169"/>
        <n v="1962082.5150987648"/>
        <n v="3480490.0550859645"/>
        <n v="1140892.1232540028"/>
        <n v="81230.5637913073"/>
        <n v="2749682.4816202084"/>
        <n v="3502905.499998555"/>
        <n v="3295244.2838937347"/>
        <n v="102665.6052"/>
        <n v="108652.866"/>
        <n v="789693.3307780197"/>
        <n v="100.0"/>
        <n v="1593572.8219458836"/>
        <n v="200.5"/>
        <n v="50313.2"/>
        <n v="11413.3152069446"/>
        <n v="6100.0"/>
        <n v="114582.2"/>
        <n v="2557344.8346599923"/>
        <n v="1116239.0921566642"/>
        <n v="926139.199478539"/>
        <n v="362971.8876054939"/>
        <n v="2970004.1748762988"/>
        <n v="2303159.5566101545"/>
        <n v="1388229.167028686"/>
        <n v="1396571.1542439435"/>
        <n v="1.203636451277686E7"/>
        <n v="5748232.335227015"/>
        <n v="974296.3309908297"/>
        <n v="1408093.552368431"/>
        <n v="558731.4"/>
        <n v="6665.0"/>
        <n v="37839.5"/>
        <n v="1704193.3533758195"/>
        <n v="2271354.803267096"/>
        <n v="4967644.52289783"/>
        <n v="160270.6872152575"/>
        <n v="4016304.5886344914"/>
        <n v="17012.51527"/>
        <n v="3266251.192756873"/>
        <n v="5.980744014463551E7"/>
        <n v="5083003.5840209685"/>
        <n v="105.0001"/>
        <n v="44853.6472740836"/>
        <n v="1.1998648372988708E7"/>
        <n v="1257176.614344529"/>
        <n v="8597057.352723973"/>
        <n v="1.0767076450346833E7"/>
        <n v="2343682.1766621214"/>
        <n v="5973479.092043694"/>
        <n v="1752681.734111025"/>
        <n v="1691419.7090268605"/>
        <n v="1202432.7064286622"/>
        <n v="6537.2608"/>
        <n v="223637.52072"/>
        <n v="8564453.579265747"/>
        <n v="2420972.0955897355"/>
        <n v="7075387.569513494"/>
        <n v="7767062.625196724"/>
        <n v="1.4113955204292133E7"/>
        <n v="7607059.260747373"/>
        <n v="1.2751935100499835E7"/>
        <n v="1205976.0773400085"/>
        <n v="9666029.169369327"/>
        <n v="490200.5592823739"/>
        <n v="1.0376856235622648E7"/>
        <n v="2.4637372195392903E7"/>
        <n v="96196.205521818"/>
        <n v="9897751.71654564"/>
        <n v="10.0"/>
        <n v="1777789.0804504848"/>
        <n v="32741.1"/>
        <n v="12741.0"/>
        <n v="27741.1"/>
        <n v="7669622.991030213"/>
        <n v="1.7394431087814342E7"/>
        <n v="1462553.2046127678"/>
        <n v="1774058.2108842062"/>
        <n v="741684.2711678819"/>
        <n v="9528437.06765272"/>
        <n v="5000.0"/>
        <n v="20708.8341525147"/>
        <n v="2405004.184851485"/>
        <n v="8589727.942633545"/>
        <n v="1.0469698783747932E7"/>
        <n v="1.1319202934961796E7"/>
        <n v="1.0757500133491058E7"/>
        <n v="2.1799859680688288E7"/>
        <n v="5.1"/>
        <n v="1.0403065271781659E7"/>
        <n v="10.0000001"/>
        <n v="591578.0769474191"/>
        <n v="9282888.327112835"/>
        <n v="335416.1258053582"/>
        <n v="49597.6707428057"/>
        <n v="7949509.53322787"/>
        <n v="1.3912353415797839E7"/>
        <n v="574.3"/>
        <n v="1.1836784393508028E7"/>
        <n v="2164853.1242166907"/>
        <n v="8321085.380210415"/>
        <n v="8496668.073803283"/>
        <n v="2029197.8157342088"/>
        <n v="1.3234063197890121E7"/>
        <n v="1.0866612314139314E7"/>
        <n v="1.0902545250796333E7"/>
        <n v="1.1892506619330889E7"/>
        <n v="3.615602047384298E7"/>
        <n v="1035357.3614992728"/>
        <n v="2360329.5508997575"/>
        <n v="1.30392772102238E7"/>
        <n v="1.0707989811922401E7"/>
        <n v="1441880.29251313"/>
        <n v="750254.5688472512"/>
        <n v="5.554697532729751E7"/>
        <n v="4214708.456740625"/>
        <n v="1573255.404904616"/>
        <n v="1.192526170680949E7"/>
        <n v="3120749.43144537"/>
        <n v="1.6356422065604853E7"/>
        <n v="2560151.2917201086"/>
        <n v="1.4215047154586323E7"/>
        <n v="469179.9508784957"/>
        <n v="1.054669198594188E7"/>
        <n v="1.0902778199072879E7"/>
        <n v="7506281.359547438"/>
        <n v="1.0517214324763149E7"/>
        <n v="78191.1"/>
        <n v="1.3259460570952611E7"/>
        <n v="9617022.639728453"/>
        <n v="1.1687126732700344E7"/>
        <n v="7010.0"/>
        <n v="1508814.1225582366"/>
        <n v="1.3069205742926199E7"/>
        <n v="1759274.7082190136"/>
        <n v="1.1707775346271059E7"/>
        <n v="1.1301172215252753E7"/>
        <n v="1.0678793697015744E7"/>
        <n v="2290402.5680582365"/>
        <n v="1139827.406690996"/>
        <n v="1.4315844145121774E7"/>
        <n v="1.2446818670847822E7"/>
        <n v="4716779.223331273"/>
        <n v="1.555904530397792E7"/>
        <n v="1.5581247351948902E7"/>
        <n v="45005.2"/>
        <n v="1.078752271315139E7"/>
        <n v="1.5562634646787075E7"/>
        <n v="1.1182083817293655E7"/>
        <n v="1079535.4249467973"/>
        <n v="1.2612869943638694E7"/>
        <n v="343162.0886441372"/>
        <n v="109018.2"/>
        <n v="506801.5396327592"/>
        <n v="1.3408950321774285E7"/>
        <n v="2073723.9689864835"/>
        <n v="1.1070011057488974E7"/>
        <n v="4103318.8213073215"/>
        <n v="1.6109800952344524E7"/>
        <n v="1612050.1"/>
        <n v="4.505387733536229E7"/>
        <n v="3273022.3646644778"/>
        <n v="1063767.3631033082"/>
        <n v="1.3752258073958397E7"/>
        <n v="1.4755228009936797E7"/>
        <n v="1.1114664132716475E7"/>
        <n v="3985580.2302667242"/>
        <n v="5.828919923032874E7"/>
        <n v="1.1486700826510543E7"/>
        <n v="1226423.4874816907"/>
        <n v="3964552.313170689"/>
        <n v="1640840.3"/>
        <n v="1.8106506949889667E7"/>
        <n v="2738190.4208938363"/>
        <n v="1.5202322409474665E7"/>
        <n v="1.6348075971494554E7"/>
        <n v="3445767.816292549"/>
        <n v="4340440.159228561"/>
        <n v="1.831055537397765E7"/>
        <n v="1.2503451937641766E7"/>
        <n v="1.6234693658547647E7"/>
        <n v="329898.8097734942"/>
        <n v="4.2776238340737134E7"/>
        <n v="1.5662029021986814E7"/>
        <n v="3433779.6796261887"/>
        <n v="6482757.585845532"/>
        <n v="52575.1670582367"/>
        <n v="1.0275617990940167E7"/>
        <n v="1.1968360709720328E7"/>
        <n v="1.5308649734266505E7"/>
        <n v="1246164.7537619453"/>
        <n v="4248856.246321443"/>
        <n v="2.902016628297301E7"/>
        <n v="1321479.5707626857"/>
        <n v="1.1324511636341574E7"/>
        <n v="3.8092512063579015E7"/>
        <n v="1.2539129936206276E7"/>
        <n v="1.442516634810462E7"/>
        <n v="509855.6856913136"/>
        <n v="4768906.662421701"/>
        <n v="1640263.67898479"/>
        <n v="1404565.8430015205"/>
        <n v="6056471.904557891"/>
        <n v="1.2796975256897751E7"/>
        <n v="1.2402330771805251E7"/>
        <n v="4235390.459433627"/>
        <n v="1.28009436881704E7"/>
        <n v="1.3674840009084048E7"/>
        <n v="4.958257608666941E7"/>
        <n v="4.968111951148787E7"/>
        <n v="1729854.4601754772"/>
        <n v="5235595.222410884"/>
        <n v="7354478.307989768"/>
        <n v="1192044.9682169957"/>
        <n v="1284797.6662018285"/>
        <n v="2.8259576395204253E7"/>
        <n v="4.710742690177693E7"/>
        <n v="1.2400499771810254E7"/>
        <n v="9135.0"/>
        <n v="1247495.0517497743"/>
        <n v="2.8399895388290156E7"/>
        <n v="5.195158233001553E7"/>
        <n v="2.617005792020953E7"/>
        <n v="5.238445068349452E7"/>
        <n v="3.3114145150339477E7"/>
        <n v="4734227.804249804"/>
        <n v="5.1742061852086164E7"/>
        <n v="1.0792321612293271E7"/>
        <n v="5.212347067856228E7"/>
        <n v="7723574.912385896"/>
        <n v="2818709.3872152576"/>
        <n v="1963170.00000001"/>
        <n v="5.1957897560349055E7"/>
        <n v="5.181088581297835E7"/>
        <n v="5.164774212716589E7"/>
        <n v="1.3724175745954078E7"/>
        <n v="1.52383152540647E7"/>
        <n v="5.0204102782666706E7"/>
        <n v="1.5085473367583107E7"/>
        <n v="2673127.406456474"/>
        <n v="7536767.8619166175"/>
        <n v="1616171.3397688481"/>
        <n v="5.240465190775571E7"/>
        <n v="5.1651701090338744E7"/>
        <n v="6.5192955515835255E7"/>
        <n v="3.296648019878072E7"/>
        <n v="6.694311646115765E7"/>
        <n v="9957828.995687028"/>
        <n v="9959624.002530927"/>
        <n v="1.2455107305116015E7"/>
        <n v="6.712509456636864E7"/>
        <n v="1.4985053701613016E7"/>
        <n v="1.4732238635625483E7"/>
        <n v="1.2955056471889194E7"/>
        <n v="1160084.067439429"/>
        <n v="3.845368625001785E7"/>
        <n v="1.4889755656037E7"/>
        <n v="741892.3146520681"/>
        <n v="1904666.5772655963"/>
        <n v="1.2043104141175348E7"/>
        <n v="5150529.064133251"/>
        <n v="2880687.5613671164"/>
        <n v="3533785.757928237"/>
        <n v="1922098.1391802235"/>
        <n v="9559054.407856146"/>
        <n v="9081070.894132078"/>
        <n v="9079163.107378144"/>
        <n v="9066651.136159636"/>
        <n v="9056271.240118047"/>
        <n v="9072226.717987042"/>
        <n v="9096245.933938928"/>
        <n v="159094.2235388797"/>
        <n v="9046297.11486128"/>
        <n v="2049280.2389882293"/>
        <n v="1.4678337131542116E7"/>
        <n v="1.4061017817724539E7"/>
        <n v="1068235.7683779332"/>
        <n v="2.998679216326582E7"/>
        <n v="4082832.44442956"/>
        <n v="791064.4653407662"/>
        <n v="1.3020459373797458E7"/>
        <n v="4256236.002121974"/>
        <n v="1940628.4257413351"/>
        <n v="676917.0"/>
        <n v="1.2555287763410358E7"/>
        <n v="1290903.2647381595"/>
        <n v="54320.6865210526"/>
        <n v="1.3739780149511142E7"/>
        <n v="1.3567024466198064E7"/>
        <n v="1.1631872381211E7"/>
        <n v="1.216534161806062E7"/>
        <n v="41025.6078432547"/>
        <n v="1.5501114562934028E7"/>
        <n v="1.2772067327100229E7"/>
        <n v="1.4090210882136062E7"/>
        <n v="1.5664451232700586E7"/>
        <n v="2377607.5034548435"/>
        <n v="519658.0743996018"/>
        <n v="327389.0237545887"/>
        <n v="183939.6872152575"/>
        <n v="138903.5726849249"/>
        <n v="1290236.0674714393"/>
        <n v="4576366.465971193"/>
        <n v="1076030.0025477984"/>
        <n v="1.3562709451485574E7"/>
        <n v="3.3445472574286193E7"/>
        <n v="1032051.3668829323"/>
        <n v="4.726606633080685E7"/>
        <n v="1.9504448335955422E7"/>
        <n v="223081.331658338"/>
        <n v="3.0980686016067643E7"/>
        <n v="249230.6466693924"/>
        <n v="494514.9063194007"/>
        <n v="3909868.2863627267"/>
        <n v="269077.8850926468"/>
        <n v="274160.0845947794"/>
        <n v="1011940.9997326778"/>
        <n v="2.5844408056053836E7"/>
        <n v="3718934.734625527"/>
        <n v="518229.6316276019"/>
        <n v="2435626.2892413517"/>
        <n v="2.216339798449999E7"/>
        <n v="991871.0199275773"/>
        <n v="593090.0741094392"/>
        <n v="148096.4512357278"/>
        <n v="7.174655661314608E7"/>
        <n v="1232153.0395348016"/>
        <n v="587990.8043387294"/>
        <n v="23028.0"/>
        <n v="434227.0788443636"/>
        <n v="1643174.5648191678"/>
        <n v="199727.5300445778"/>
        <n v="9.037487260104667E7"/>
        <n v="2268266.183544674"/>
        <n v="6.879207631270073E7"/>
        <n v="1.5959565909464313E7"/>
        <n v="5.64248126469003E7"/>
        <n v="3060994.6768448106"/>
        <n v="990415.0810611297"/>
        <n v="4.104284651147102E7"/>
        <n v="2004005.13282276"/>
        <n v="1.5925742100863248E7"/>
        <n v="1785995.2537505461"/>
        <n v="5.601820622872928E7"/>
        <n v="198463.5944890484"/>
        <n v="2237044.38390566"/>
        <n v="1.4102289690303368E7"/>
        <n v="7938129.503976608"/>
        <n v="13720.3229564742"/>
        <n v="3922237.799207042"/>
        <n v="3255968.584409249"/>
        <n v="51230.7783225472"/>
        <n v="1.067607787113054E8"/>
        <n v="1056821.963673672"/>
        <n v="6106.795392146"/>
        <n v="1.4878924183481764E7"/>
        <n v="1.5928880587928142E7"/>
        <n v="115340.1235388797"/>
        <n v="1457685.9115545189"/>
        <n v="129349.1"/>
        <n v="1.5796416238974106E7"/>
        <n v="1581750.949735282"/>
        <n v="180610.4"/>
        <n v="1.7424925035762724E7"/>
        <n v="3280325.521998466"/>
        <n v="48542.1172469272"/>
        <n v="502942.2226682906"/>
        <n v="3.386080812082049E7"/>
        <n v="843143.4086192299"/>
        <n v="2016021.4524074956"/>
        <n v="1.3886662886210982E7"/>
        <n v="835780.8037159987"/>
        <n v="71721.4"/>
        <n v="1.2976897522523204E7"/>
        <n v="2325729.3055831124"/>
        <n v="3295541.098719417"/>
        <n v="4221080.091829964"/>
        <n v="2607401.555342589"/>
        <n v="3103851.1033711517"/>
        <n v="7.366352226072095E7"/>
        <n v="445563.0303651397"/>
        <n v="299701.5466367117"/>
        <n v="1.759836962362653E7"/>
        <n v="748126.5197692729"/>
        <n v="30924.1224320845"/>
        <n v="3.2422313720116742E7"/>
        <n v="2893180.59315726"/>
        <n v="39288.6491327239"/>
        <n v="3026891.7074693493"/>
        <n v="46698.1328023861"/>
        <n v="1810277.8976467736"/>
        <n v="220303.7503110687"/>
        <n v="75668.3"/>
        <n v="2535293.1090263296"/>
        <n v="1.61828016965831E7"/>
        <n v="92787.0"/>
        <n v="2282563.854972243"/>
        <n v="1640175.6834143007"/>
        <n v="1333409.4200803079"/>
        <n v="7241277.350319758"/>
        <n v="3519793.666109272"/>
        <n v="3.45893611948087E7"/>
        <n v="1.6301262817844503E7"/>
        <n v="5.832818711515067E7"/>
        <n v="142220.7314774661"/>
        <n v="2.6187490719611853E7"/>
        <n v="6.88151676518234E7"/>
        <n v="34229.4347398596"/>
        <n v="42906.1828939706"/>
        <n v="5025.0"/>
        <n v="15191.5197692729"/>
        <n v="1729945.4192483507"/>
        <n v="6723545.399670586"/>
        <n v="2838954.4808483417"/>
        <n v="53504.831794545"/>
        <n v="51196.0379381906"/>
        <n v="3014018.8719343133"/>
        <n v="38609.2946822493"/>
        <n v="684682.0307211586"/>
        <n v="2.603368014115487E7"/>
        <n v="1.3498337564439615E7"/>
        <n v="2.593014909355072E7"/>
        <n v="28004.5813519607"/>
        <n v="206887.8437225482"/>
        <n v="2.0855730529242102E7"/>
        <n v="1263754.677228831"/>
        <n v="372662.815051953"/>
        <n v="292798.7519139702"/>
        <n v="2.655225122037826E7"/>
        <n v="92983.4439517354"/>
        <n v="3759869.0438421885"/>
        <n v="1.7126203405532666E7"/>
        <n v="1.3615108885254264E7"/>
        <n v="957838.114828453"/>
        <n v="1055756.2962547285"/>
        <n v="385658.6745208935"/>
        <n v="2013647.7668576494"/>
        <n v="1.9163197123316977E7"/>
        <n v="6473991.74966195"/>
        <n v="923801.0892759097"/>
        <n v="1.94587240199342E7"/>
        <n v="478701.3205915881"/>
        <n v="6865133.212528083"/>
        <n v="8.353008094237557E7"/>
        <n v="1031565.9111568365"/>
        <n v="2.5237916481943272E7"/>
        <n v="4.145631963572467E7"/>
        <n v="2.530140256368919E7"/>
        <n v="1.9102702390154615E7"/>
        <n v="3179159.277383572"/>
        <n v="1165682.6549713127"/>
        <n v="6652881.660531809"/>
        <n v="348274.9235388797"/>
        <n v="1.8293311336277544E7"/>
        <n v="3.98226767309893E7"/>
        <n v="7257809.253490025"/>
        <n v="1.9611189027694996E7"/>
        <n v="7427176.814073392"/>
        <n v="2722032.897022489"/>
        <n v="343269.8584736719"/>
        <n v="36531.8376253017"/>
        <n v="2957130.8729039244"/>
        <n v="3.1551060377428513E7"/>
        <n v="7.252427399529381E7"/>
        <n v="1.2985730966137746E7"/>
        <n v="2426.0"/>
        <n v="3.5034033163067766E7"/>
        <n v="3.2649877025333583E7"/>
        <n v="4.7335480921400055E7"/>
        <n v="22.0"/>
        <n v="3.267506649973905E7"/>
        <n v="7601777.003720318"/>
        <n v="3.3513300727425277E7"/>
        <n v="1194965.752327497"/>
        <n v="2.2576365839067608E7"/>
        <n v="3.1387811959456928E7"/>
        <n v="1.3433586302915389E7"/>
        <n v="1099041.2946260439"/>
        <n v="2.6122980728841063E7"/>
        <n v="3.1575514884293318E7"/>
        <n v="2.5362440160063986E7"/>
        <n v="2.5072181173129573E7"/>
        <n v="25922.3579718795"/>
        <n v="3.2737453567175914E7"/>
        <n v="558210.6445514183"/>
        <n v="8487.6229564742"/>
        <n v="335520.1"/>
        <n v="2.635230953094221E7"/>
        <n v="444263.0355796187"/>
        <n v="30.0"/>
        <n v="3320740.2697620345"/>
        <n v="4183795.537339843"/>
        <n v="3.216677391766458E7"/>
        <n v="2.491657567396045E7"/>
        <n v="3.1417885871800378E7"/>
        <n v="3.0985409985731587E7"/>
        <n v="320201.1"/>
        <m/>
        <n v="6409463.002484963"/>
        <n v="1.2726872899917431E7"/>
        <n v="5.2604431923161075E7"/>
        <n v="3656734.4859848544"/>
        <n v="3660220.937915298"/>
        <n v="1947502.7517093113"/>
        <n v="9316324.400581703"/>
        <n v="9315169.344027791"/>
        <n v="5886091.329236806"/>
        <n v="2798853.017290459"/>
        <n v="594274.4879075688"/>
        <n v="3.182076156662488E7"/>
        <n v="2.1916057864740487E7"/>
        <n v="392707.2075987436"/>
        <n v="6521571.552653668"/>
        <n v="38053.2"/>
        <n v="3724517.3345806785"/>
        <n v="23.1"/>
        <n v="3.1452291738306064E7"/>
        <n v="178421.2"/>
        <n v="5540634.367341298"/>
        <n v="1.3916645983815167E7"/>
        <n v="372833.5199173186"/>
        <n v="3.1948772835707758E7"/>
        <n v="5023.1"/>
        <n v="5005.0"/>
        <n v="1.3476547122945933E7"/>
        <n v="33.3"/>
        <n v="548003.4025731898"/>
        <n v="3.921767729863275E7"/>
        <n v="608418.2545786501"/>
        <n v="47.0"/>
        <n v="1.2966387487334192E7"/>
        <n v="3.116944949232355E7"/>
        <n v="13389.0"/>
        <n v="411.0"/>
        <n v="28.0"/>
        <n v="4245045.4"/>
        <n v="3.0659264254604824E7"/>
        <n v="9122.3"/>
        <n v="3.9103013579815164E7"/>
        <n v="3.2257257196865514E7"/>
        <n v="1571541.7769787938"/>
        <n v="1263435.791906932"/>
        <n v="3029531.992731462"/>
        <n v="984680.2204936058"/>
        <n v="287725.7686"/>
        <n v="3.2099806812853113E7"/>
        <n v="5.145359330163232E7"/>
        <n v="2.0111914626308676E7"/>
        <n v="3.8499633468227275E7"/>
        <n v="3.848989180822728E7"/>
        <n v="8402369.607681954"/>
        <n v="2.672429816877197E7"/>
        <n v="2.718939216641737E7"/>
        <n v="4595461.568473672"/>
        <n v="2958743.220243953"/>
        <n v="2.025174961227276E7"/>
        <n v="390626.5646103493"/>
        <n v="9599404.655175267"/>
        <n v="442442.5945580202"/>
        <n v="3.898326291764676E7"/>
        <n v="470869.3072553323"/>
        <n v="31.1"/>
        <n v="1.240873047163674E7"/>
        <n v="5.512957558617911E7"/>
        <n v="40778.7212407663"/>
        <n v="2.0059327841056097E7"/>
        <n v="204632.8342821433"/>
        <n v="5.0"/>
        <n v="405.0"/>
        <n v="14525.0"/>
        <n v="1.01613696854102E7"/>
        <n v="801029.2174738785"/>
        <n v="106445.6324945798"/>
        <n v="2.6162179712164328E7"/>
        <n v="744065.4174738785"/>
        <n v="3.0347663424330473E7"/>
        <n v="1196.0"/>
        <n v="46878.3"/>
        <n v="9996743.154909872"/>
        <n v="19751.0"/>
        <n v="5138907.336388397"/>
        <n v="5.191506205387039E7"/>
        <n v="1748.47397261"/>
        <n v="28883.4716256343"/>
        <n v="2.487942391017793E7"/>
        <n v="1446.0"/>
        <n v="9118.5"/>
        <n v="3.9556163659928724E7"/>
        <n v="2.2327079892141424E7"/>
        <n v="3.108380881877782E7"/>
        <n v="1.3563677540309118E7"/>
        <n v="1.4893682493592078E7"/>
        <n v="7615286.763612855"/>
        <n v="8218053.325840491"/>
        <n v="7570689.157407557"/>
        <n v="1.6023223024726236E7"/>
        <n v="23.0"/>
        <n v="3.443667832019693E7"/>
        <n v="2096110.6425523134"/>
        <n v="2825400.4"/>
        <n v="4106703.5566570326"/>
        <n v="3.38746780088174E7"/>
        <n v="7657903.340749044"/>
        <n v="4231914.1"/>
        <n v="4.132975088593362E7"/>
        <n v="7476564.452996895"/>
        <n v="1.0460258250284398E7"/>
        <n v="7440560.445870125"/>
        <n v="5961.0"/>
        <n v="207079.3110855102"/>
        <n v="9622996.245452465"/>
        <n v="27731.9744879636"/>
        <n v="3.213213326457736E7"/>
        <n v="3.4215433186257415E7"/>
        <n v="812.5515314894"/>
        <n v="720.5"/>
        <n v="19108.1"/>
        <n v="9.667777667217962E7"/>
        <n v="191315.2962761988"/>
        <n v="2.9161570687162135E7"/>
        <n v="1.1022767783419408E7"/>
        <n v="1.414381027093857E7"/>
        <n v="1.6772411892114349E7"/>
        <n v="4170599.676849735"/>
        <n v="3.776389686397966E7"/>
        <n v="2.224452409920007E7"/>
        <n v="250.1"/>
        <n v="3.094700321531193E7"/>
        <n v="4.1232293536559835E7"/>
        <n v="7818828.998011404"/>
        <n v="1.8323416329532683E7"/>
        <n v="1.6596257390018648E7"/>
        <n v="3475902.4384634397"/>
        <n v="1.1196965642755556E8"/>
        <n v="1.081933278161522E7"/>
        <n v="2915504.4"/>
        <n v="46382.0"/>
        <n v="9.282824099018067E7"/>
        <n v="3.42634157457223E7"/>
        <n v="5010.0"/>
        <n v="8952607.249189664"/>
        <n v="1.382094348954204E7"/>
        <n v="23304.6778999878"/>
        <n v="53871.0"/>
        <n v="3.3066902910544436E7"/>
        <n v="1.147490022E8"/>
        <n v="36424.0"/>
        <n v="2047673.4186460667"/>
        <n v="9.334026141438669E7"/>
        <n v="14627.7"/>
        <n v="2925983.4"/>
        <n v="121650.447091685"/>
        <n v="2247803.018810008"/>
        <n v="6034600.422956474"/>
        <n v="2.5942754393683117E7"/>
        <n v="5971.0"/>
        <n v="2.5868803394783117E7"/>
        <n v="8260429.914163536"/>
        <n v="1.9414708976194404E7"/>
        <n v="661763.1612801112"/>
        <n v="4.3742232492425986E7"/>
        <n v="3.2236091309944555E7"/>
        <n v="7821838.090409757"/>
        <n v="1.5288781150301762E7"/>
        <n v="1.3819595597115599E7"/>
        <n v="3.0211255084919125E7"/>
        <n v="33271.7292758749"/>
        <n v="41535.3464953539"/>
        <n v="7.156896590374537E7"/>
        <n v="344242.7006305647"/>
        <n v="8.801249470926648E7"/>
        <n v="1.9806581610338558E7"/>
        <n v="2.330219725503307E7"/>
        <n v="1.751666488923292E7"/>
        <n v="2.05555966462674E7"/>
        <n v="1.705371810116809E7"/>
        <n v="31152.6"/>
        <n v="9110.0"/>
        <n v="2991866.763655154"/>
        <n v="2.215065154657079E7"/>
        <n v="50678.1"/>
        <n v="3.5088982599753566E7"/>
        <n v="4354486.217597928"/>
        <n v="4168430.616260817"/>
        <n v="391694.221650452"/>
        <n v="7728762.216259887"/>
        <n v="2.7757511138398074E7"/>
        <n v="7957907.292237195"/>
        <n v="4.330465153545076E7"/>
        <n v="2106071.0"/>
        <n v="7470723.80043717"/>
        <n v="568470.6620228245"/>
        <n v="91197.556537823"/>
        <n v="5966.0"/>
        <n v="7826497.811663373"/>
        <n v="1.083686645598907E8"/>
        <n v="2.175933198173824E7"/>
        <n v="3.819927964074172E7"/>
        <n v="2.3585960069023427E7"/>
        <n v="2.4567148673105832E7"/>
        <n v="1.0537137211011989E7"/>
        <n v="9305675.542923385"/>
        <n v="4.06484365823587E7"/>
        <n v="2.7930125191729944E7"/>
        <n v="2.584166061841865E7"/>
        <n v="2.1663474913900807E7"/>
        <n v="7755112.223748097"/>
        <n v="4658758.144631243"/>
        <n v="3487717.553122979"/>
        <n v="7.270383965423349E7"/>
        <n v="3.6472197799814574E7"/>
        <n v="3.378371106816749E7"/>
        <n v="5675815.197525609"/>
        <n v="4614350.64858874"/>
        <n v="68.2882659981"/>
        <n v="60786.0616552183"/>
        <n v="6.111776766735148E7"/>
        <n v="6.953058545585497E7"/>
        <n v="173599.7699847809"/>
        <n v="4.383770920827704E7"/>
        <n v="41584.8814301461"/>
        <n v="2123298.623768541"/>
        <n v="2.978150168888647E7"/>
        <n v="76010.101"/>
        <n v="4621720.852027668"/>
        <n v="168058.6270478275"/>
        <n v="19715.001"/>
        <n v="3.1604780024466682E7"/>
        <n v="3.4956384803095385E7"/>
        <n v="3.2192816949837215E7"/>
        <n v="2.2130882194698054E7"/>
        <n v="76838.1089106387"/>
        <n v="3.991197932212979E7"/>
        <n v="4011038.3556390903"/>
        <n v="20669.3329564742"/>
        <n v="2321428.466079483"/>
        <n v="4.317161291187236E7"/>
        <n v="4761507.40152918"/>
        <n v="3.729975560359289E7"/>
        <n v="4.3315335471190214E7"/>
        <n v="9107393.485401953"/>
        <n v="8.338929337897599E7"/>
        <n v="2.756072715990166E7"/>
        <n v="6.544974774510386E7"/>
        <n v="5641.2609611098"/>
        <n v="4.733982984560557E7"/>
        <n v="958.0"/>
        <n v="3062260.0462407796"/>
        <n v="3171961.3933324646"/>
        <n v="2.704780007374724E7"/>
        <n v="5817232.455273741"/>
        <n v="4777767.424863747"/>
        <n v="8.239303723302038E7"/>
        <n v="1.3046086144728048E7"/>
        <n v="2.530529746748424E7"/>
        <n v="2.01584452603091E7"/>
        <n v="8938734.984350838"/>
        <n v="5668301.134370961"/>
        <n v="5.0825194798495874E7"/>
        <n v="5828006.166197433"/>
        <n v="94170.1596156803"/>
        <n v="5650098.6042949995"/>
        <n v="2.309169407134122E7"/>
        <n v="2.695695890845646E7"/>
        <n v="37956.8366592061"/>
        <n v="35376.7366592061"/>
        <n v="18783.3334236112"/>
        <n v="2.9885998678728335E7"/>
        <n v="4.7741468977023736E7"/>
        <n v="3327035.609488497"/>
        <n v="2.5049974697954863E7"/>
        <n v="26351.8366592061"/>
        <n v="798430.3637472384"/>
        <n v="16746.8366592061"/>
        <n v="69981.395132878"/>
        <n v="525973.7454940305"/>
        <n v="2.1900001403332155E7"/>
        <n v="2.1680304604756862E7"/>
        <n v="10155.1"/>
        <n v="2.144184971438903E7"/>
        <n v="537924.3172470513"/>
        <n v="3.9126865756825656E7"/>
        <n v="2.0508056846722465E7"/>
        <n v="3.122001571609492E7"/>
        <n v="2886290.2186717577"/>
        <n v="2.3484779307955507E7"/>
        <n v="2.1507913493711624E7"/>
        <n v="455814.9086820306"/>
        <n v="4.625265826863649E7"/>
        <n v="2.1552725663711626E7"/>
        <n v="4.86538419719516E7"/>
        <n v="5947977.160152549"/>
        <n v="2.3708005530749638E7"/>
        <n v="2.346536910097999E7"/>
        <n v="2.3564667583882526E7"/>
        <n v="2.3491766763470814E7"/>
        <n v="1.4049439682086198E7"/>
        <n v="2.350133237611622E7"/>
        <n v="5373637.864954605"/>
        <n v="1.805335499468225E7"/>
        <n v="41.483746953"/>
        <n v="2.357345084350053E7"/>
        <n v="2.360333295690565E7"/>
        <n v="188967.634890608"/>
        <n v="9749050.931685256"/>
        <n v="10640.1"/>
        <n v="3.636317620750731E7"/>
        <n v="3.328478645664481E7"/>
        <n v="4.492946938580218E7"/>
        <n v="2.9060735194073994E7"/>
        <n v="3744077.3066196456"/>
        <n v="2.9034323458923686E7"/>
        <n v="2.1815846406619646E7"/>
        <n v="2.7512687089084644E7"/>
        <n v="1589390.3391745489"/>
        <n v="33517.6386379493"/>
        <n v="2995289.813354007"/>
        <n v="2.1022090722264647E7"/>
        <n v="35766.0019787432"/>
        <n v="10640.0"/>
        <n v="2.1181479836659208E7"/>
        <n v="16858.9090140222"/>
        <n v="4.726284809076761E7"/>
        <n v="17381.7366592061"/>
        <n v="1.4258509533862974E7"/>
        <n v="16751.7366592061"/>
        <n v="2.655206318375089E7"/>
        <n v="21751.8366592061"/>
        <n v="10010.0"/>
        <n v="5030.0"/>
        <n v="2826081.0"/>
      </sharedItems>
    </cacheField>
    <cacheField name="Propose Date" numFmtId="167">
      <sharedItems containsDate="1" containsString="0" containsBlank="1">
        <d v="2023-06-13T00:00:00Z"/>
        <d v="2023-06-14T00:00:00Z"/>
        <d v="2023-06-15T00:00:00Z"/>
        <d v="2023-06-16T00:00:00Z"/>
        <d v="2023-06-17T00:00:00Z"/>
        <d v="2023-06-18T00:00:00Z"/>
        <d v="2023-06-19T00:00:00Z"/>
        <d v="2023-06-20T00:00:00Z"/>
        <d v="2023-06-21T00:00:00Z"/>
        <d v="2023-06-22T00:00:00Z"/>
        <d v="2023-06-23T00:00:00Z"/>
        <d v="2023-06-24T00:00:00Z"/>
        <d v="2023-06-25T00:00:00Z"/>
        <d v="2023-06-26T00:00:00Z"/>
        <d v="2023-06-29T00:00:00Z"/>
        <d v="2023-06-30T00:00:00Z"/>
        <d v="2023-07-01T00:00:00Z"/>
        <d v="2023-07-02T00:00:00Z"/>
        <d v="2023-07-03T00:00:00Z"/>
        <d v="2023-07-04T00:00:00Z"/>
        <d v="2023-07-05T00:00:00Z"/>
        <d v="2024-06-19T00:00:00Z"/>
        <d v="2023-07-06T00:00:00Z"/>
        <d v="2023-07-08T00:00:00Z"/>
        <d v="2023-07-11T00:00:00Z"/>
        <d v="2024-05-20T00:00:00Z"/>
        <d v="2023-07-13T00:00:00Z"/>
        <d v="2023-07-14T00:00:00Z"/>
        <d v="2023-07-15T00:00:00Z"/>
        <d v="2023-07-16T00:00:00Z"/>
        <d v="2023-07-17T00:00:00Z"/>
        <d v="2023-07-18T00:00:00Z"/>
        <d v="2023-07-25T00:00:00Z"/>
        <d v="2023-07-26T00:00:00Z"/>
        <d v="2023-07-29T00:00:00Z"/>
        <d v="2023-07-30T00:00:00Z"/>
        <d v="2023-07-31T00:00:00Z"/>
        <d v="2023-08-01T00:00:00Z"/>
        <d v="2023-08-02T00:00:00Z"/>
        <d v="2024-03-20T00:00:00Z"/>
        <d v="2023-08-06T00:00:00Z"/>
        <d v="2023-08-09T00:00:00Z"/>
        <d v="2023-08-10T00:00:00Z"/>
        <d v="2023-08-12T00:00:00Z"/>
        <d v="2023-08-13T00:00:00Z"/>
        <d v="2023-08-14T00:00:00Z"/>
        <d v="2023-08-15T00:00:00Z"/>
        <d v="2023-08-16T00:00:00Z"/>
        <d v="2023-08-20T00:00:00Z"/>
        <d v="2023-08-21T00:00:00Z"/>
        <d v="2023-08-22T00:00:00Z"/>
        <d v="2023-08-23T00:00:00Z"/>
        <d v="2023-08-25T00:00:00Z"/>
        <d v="2023-08-28T00:00:00Z"/>
        <d v="2023-08-29T00:00:00Z"/>
        <d v="2023-09-02T00:00:00Z"/>
        <d v="2023-09-03T00:00:00Z"/>
        <d v="2023-09-04T00:00:00Z"/>
        <d v="2023-09-05T00:00:00Z"/>
        <d v="2023-09-06T00:00:00Z"/>
        <d v="2023-09-09T00:00:00Z"/>
        <d v="2023-09-10T00:00:00Z"/>
        <d v="2023-09-12T00:00:00Z"/>
        <d v="2023-09-13T00:00:00Z"/>
        <d v="2023-09-14T00:00:00Z"/>
        <d v="2023-09-16T00:00:00Z"/>
        <d v="2023-09-17T00:00:00Z"/>
        <d v="2023-09-18T00:00:00Z"/>
        <d v="2023-09-19T00:00:00Z"/>
        <d v="2023-09-21T00:00:00Z"/>
        <d v="2023-09-24T00:00:00Z"/>
        <d v="2023-09-25T00:00:00Z"/>
        <d v="2023-09-26T00:00:00Z"/>
        <d v="2023-09-27T00:00:00Z"/>
        <d v="2023-09-28T00:00:00Z"/>
        <d v="2023-09-29T00:00:00Z"/>
        <d v="2023-09-30T00:00:00Z"/>
        <d v="2023-10-01T00:00:00Z"/>
        <d v="2023-10-02T00:00:00Z"/>
        <d v="2023-10-03T00:00:00Z"/>
        <d v="2023-10-05T00:00:00Z"/>
        <d v="2023-10-06T00:00:00Z"/>
        <d v="2023-10-07T00:00:00Z"/>
        <d v="2023-10-08T00:00:00Z"/>
        <d v="2023-10-09T00:00:00Z"/>
        <d v="2023-10-11T00:00:00Z"/>
        <d v="2023-10-12T00:00:00Z"/>
        <d v="2023-10-14T00:00:00Z"/>
        <d v="2023-10-15T00:00:00Z"/>
        <d v="2023-10-16T00:00:00Z"/>
        <d v="2023-10-17T00:00:00Z"/>
        <d v="2023-10-18T00:00:00Z"/>
        <d v="2023-10-19T00:00:00Z"/>
        <d v="2023-10-20T00:00:00Z"/>
        <d v="2023-10-21T00:00:00Z"/>
        <d v="2023-10-22T00:00:00Z"/>
        <d v="2023-10-23T00:00:00Z"/>
        <d v="2023-10-24T00:00:00Z"/>
        <d v="2023-10-26T00:00:00Z"/>
        <d v="2023-10-27T00:00:00Z"/>
        <d v="2023-10-28T00:00:00Z"/>
        <d v="2023-10-29T00:00:00Z"/>
        <d v="2023-10-30T00:00:00Z"/>
        <d v="2023-11-01T00:00:00Z"/>
        <d v="2023-11-04T00:00:00Z"/>
        <d v="2023-11-05T00:00:00Z"/>
        <d v="2023-11-06T00:00:00Z"/>
        <d v="2023-11-07T00:00:00Z"/>
        <d v="2023-11-08T00:00:00Z"/>
        <d v="2023-11-09T00:00:00Z"/>
        <d v="2023-11-10T00:00:00Z"/>
        <d v="2023-11-11T00:00:00Z"/>
        <d v="2023-11-12T00:00:00Z"/>
        <d v="2023-11-13T00:00:00Z"/>
        <d v="2023-11-14T00:00:00Z"/>
        <d v="2023-11-15T00:00:00Z"/>
        <d v="2023-11-16T00:00:00Z"/>
        <d v="2023-11-17T00:00:00Z"/>
        <d v="2023-11-18T00:00:00Z"/>
        <d v="2023-11-19T00:00:00Z"/>
        <d v="2023-11-20T00:00:00Z"/>
        <d v="2023-11-21T00:00:00Z"/>
        <d v="2023-11-22T00:00:00Z"/>
        <d v="2023-11-23T00:00:00Z"/>
        <d v="2023-11-24T00:00:00Z"/>
        <d v="2023-11-25T00:00:00Z"/>
        <d v="2023-11-26T00:00:00Z"/>
        <d v="2023-11-27T00:00:00Z"/>
        <d v="2023-11-28T00:00:00Z"/>
        <d v="2023-11-29T00:00:00Z"/>
        <d v="2023-11-30T00:00:00Z"/>
        <d v="2023-12-02T00:00:00Z"/>
        <d v="2023-12-03T00:00:00Z"/>
        <d v="2023-12-04T00:00:00Z"/>
        <d v="2023-12-05T00:00:00Z"/>
        <d v="2023-12-06T00:00:00Z"/>
        <d v="2023-12-07T00:00:00Z"/>
        <d v="2023-12-08T00:00:00Z"/>
        <d v="2023-12-09T00:00:00Z"/>
        <d v="2023-12-11T00:00:00Z"/>
        <d v="2023-12-12T00:00:00Z"/>
        <d v="2023-12-13T00:00:00Z"/>
        <d v="2023-12-16T00:00:00Z"/>
        <d v="2023-12-17T00:00:00Z"/>
        <d v="2024-03-16T00:00:00Z"/>
        <d v="2023-12-18T00:00:00Z"/>
        <d v="2023-12-19T00:00:00Z"/>
        <d v="2024-03-06T00:00:00Z"/>
        <d v="2023-12-20T00:00:00Z"/>
        <d v="2023-12-22T00:00:00Z"/>
        <d v="2023-12-24T00:00:00Z"/>
        <d v="2023-12-25T00:00:00Z"/>
        <d v="2023-12-26T00:00:00Z"/>
        <d v="2023-12-27T00:00:00Z"/>
        <d v="2023-12-28T00:00:00Z"/>
        <d v="2023-12-30T00:00:00Z"/>
        <d v="2024-01-02T00:00:00Z"/>
        <d v="2024-02-29T00:00:00Z"/>
        <d v="2024-01-03T00:00:00Z"/>
        <d v="2024-01-05T00:00:00Z"/>
        <d v="2024-01-06T00:00:00Z"/>
        <d v="2024-01-08T00:00:00Z"/>
        <d v="2024-01-09T00:00:00Z"/>
        <d v="2024-01-10T00:00:00Z"/>
        <d v="2024-01-12T00:00:00Z"/>
        <d v="2024-01-13T00:00:00Z"/>
        <d v="2024-01-14T00:00:00Z"/>
        <d v="2024-01-15T00:00:00Z"/>
        <d v="2024-01-16T00:00:00Z"/>
        <d v="2024-01-17T00:00:00Z"/>
        <d v="2024-01-20T00:00:00Z"/>
        <d v="2024-01-21T00:00:00Z"/>
        <d v="2024-01-22T00:00:00Z"/>
        <d v="2024-01-23T00:00:00Z"/>
        <d v="2024-01-24T00:00:00Z"/>
        <d v="2024-01-27T00:00:00Z"/>
        <d v="2024-01-28T00:00:00Z"/>
        <d v="2024-01-29T00:00:00Z"/>
        <d v="2024-01-31T00:00:00Z"/>
        <d v="2024-02-01T00:00:00Z"/>
        <d v="2024-02-02T00:00:00Z"/>
        <d v="2024-02-03T00:00:00Z"/>
        <d v="2024-02-04T00:00:00Z"/>
        <d v="2024-02-05T00:00:00Z"/>
        <d v="2024-02-06T00:00:00Z"/>
        <d v="2024-02-07T00:00:00Z"/>
        <d v="2024-02-11T00:00:00Z"/>
        <d v="2024-02-08T00:00:00Z"/>
        <d v="2024-02-09T00:00:00Z"/>
        <d v="2024-02-10T00:00:00Z"/>
        <d v="2024-02-12T00:00:00Z"/>
        <d v="2024-02-13T00:00:00Z"/>
        <d v="2024-02-14T00:00:00Z"/>
        <d v="2024-02-15T00:00:00Z"/>
        <d v="2024-02-16T00:00:00Z"/>
        <d v="2024-02-17T00:00:00Z"/>
        <d v="2024-02-18T00:00:00Z"/>
        <d v="2024-02-19T00:00:00Z"/>
        <d v="2024-02-20T00:00:00Z"/>
        <d v="2024-02-21T00:00:00Z"/>
        <d v="2024-02-22T00:00:00Z"/>
        <d v="2024-02-23T00:00:00Z"/>
        <d v="2024-02-24T00:00:00Z"/>
        <d v="2024-02-25T00:00:00Z"/>
        <d v="2024-02-26T00:00:00Z"/>
        <d v="2024-02-27T00:00:00Z"/>
        <d v="2024-02-28T00:00:00Z"/>
        <d v="2024-03-01T00:00:00Z"/>
        <d v="2024-03-02T00:00:00Z"/>
        <d v="2024-03-03T00:00:00Z"/>
        <d v="2024-03-04T00:00:00Z"/>
        <m/>
        <d v="2024-03-05T00:00:00Z"/>
        <d v="2024-03-07T00:00:00Z"/>
        <d v="2024-03-08T00:00:00Z"/>
        <d v="2024-03-09T00:00:00Z"/>
        <d v="2024-03-10T00:00:00Z"/>
        <d v="2024-03-11T00:00:00Z"/>
        <d v="2024-03-12T00:00:00Z"/>
        <d v="2024-03-13T00:00:00Z"/>
        <d v="2024-03-15T00:00:00Z"/>
        <d v="2024-03-17T00:00:00Z"/>
        <d v="2024-03-18T00:00:00Z"/>
        <d v="2024-03-19T00:00:00Z"/>
        <d v="2023-08-05T00:00:00Z"/>
        <d v="2024-03-21T00:00:00Z"/>
        <d v="2024-03-22T00:00:00Z"/>
        <d v="2024-03-23T00:00:00Z"/>
        <d v="2024-03-24T00:00:00Z"/>
        <d v="2024-03-25T00:00:00Z"/>
        <d v="2024-03-26T00:00:00Z"/>
        <d v="2024-03-27T00:00:00Z"/>
        <d v="2024-03-29T00:00:00Z"/>
        <d v="2024-03-30T00:00:00Z"/>
        <d v="2024-03-31T00:00:00Z"/>
        <d v="2024-04-01T00:00:00Z"/>
        <d v="2024-04-02T00:00:00Z"/>
        <d v="2024-04-03T00:00:00Z"/>
        <d v="2024-04-05T00:00:00Z"/>
        <d v="2024-04-06T00:00:00Z"/>
        <d v="2024-04-07T00:00:00Z"/>
        <d v="2024-04-08T00:00:00Z"/>
        <d v="2024-04-09T00:00:00Z"/>
        <d v="2024-04-10T00:00:00Z"/>
        <d v="2024-04-12T00:00:00Z"/>
        <d v="2024-04-13T00:00:00Z"/>
        <d v="2024-04-14T00:00:00Z"/>
        <d v="2024-04-15T00:00:00Z"/>
        <d v="2024-04-16T00:00:00Z"/>
        <d v="2024-04-17T00:00:00Z"/>
        <d v="2024-04-18T00:00:00Z"/>
        <d v="2024-04-20T00:00:00Z"/>
        <d v="2024-04-21T00:00:00Z"/>
        <d v="2024-04-22T00:00:00Z"/>
        <d v="2024-04-23T00:00:00Z"/>
        <d v="2024-04-24T00:00:00Z"/>
        <d v="2024-04-25T00:00:00Z"/>
        <d v="2024-04-26T00:00:00Z"/>
        <d v="2024-04-27T00:00:00Z"/>
        <d v="2024-04-28T00:00:00Z"/>
        <d v="2024-04-29T00:00:00Z"/>
        <d v="2024-04-30T00:00:00Z"/>
        <d v="2024-05-01T00:00:00Z"/>
        <d v="2024-05-02T00:00:00Z"/>
        <d v="2024-05-04T00:00:00Z"/>
        <d v="2024-05-05T00:00:00Z"/>
        <d v="2024-05-06T00:00:00Z"/>
        <d v="2024-05-07T00:00:00Z"/>
        <d v="2024-05-08T00:00:00Z"/>
        <d v="2024-05-09T00:00:00Z"/>
        <d v="2024-05-10T00:00:00Z"/>
        <d v="2024-05-11T00:00:00Z"/>
        <d v="2024-05-12T00:00:00Z"/>
        <d v="2024-05-14T00:00:00Z"/>
        <d v="2024-05-15T00:00:00Z"/>
        <d v="2024-05-16T00:00:00Z"/>
        <d v="2024-05-18T00:00:00Z"/>
        <d v="2024-05-19T00:00:00Z"/>
        <d v="2024-05-21T00:00:00Z"/>
        <d v="2024-05-22T00:00:00Z"/>
        <d v="2024-05-23T00:00:00Z"/>
        <d v="2024-05-25T00:00:00Z"/>
        <d v="2024-05-26T00:00:00Z"/>
        <d v="2024-05-27T00:00:00Z"/>
        <d v="2024-05-28T00:00:00Z"/>
        <d v="2024-05-29T00:00:00Z"/>
        <d v="2024-05-31T00:00:00Z"/>
        <d v="2024-06-01T00:00:00Z"/>
        <d v="2024-06-02T00:00:00Z"/>
        <d v="2024-06-03T00:00:00Z"/>
        <d v="2024-06-04T00:00:00Z"/>
        <d v="2024-06-05T00:00:00Z"/>
        <d v="2024-06-06T00:00:00Z"/>
        <d v="2024-06-07T00:00:00Z"/>
        <d v="2024-06-08T00:00:00Z"/>
        <d v="2024-06-09T00:00:00Z"/>
        <d v="2024-06-10T00:00:00Z"/>
        <d v="2024-06-11T00:00:00Z"/>
        <d v="2024-06-12T00:00:00Z"/>
        <d v="2024-06-13T00:00:00Z"/>
        <d v="2024-06-14T00:00:00Z"/>
        <d v="2024-06-15T00:00:00Z"/>
        <d v="2024-06-16T00:00:00Z"/>
        <d v="2024-06-17T00:00:00Z"/>
        <d v="2024-06-18T00:00:00Z"/>
        <d v="2024-06-20T00:00:00Z"/>
        <d v="2024-06-21T00:00:00Z"/>
        <d v="2024-06-22T00:00:00Z"/>
        <d v="2024-06-23T00:00:00Z"/>
        <d v="2024-06-24T00:00:00Z"/>
        <d v="2024-06-25T00:00:00Z"/>
        <d v="2024-06-26T00:00:00Z"/>
      </sharedItems>
    </cacheField>
    <cacheField name="Last Update" numFmtId="167">
      <sharedItems containsDate="1" containsString="0" containsBlank="1">
        <d v="2023-06-27T00:00:00Z"/>
        <d v="2023-07-11T00:00:00Z"/>
        <d v="2023-06-20T00:00:00Z"/>
        <d v="2023-07-08T00:00:00Z"/>
        <d v="2023-07-10T00:00:00Z"/>
        <d v="2023-07-13T00:00:00Z"/>
        <d v="2023-06-30T00:00:00Z"/>
        <d v="2023-07-15T00:00:00Z"/>
        <d v="2023-07-16T00:00:00Z"/>
        <d v="2023-07-18T00:00:00Z"/>
        <d v="2023-07-17T00:00:00Z"/>
        <d v="2023-06-26T00:00:00Z"/>
        <d v="2023-07-19T00:00:00Z"/>
        <d v="2023-07-22T00:00:00Z"/>
        <d v="2023-07-20T00:00:00Z"/>
        <d v="2023-06-28T00:00:00Z"/>
        <d v="2023-06-29T00:00:00Z"/>
        <d v="2023-07-07T00:00:00Z"/>
        <d v="2023-07-23T00:00:00Z"/>
        <d v="2023-07-24T00:00:00Z"/>
        <d v="2023-07-01T00:00:00Z"/>
        <d v="2023-07-02T00:00:00Z"/>
        <d v="2023-07-03T00:00:00Z"/>
        <d v="2023-07-27T00:00:00Z"/>
        <d v="2023-07-05T00:00:00Z"/>
        <d v="2023-07-06T00:00:00Z"/>
        <d v="2023-07-25T00:00:00Z"/>
        <d v="2023-08-02T00:00:00Z"/>
        <d v="2024-06-24T00:00:00Z"/>
        <d v="2023-08-06T00:00:00Z"/>
        <d v="2023-08-10T00:00:00Z"/>
        <d v="2024-06-15T00:00:00Z"/>
        <d v="2023-08-07T00:00:00Z"/>
        <d v="2023-08-12T00:00:00Z"/>
        <d v="2023-08-11T00:00:00Z"/>
        <d v="2023-07-21T00:00:00Z"/>
        <d v="2023-08-09T00:00:00Z"/>
        <d v="2023-08-23T00:00:00Z"/>
        <d v="2023-08-21T00:00:00Z"/>
        <d v="2023-08-13T00:00:00Z"/>
        <d v="2023-08-25T00:00:00Z"/>
        <d v="2023-08-05T00:00:00Z"/>
        <d v="2023-08-28T00:00:00Z"/>
        <d v="2023-08-31T00:00:00Z"/>
        <d v="2023-08-26T00:00:00Z"/>
        <d v="2023-08-30T00:00:00Z"/>
        <d v="2024-04-19T00:00:00Z"/>
        <d v="2023-09-03T00:00:00Z"/>
        <d v="2023-09-04T00:00:00Z"/>
        <d v="2023-08-27T00:00:00Z"/>
        <d v="2023-09-06T00:00:00Z"/>
        <d v="2023-09-08T00:00:00Z"/>
        <d v="2023-08-18T00:00:00Z"/>
        <d v="2023-09-10T00:00:00Z"/>
        <d v="2023-09-11T00:00:00Z"/>
        <d v="2023-08-17T00:00:00Z"/>
        <d v="2023-08-19T00:00:00Z"/>
        <d v="2023-09-07T00:00:00Z"/>
        <d v="2023-09-13T00:00:00Z"/>
        <d v="2023-09-17T00:00:00Z"/>
        <d v="2023-08-24T00:00:00Z"/>
        <d v="2023-09-14T00:00:00Z"/>
        <d v="2023-09-18T00:00:00Z"/>
        <d v="2023-09-20T00:00:00Z"/>
        <d v="2023-09-21T00:00:00Z"/>
        <d v="2023-09-15T00:00:00Z"/>
        <d v="2023-09-19T00:00:00Z"/>
        <d v="2023-09-27T00:00:00Z"/>
        <d v="2023-10-10T00:00:00Z"/>
        <d v="2023-09-29T00:00:00Z"/>
        <d v="2023-10-03T00:00:00Z"/>
        <d v="2023-09-12T00:00:00Z"/>
        <d v="2023-09-30T00:00:00Z"/>
        <d v="2023-10-07T00:00:00Z"/>
        <d v="2023-10-09T00:00:00Z"/>
        <d v="2023-09-26T00:00:00Z"/>
        <d v="2023-10-11T00:00:00Z"/>
        <d v="2023-09-16T00:00:00Z"/>
        <d v="2023-10-08T00:00:00Z"/>
        <d v="2023-10-14T00:00:00Z"/>
        <d v="2023-10-04T00:00:00Z"/>
        <d v="2023-10-16T00:00:00Z"/>
        <d v="2023-10-06T00:00:00Z"/>
        <d v="2023-10-12T00:00:00Z"/>
        <d v="2023-10-21T00:00:00Z"/>
        <d v="2024-04-25T00:00:00Z"/>
        <d v="2023-10-25T00:00:00Z"/>
        <d v="2023-10-20T00:00:00Z"/>
        <d v="2023-10-19T00:00:00Z"/>
        <d v="2023-10-05T00:00:00Z"/>
        <d v="2023-10-13T00:00:00Z"/>
        <d v="2023-10-02T00:00:00Z"/>
        <d v="2023-10-23T00:00:00Z"/>
        <d v="2023-11-04T00:00:00Z"/>
        <d v="2023-10-29T00:00:00Z"/>
        <d v="2023-10-18T00:00:00Z"/>
        <d v="2023-10-31T00:00:00Z"/>
        <d v="2023-10-22T00:00:00Z"/>
        <d v="2023-10-17T00:00:00Z"/>
        <d v="2023-10-30T00:00:00Z"/>
        <d v="2023-10-26T00:00:00Z"/>
        <d v="2023-11-03T00:00:00Z"/>
        <d v="2023-11-06T00:00:00Z"/>
        <d v="2023-10-27T00:00:00Z"/>
        <d v="2023-11-07T00:00:00Z"/>
        <d v="2023-10-28T00:00:00Z"/>
        <d v="2023-11-08T00:00:00Z"/>
        <d v="2023-11-05T00:00:00Z"/>
        <d v="2023-11-14T00:00:00Z"/>
        <d v="2023-11-01T00:00:00Z"/>
        <d v="2023-11-02T00:00:00Z"/>
        <d v="2023-11-20T00:00:00Z"/>
        <d v="2023-11-12T00:00:00Z"/>
        <d v="2023-11-10T00:00:00Z"/>
        <d v="2023-11-21T00:00:00Z"/>
        <d v="2023-11-11T00:00:00Z"/>
        <d v="2023-11-25T00:00:00Z"/>
        <d v="2023-11-13T00:00:00Z"/>
        <d v="2023-11-26T00:00:00Z"/>
        <d v="2023-12-02T00:00:00Z"/>
        <d v="2023-11-27T00:00:00Z"/>
        <d v="2023-11-15T00:00:00Z"/>
        <d v="2023-11-19T00:00:00Z"/>
        <d v="2023-12-04T00:00:00Z"/>
        <d v="2023-11-30T00:00:00Z"/>
        <d v="2023-12-06T00:00:00Z"/>
        <d v="2023-12-07T00:00:00Z"/>
        <d v="2023-12-08T00:00:00Z"/>
        <d v="2023-11-16T00:00:00Z"/>
        <d v="2023-12-09T00:00:00Z"/>
        <d v="2023-11-28T00:00:00Z"/>
        <d v="2023-12-01T00:00:00Z"/>
        <d v="2023-12-12T00:00:00Z"/>
        <d v="2023-11-22T00:00:00Z"/>
        <d v="2023-11-29T00:00:00Z"/>
        <d v="2023-12-14T00:00:00Z"/>
        <d v="2023-12-15T00:00:00Z"/>
        <d v="2023-12-16T00:00:00Z"/>
        <d v="2023-12-17T00:00:00Z"/>
        <d v="2023-12-19T00:00:00Z"/>
        <d v="2023-12-18T00:00:00Z"/>
        <d v="2023-12-13T00:00:00Z"/>
        <d v="2023-12-05T00:00:00Z"/>
        <d v="2023-12-10T00:00:00Z"/>
        <d v="2023-12-20T00:00:00Z"/>
        <d v="2023-12-03T00:00:00Z"/>
        <d v="2023-12-25T00:00:00Z"/>
        <d v="2023-12-11T00:00:00Z"/>
        <d v="2023-12-26T00:00:00Z"/>
        <d v="2023-12-31T00:00:00Z"/>
        <d v="2023-12-22T00:00:00Z"/>
        <d v="2023-12-28T00:00:00Z"/>
        <d v="2024-01-01T00:00:00Z"/>
        <d v="2023-12-24T00:00:00Z"/>
        <d v="2024-01-02T00:00:00Z"/>
        <d v="2024-01-03T00:00:00Z"/>
        <d v="2023-12-27T00:00:00Z"/>
        <d v="2023-12-21T00:00:00Z"/>
        <d v="2024-01-05T00:00:00Z"/>
        <d v="2024-01-08T00:00:00Z"/>
        <d v="2024-01-06T00:00:00Z"/>
        <d v="2024-01-10T00:00:00Z"/>
        <d v="2024-04-10T00:00:00Z"/>
        <d v="2024-01-12T00:00:00Z"/>
        <d v="2024-01-07T00:00:00Z"/>
        <d v="2024-01-19T00:00:00Z"/>
        <d v="2024-03-09T00:00:00Z"/>
        <d v="2024-01-18T00:00:00Z"/>
        <d v="2024-01-30T00:00:00Z"/>
        <d v="2024-01-22T00:00:00Z"/>
        <d v="2024-01-15T00:00:00Z"/>
        <d v="2024-01-09T00:00:00Z"/>
        <d v="2024-01-13T00:00:00Z"/>
        <d v="2024-01-24T00:00:00Z"/>
        <d v="2024-01-25T00:00:00Z"/>
        <d v="2024-01-29T00:00:00Z"/>
        <d v="2024-01-16T00:00:00Z"/>
        <d v="2024-03-30T00:00:00Z"/>
        <d v="2024-02-03T00:00:00Z"/>
        <d v="2024-01-31T00:00:00Z"/>
        <d v="2024-01-20T00:00:00Z"/>
        <d v="2024-01-28T00:00:00Z"/>
        <d v="2024-02-05T00:00:00Z"/>
        <d v="2024-01-26T00:00:00Z"/>
        <d v="2024-02-08T00:00:00Z"/>
        <d v="2024-02-12T00:00:00Z"/>
        <d v="2024-01-21T00:00:00Z"/>
        <d v="2024-01-17T00:00:00Z"/>
        <d v="2024-02-06T00:00:00Z"/>
        <d v="2024-02-13T00:00:00Z"/>
        <d v="2024-02-09T00:00:00Z"/>
        <d v="2024-02-14T00:00:00Z"/>
        <d v="2024-02-07T00:00:00Z"/>
        <d v="2024-02-19T00:00:00Z"/>
        <d v="2024-02-18T00:00:00Z"/>
        <d v="2024-02-02T00:00:00Z"/>
        <d v="2024-02-21T00:00:00Z"/>
        <d v="2024-02-11T00:00:00Z"/>
        <d v="2024-02-26T00:00:00Z"/>
        <d v="2024-03-01T00:00:00Z"/>
        <d v="2024-02-29T00:00:00Z"/>
        <d v="2024-04-27T00:00:00Z"/>
        <d v="2024-02-27T00:00:00Z"/>
        <d v="2024-02-17T00:00:00Z"/>
        <d v="2024-02-23T00:00:00Z"/>
        <d v="2024-02-24T00:00:00Z"/>
        <d v="2024-02-25T00:00:00Z"/>
        <d v="2024-03-04T00:00:00Z"/>
        <d v="2024-03-07T00:00:00Z"/>
        <d v="2024-02-10T00:00:00Z"/>
        <d v="2024-03-13T00:00:00Z"/>
        <d v="2024-03-06T00:00:00Z"/>
        <d v="2024-03-29T00:00:00Z"/>
        <d v="2024-02-15T00:00:00Z"/>
        <d v="2024-03-08T00:00:00Z"/>
        <d v="2024-03-03T00:00:00Z"/>
        <d v="2024-03-11T00:00:00Z"/>
        <d v="2024-02-20T00:00:00Z"/>
        <d v="2024-02-16T00:00:00Z"/>
        <d v="2024-03-16T00:00:00Z"/>
        <d v="2024-03-12T00:00:00Z"/>
        <d v="2024-03-05T00:00:00Z"/>
        <d v="2024-03-14T00:00:00Z"/>
        <d v="2024-03-18T00:00:00Z"/>
        <d v="2024-03-26T00:00:00Z"/>
        <d v="2024-03-19T00:00:00Z"/>
        <d v="2024-03-31T00:00:00Z"/>
        <d v="2024-02-22T00:00:00Z"/>
        <d v="2024-03-21T00:00:00Z"/>
        <d v="2024-03-22T00:00:00Z"/>
        <d v="2024-03-23T00:00:00Z"/>
        <d v="2024-03-25T00:00:00Z"/>
        <d v="2024-03-17T00:00:00Z"/>
        <d v="2024-03-20T00:00:00Z"/>
        <d v="2024-03-27T00:00:00Z"/>
        <d v="2024-04-01T00:00:00Z"/>
        <d v="2024-03-24T00:00:00Z"/>
        <m/>
        <d v="2024-04-07T00:00:00Z"/>
        <d v="2024-04-03T00:00:00Z"/>
        <d v="2024-04-13T00:00:00Z"/>
        <d v="2024-04-06T00:00:00Z"/>
        <d v="2024-04-02T00:00:00Z"/>
        <d v="2024-03-15T00:00:00Z"/>
        <d v="2024-04-11T00:00:00Z"/>
        <d v="2024-04-14T00:00:00Z"/>
        <d v="2024-04-17T00:00:00Z"/>
        <d v="2024-04-15T00:00:00Z"/>
        <d v="2024-04-08T00:00:00Z"/>
        <d v="2024-04-05T00:00:00Z"/>
        <d v="2024-04-16T00:00:00Z"/>
        <d v="2024-04-18T00:00:00Z"/>
        <d v="2023-10-15T00:00:00Z"/>
        <d v="2024-04-04T00:00:00Z"/>
        <d v="2024-03-28T00:00:00Z"/>
        <d v="2024-04-21T00:00:00Z"/>
        <d v="2024-04-22T00:00:00Z"/>
        <d v="2024-04-20T00:00:00Z"/>
        <d v="2024-04-09T00:00:00Z"/>
        <d v="2024-04-23T00:00:00Z"/>
        <d v="2024-04-24T00:00:00Z"/>
        <d v="2024-04-26T00:00:00Z"/>
        <d v="2024-05-06T00:00:00Z"/>
        <d v="2024-05-08T00:00:00Z"/>
        <d v="2024-04-30T00:00:00Z"/>
        <d v="2024-05-04T00:00:00Z"/>
        <d v="2024-05-03T00:00:00Z"/>
        <d v="2024-05-01T00:00:00Z"/>
        <d v="2024-04-12T00:00:00Z"/>
        <d v="2024-04-29T00:00:00Z"/>
        <d v="2024-05-05T00:00:00Z"/>
        <d v="2024-05-11T00:00:00Z"/>
        <d v="2024-05-07T00:00:00Z"/>
        <d v="2024-05-13T00:00:00Z"/>
        <d v="2024-05-16T00:00:00Z"/>
        <d v="2024-05-10T00:00:00Z"/>
        <d v="2024-05-26T00:00:00Z"/>
        <d v="2024-05-15T00:00:00Z"/>
        <d v="2024-05-14T00:00:00Z"/>
        <d v="2024-05-20T00:00:00Z"/>
        <d v="2024-05-02T00:00:00Z"/>
        <d v="2024-05-12T00:00:00Z"/>
        <d v="2024-05-18T00:00:00Z"/>
        <d v="2024-05-17T00:00:00Z"/>
        <d v="2024-05-19T00:00:00Z"/>
        <d v="2024-05-24T00:00:00Z"/>
        <d v="2024-05-22T00:00:00Z"/>
        <d v="2024-05-23T00:00:00Z"/>
        <d v="2024-06-06T00:00:00Z"/>
        <d v="2024-05-25T00:00:00Z"/>
        <d v="2024-06-03T00:00:00Z"/>
        <d v="2024-05-31T00:00:00Z"/>
        <d v="2024-06-01T00:00:00Z"/>
        <d v="2024-05-27T00:00:00Z"/>
        <d v="2024-06-02T00:00:00Z"/>
        <d v="2024-05-28T00:00:00Z"/>
        <d v="2024-06-04T00:00:00Z"/>
        <d v="2024-06-05T00:00:00Z"/>
        <d v="2024-06-18T00:00:00Z"/>
        <d v="2024-06-13T00:00:00Z"/>
        <d v="2024-06-07T00:00:00Z"/>
        <d v="2024-06-09T00:00:00Z"/>
        <d v="2024-06-08T00:00:00Z"/>
        <d v="2024-06-10T00:00:00Z"/>
        <d v="2024-06-17T00:00:00Z"/>
        <d v="2024-06-11T00:00:00Z"/>
        <d v="2024-05-21T00:00:00Z"/>
        <d v="2024-06-16T00:00:00Z"/>
        <d v="2024-05-29T00:00:00Z"/>
        <d v="2024-06-14T00:00:00Z"/>
        <d v="2024-06-19T00:00:00Z"/>
        <d v="2024-06-21T00:00:00Z"/>
        <d v="2024-06-20T00:00:00Z"/>
        <d v="2024-05-30T00:00:00Z"/>
        <d v="2024-06-22T00:00:00Z"/>
        <d v="2024-06-12T00:00:00Z"/>
        <d v="2024-06-25T00:00:00Z"/>
        <d v="2024-06-26T00:00:00Z"/>
        <d v="2024-06-23T00:00:00Z"/>
      </sharedItems>
    </cacheField>
    <cacheField name="USD Last Update" numFmtId="164">
      <sharedItems containsString="0" containsBlank="1" containsNumber="1">
        <n v="0.0"/>
        <n v="35190.945004463196"/>
        <n v="91728.73687791824"/>
        <n v="320389.9754962921"/>
        <n v="411315.29848337173"/>
        <n v="654452.6672995662"/>
        <n v="21382.809224596025"/>
        <n v="240230.7023905106"/>
        <n v="201576.39384412766"/>
        <n v="138628.32171288013"/>
        <n v="264550.00537872314"/>
        <n v="354671.3139538765"/>
        <n v="45448.1049656868"/>
        <n v="17966.891866207123"/>
        <n v="216844.1944232826"/>
        <n v="963017.1459159851"/>
        <n v="425460.34812927246"/>
        <n v="140171.34282302856"/>
        <n v="1868.7286227226257"/>
        <n v="2493.1304454803467"/>
        <n v="209979.77878189087"/>
        <n v="804959.9990386963"/>
        <n v="64399.2428889656"/>
        <n v="529103.0425643921"/>
        <n v="100430.40020751953"/>
        <n v="79593.99656677246"/>
        <n v="376681.58445739746"/>
        <n v="4988.37175886631"/>
        <n v="660.2297973632812"/>
        <n v="22146.16540596008"/>
        <n v="377451.9663787822"/>
        <n v="182613.5992958975"/>
        <n v="189138.3763370514"/>
        <n v="24864.872765654563"/>
        <n v="41457.7880525589"/>
        <n v="534.7219944000244"/>
        <n v="5209.113121032715"/>
        <n v="1256.5122842788696"/>
        <n v="20515.915464401245"/>
        <n v="205.0587272644043"/>
        <n v="1188.584077835083"/>
        <n v="1337.4944925308228"/>
        <n v="552162.5462468147"/>
        <n v="139528.33678993178"/>
        <n v="514918.88523101807"/>
        <n v="482013.4768486023"/>
        <n v="4552.665035028457"/>
        <n v="61319.03359937668"/>
        <n v="18955.68651008606"/>
        <n v="56754.76063568592"/>
        <n v="5392.269264221191"/>
        <n v="75487.63888597488"/>
        <n v="144114.63950157166"/>
        <n v="107.95333862304688"/>
        <n v="62711.168772160054"/>
        <n v="295206.97983994486"/>
        <n v="5164.606246948242"/>
        <n v="64274.171760628225"/>
        <n v="33663.91652393341"/>
        <n v="282610.15407562256"/>
        <n v="152132.23749160767"/>
        <n v="1.7118068050563812E7"/>
        <n v="168976.15137195587"/>
        <n v="396.84497833251953"/>
        <n v="248.0281114578247"/>
        <n v="28545.543954849243"/>
        <n v="65529.43958248854"/>
        <n v="66620.98069190979"/>
        <n v="78382.6070806675"/>
        <n v="362582.6869749069"/>
        <n v="187515.58480478288"/>
        <n v="424889.60845947266"/>
        <n v="257217.41010070036"/>
        <n v="10421.578921318054"/>
        <n v="199041.0256758802"/>
        <n v="44092.83866882324"/>
        <n v="337553.6029815674"/>
        <n v="361.59793853759766"/>
        <n v="167864.8402448416"/>
        <n v="778.7728910417557"/>
        <n v="961.7147463393211"/>
        <n v="2216.8214321136475"/>
        <n v="1596.9981596946716"/>
        <n v="68357.06049442291"/>
        <n v="108027.04679489136"/>
        <n v="17382.753705978394"/>
        <n v="114095.51201915741"/>
        <n v="170720.25636672974"/>
        <n v="84619.78737840356"/>
        <n v="1347.7179050445557"/>
        <n v="163412.5325917449"/>
        <n v="540550.4567193985"/>
        <n v="80320.12238917351"/>
        <n v="8.063699015604944E8"/>
        <n v="806366.1797876358"/>
        <n v="247959.49429035187"/>
        <n v="285650.86326408386"/>
        <n v="219775.71102316998"/>
        <n v="4043.890857696533"/>
        <n v="233197.6668100357"/>
        <n v="49553.997246555424"/>
        <n v="311756.41708374023"/>
        <n v="179972.68836021423"/>
        <n v="405.8725833892822"/>
        <n v="1035.489797592163"/>
        <n v="237339.79270119668"/>
        <n v="967831.6252560616"/>
        <n v="128606.73090932821"/>
        <n v="25153.181664819716"/>
        <n v="3496.8125549030306"/>
        <n v="55448.94446227455"/>
        <n v="82321.27532958984"/>
        <n v="183548.03500652313"/>
        <n v="23163.536529352667"/>
        <n v="903379.6771345139"/>
        <n v="130143.1534576416"/>
        <n v="60947.0469686985"/>
        <n v="745528.9821412325"/>
        <n v="37652.19421386719"/>
        <n v="81.48493766784668"/>
        <n v="141231.90055847168"/>
        <n v="25551.40493221283"/>
        <n v="19094.579084396362"/>
        <n v="60.84670543670654"/>
        <n v="18774.889707565308"/>
        <n v="60.70974111557007"/>
        <n v="288975.4856014252"/>
        <n v="504.91859372735024"/>
        <n v="52909.59660290241"/>
        <n v="324.51576232910156"/>
        <n v="166659.53242063522"/>
        <n v="158221.27057170868"/>
        <n v="1069418.0067055263"/>
        <n v="78255.69694519043"/>
        <n v="50720.82905292511"/>
        <n v="20306.99817252159"/>
        <n v="204157.68256092072"/>
        <n v="3646.7741203308105"/>
        <n v="378466.9846916199"/>
        <n v="8500.88589811325"/>
        <n v="57204.50577785969"/>
        <n v="171533.83743667603"/>
        <n v="48085.680753707886"/>
        <n v="930.2995204925537"/>
        <n v="20590.681063842774"/>
        <n v="2165483.5875606537"/>
        <n v="18371.574969291687"/>
        <n v="3721.2750911712646"/>
        <n v="4188.214194774628"/>
        <n v="3442.17945933342"/>
        <n v="792.9431915283203"/>
        <n v="3043.7909603118896"/>
        <n v="130575.70901672317"/>
        <n v="935330.6803665161"/>
        <n v="138130.9799194336"/>
        <n v="50535.850524902344"/>
        <n v="3106388.0979447365"/>
        <n v="1.1480887444565535E8"/>
        <n v="135908.1592054367"/>
        <n v="203577.8356552124"/>
        <n v="226079.1541337967"/>
        <n v="635.4608774185181"/>
        <n v="117356.78630256653"/>
        <n v="9157.239246368408"/>
        <n v="105414.0174993301"/>
        <n v="284868.0763871622"/>
        <n v="1758.5296641254424"/>
        <n v="10389.19851257801"/>
        <n v="80852.26232767105"/>
        <n v="5703.471712589264"/>
        <n v="27182.742474079132"/>
        <n v="18391.639382839203"/>
        <n v="132358.3769440651"/>
        <n v="89601.52673721313"/>
        <n v="8699.747411727905"/>
        <n v="8349.085807800293"/>
        <n v="1641.8591737747192"/>
        <n v="314906.35774847027"/>
        <n v="731101.0220732689"/>
        <n v="38795.41872024536"/>
        <n v="2767.705464363098"/>
        <n v="32341.10360956192"/>
        <n v="726130.7726783752"/>
        <n v="5291220.188140869"/>
        <n v="161959.54506988524"/>
        <n v="513103.2653764343"/>
        <n v="47427.073669433594"/>
        <n v="89754.67777347565"/>
        <n v="23045.113191604614"/>
        <n v="16227.429418087006"/>
        <n v="56214.271577871325"/>
        <n v="110455.63011169434"/>
        <n v="541250.259411335"/>
        <n v="2621.1016178131104"/>
        <n v="130423.0824637413"/>
        <n v="1306.6195678710938"/>
        <n v="31943.193459033966"/>
        <n v="118272.8529725647"/>
        <n v="35577.21670865535"/>
        <n v="35618.89410018921"/>
        <n v="1625.1878471088407"/>
        <n v="5242.203235626221"/>
        <n v="122929.61944913864"/>
        <n v="43726.35269165039"/>
        <n v="4792.046475591659"/>
        <n v="28131.635189056396"/>
        <n v="11645.587386131287"/>
        <n v="5133632.7714829445"/>
        <n v="639.6103477478027"/>
        <n v="3369.573913660049"/>
        <n v="23144.556258544922"/>
        <n v="28403.631734848022"/>
        <n v="14489.015617222785"/>
        <n v="21733.55780447483"/>
        <n v="9345.329209804535"/>
        <n v="11193.685396194458"/>
        <n v="3346.193638086319"/>
        <n v="173463.07664935113"/>
        <n v="68091.73227890015"/>
        <n v="65012.438703083986"/>
        <n v="30044.30494112492"/>
        <n v="67587.137196064"/>
        <n v="20067.617797851562"/>
        <n v="66382.00737380981"/>
        <n v="49854.62370366096"/>
        <n v="1.2086651802062988E-9"/>
        <n v="39270.812900066376"/>
        <n v="50988.47222137451"/>
        <n v="27597.103930950165"/>
        <n v="4.492052628974915E-5"/>
        <n v="449205.26289749146"/>
        <n v="199893.310546875"/>
        <n v="243525.69580078125"/>
        <n v="227032.60002565384"/>
        <n v="70463.06467151642"/>
        <n v="852314.0514621735"/>
        <n v="1095.0079917907715"/>
        <n v="338968.53231811523"/>
        <n v="94649.38012933731"/>
        <n v="18.73999786376953"/>
        <n v="59076.24592781067"/>
        <n v="3176.135282006264"/>
        <n v="556365.502512455"/>
        <n v="547328.6936626434"/>
        <n v="561624.5739340782"/>
        <n v="5911.51286380291"/>
        <n v="712.3778820037842"/>
        <n v="445.9104919433594"/>
        <n v="5438.993310928345"/>
        <n v="237685.1772427559"/>
        <n v="60881.42395019531"/>
        <n v="300.8437919616699"/>
        <n v="90253.13758850098"/>
        <n v="294728.0863070488"/>
        <n v="187550.28578281403"/>
        <n v="69560.47089242935"/>
        <n v="113382.04055786133"/>
        <n v="6839.678764343262"/>
        <n v="42063.47942352295"/>
        <n v="55615.090220451355"/>
        <n v="8305492.200950623"/>
        <n v="70933.28332901001"/>
        <n v="630603.3177213669"/>
        <n v="38791.37742519379"/>
        <n v="1016502.2154192924"/>
        <n v="232424.17905807495"/>
        <n v="80233.32316684723"/>
        <n v="143491.3900823593"/>
        <n v="156356.79960250854"/>
        <n v="4243.613085746765"/>
        <n v="3353.1500120162964"/>
        <n v="836667.7529335022"/>
        <n v="3094.0776586532593"/>
        <n v="13446.874380111694"/>
        <n v="449897.15695381165"/>
        <n v="165678.6430835724"/>
        <n v="90354.11908721924"/>
        <n v="7085.906982421875"/>
        <n v="345528.823677063"/>
        <n v="78827.49714700603"/>
        <n v="182386.0669255066"/>
        <n v="3471.3475704193115"/>
        <n v="211695.50481233367"/>
        <n v="20731.563568115234"/>
        <n v="199130.61891174316"/>
        <n v="2460014.033317566"/>
        <n v="1480403.8563461304"/>
        <n v="2352.4765434265137"/>
        <n v="14331.968091011047"/>
        <n v="111711.32175922394"/>
        <n v="77860.96796979904"/>
        <n v="331439.63108577725"/>
        <n v="205622.93027251243"/>
        <n v="130660.90535736084"/>
        <n v="1871824.6919622933"/>
        <n v="460581.38894587994"/>
        <n v="10726.625442504883"/>
        <n v="348.12278747558594"/>
        <n v="726340.8530712128"/>
        <n v="385360.6036603975"/>
        <n v="181662.5747680664"/>
        <n v="19074.618577957153"/>
        <n v="27564.14668893814"/>
        <n v="671383.8305110931"/>
        <n v="74935.81209182739"/>
        <n v="486085.0705318451"/>
        <n v="146587.23357725143"/>
        <n v="62807.127356529236"/>
        <n v="2.9462561386234283E7"/>
        <n v="4255.996999740601"/>
        <n v="294625.61386234284"/>
        <n v="788.1475925445557"/>
        <n v="4905.345916748047"/>
        <n v="38354.97998046875"/>
        <n v="18309.959193940165"/>
        <n v="1703.0866384506226"/>
        <n v="378.4636974334717"/>
        <n v="264269.3607006073"/>
        <n v="11153.223294258118"/>
        <n v="1016.708984375"/>
        <n v="1307.230224609375"/>
        <n v="87606.16467905045"/>
        <n v="70133.04677009583"/>
        <n v="376714.65587615967"/>
        <n v="451201.43218040466"/>
        <n v="21597.210963349342"/>
        <n v="396487.4529838562"/>
        <n v="352867.6115179062"/>
        <n v="6874.605178833008"/>
        <n v="68705.30662536621"/>
        <n v="1588.6077880859375"/>
        <n v="4581.325155735016"/>
        <n v="1559.150221824646"/>
        <n v="6453.38236284256"/>
        <n v="13054.452890367507"/>
        <n v="56962.94512939453"/>
        <n v="85618.36586236954"/>
        <n v="130472.71211901188"/>
        <n v="126.65849685668945"/>
        <n v="765758.1806182861"/>
        <n v="3595745.56350708"/>
        <n v="516.7873764038086"/>
        <n v="99574.88661336899"/>
        <n v="3668.635892868042"/>
        <n v="287230.9412097931"/>
        <n v="719149.112701416"/>
        <n v="1000.8687257766724"/>
        <n v="262774.31801802997"/>
        <n v="199569.17034387589"/>
        <n v="86155.50398826599"/>
        <n v="323571.4605998993"/>
        <n v="1727363.9624118805"/>
        <n v="6267227.057719231"/>
        <n v="811090.5866394043"/>
        <n v="62805.44242295456"/>
        <n v="532581.1870918274"/>
        <n v="306261.42416000366"/>
        <n v="825502.4909973145"/>
        <n v="6677.962108612061"/>
        <n v="13112.6673579216"/>
        <n v="214775.07469177246"/>
        <n v="413597.0618057251"/>
        <n v="575.3192901611328"/>
        <n v="1546.6411590576172"/>
        <n v="132353.61122131348"/>
        <n v="263702.100276947"/>
        <n v="266963.80615234375"/>
        <n v="6611.456823348999"/>
        <n v="7096.012115478516"/>
        <n v="5539.296886224746"/>
        <n v="67676.24457836151"/>
        <n v="1920117.8267564392"/>
        <n v="1469.2126274108887"/>
        <n v="10278.813362121582"/>
        <n v="587.6850509643555"/>
        <n v="1496.5782165527344"/>
        <n v="54191.81823730469"/>
        <n v="1835116.447108202"/>
        <n v="322392.94765075686"/>
        <n v="74243.94844293594"/>
        <n v="6892.440319061279"/>
        <n v="198223.41918945312"/>
        <n v="7465.518841266632"/>
        <n v="556299.6579713821"/>
        <n v="317417.2375488281"/>
        <n v="685296.2817649841"/>
        <n v="466913.5783029556"/>
        <n v="417130.9471130371"/>
        <n v="331091.30859375"/>
        <n v="508257.060546875"/>
        <n v="7563.416004180908"/>
        <n v="1037005.4662789197"/>
        <n v="574892.2698608398"/>
        <n v="1744.283454724015"/>
        <n v="536331.2721252441"/>
        <n v="2725102.2913074493"/>
        <n v="122202.55012512207"/>
        <n v="7315.996848917008"/>
        <n v="7468.303203582764"/>
        <n v="3347441.577911377"/>
        <n v="54912.51806415558"/>
        <n v="296305.302734375"/>
        <n v="729.3909072875977"/>
        <n v="14053.964138031006"/>
        <n v="7.837951660156251E-7"/>
        <n v="80432.73624420166"/>
        <n v="95806.37893867493"/>
        <n v="1056.9041740216637"/>
        <n v="2.3609445095062258E-4"/>
        <n v="2229814.5294189453"/>
        <n v="5.540664574909211E-6"/>
        <n v="85667.00112946094"/>
        <n v="959623.5275268555"/>
        <n v="3.773815484352112E-5"/>
        <n v="302281.4111709595"/>
        <n v="783.795166015625"/>
        <n v="331657.97014045715"/>
        <n v="12665.849685668945"/>
        <n v="135185.2431256485"/>
        <n v="2.0557626724243163E-7"/>
        <n v="880478.2604961395"/>
        <n v="34170.69396972656"/>
        <n v="263126.90505981445"/>
        <n v="3.322150802612305E-5"/>
        <n v="296017.76819229126"/>
        <n v="1449112.3947343826"/>
        <m/>
        <n v="310852.76851882937"/>
        <n v="541579.5109577179"/>
        <n v="586962.711227417"/>
        <n v="8389035.22491455"/>
        <n v="8389035.224914549"/>
        <n v="292322.4540710449"/>
        <n v="6.416129473114013E-6"/>
        <n v="69917.49607086182"/>
        <n v="79695.83463668823"/>
        <n v="8727.157974243164"/>
        <n v="216.76727294921875"/>
        <n v="2.6497650403213502E-5"/>
        <n v="272566.48607444763"/>
        <n v="611698.2231445312"/>
        <n v="5687.193984985352"/>
        <n v="100585.54290962219"/>
        <n v="707799.1305651856"/>
        <n v="198.14796447753906"/>
        <n v="6869346.141815186"/>
        <n v="332241.49905347824"/>
        <n v="1667839.7744413202"/>
        <n v="1209674.120432971"/>
        <n v="713.5406494140625"/>
        <n v="84335.54649353027"/>
        <n v="2.491375777578354E-5"/>
        <n v="179.64178085327148"/>
        <n v="187.38618850708008"/>
        <n v="327676.18657547934"/>
        <n v="3343.8289165496826"/>
        <n v="3567514.419555664"/>
        <n v="387553.1917362213"/>
        <n v="91183.36183691025"/>
        <n v="79710.15886688232"/>
        <n v="1121.9181418418884"/>
        <n v="40253.754930496216"/>
        <n v="9.642625808715819E-7"/>
        <n v="8.70672607421875E-7"/>
        <n v="8706.72607421875"/>
        <n v="9642.62580871582"/>
        <n v="8863.756141662598"/>
        <n v="315931.8970413208"/>
        <n v="190.3356170654297"/>
        <n v="312933.0634903908"/>
        <n v="1039523.2200622559"/>
        <n v="428930.6640625"/>
        <n v="1943013.6346817017"/>
        <n v="149164.6519241333"/>
        <n v="139792.06814956665"/>
        <n v="18503.687727479934"/>
        <n v="5817.008123588563"/>
        <n v="6359.6087453842165"/>
        <n v="192.8525161743164"/>
        <n v="110461.22982398987"/>
        <n v="49132.236557006836"/>
        <n v="8221.25452041626"/>
        <n v="37815.65284729004"/>
        <n v="964.262580871582"/>
        <n v="167.78070449829102"/>
        <n v="118434.50736999512"/>
        <n v="53626.45076751709"/>
        <n v="69959.59631824493"/>
        <n v="213157.60334157944"/>
        <n v="8660.052299490852"/>
        <n v="671.1228179931641"/>
        <n v="235410.55987262726"/>
        <n v="8401.010855255126"/>
        <n v="6422237.873077393"/>
        <n v="6824516.040802002"/>
        <n v="176465.82658290863"/>
        <n v="730678.4152984619"/>
        <n v="453963.42182521825"/>
        <n v="1.5363803105163574E-5"/>
        <n v="6869.346141815186"/>
        <n v="241844.73929177283"/>
        <n v="42018.60427856445"/>
        <n v="227461.93294525146"/>
        <n v="61340.678367614746"/>
        <n v="57566.5656536293"/>
        <n v="1122.3687744140625"/>
        <n v="304.125732421875"/>
        <n v="3.7823893139362332E-6"/>
        <n v="34455.30618906021"/>
        <n v="646235.1382727623"/>
        <n v="110847.84743452072"/>
        <n v="113880.58637094498"/>
        <n v="549.5476913452148"/>
        <n v="3732.037615776062"/>
        <n v="530843.5537233353"/>
        <n v="145508.92766571045"/>
        <n v="537.0024871826172"/>
        <n v="6154.469304561615"/>
        <n v="66148.3999671936"/>
        <n v="5945.327813625336"/>
        <n v="5961.032665252686"/>
        <n v="201278.24343884469"/>
        <n v="862508.809337616"/>
        <n v="17499.748046398163"/>
        <n v="68468.27041625977"/>
        <n v="1646.9685745239258"/>
        <n v="142.70057678222656"/>
        <n v="559280.6775851505"/>
        <n v="7196755.886077881"/>
        <n v="320723.7566728592"/>
        <n v="322287.8837585449"/>
        <n v="547006.5241241455"/>
        <n v="215918.55821228027"/>
        <n v="3468767.4045562744"/>
        <n v="242071.45509147644"/>
        <n v="1.150823616027832E-5"/>
        <n v="2.262704140253067E-5"/>
        <n v="124594.09097290039"/>
        <n v="208898.57222366333"/>
        <n v="574406.0542068481"/>
        <n v="133424.63614062278"/>
        <n v="68.35916449170344"/>
        <n v="2807333.188522339"/>
        <n v="7285.116195678711"/>
        <n v="4656.12245798111"/>
        <n v="1363694.7931671143"/>
        <n v="1488369.7701263428"/>
        <n v="244.34801983833313"/>
        <n v="131.83465957641602"/>
        <n v="7428137.77923584"/>
        <n v="106442.31845350743"/>
        <n v="320032.9130115509"/>
        <n v="4341.929252624512"/>
        <n v="73720.1905002594"/>
        <n v="3.876193356513977E-7"/>
        <n v="4019.326066970825"/>
        <n v="3.428402066230774E-7"/>
        <n v="3428.402066230774"/>
        <n v="199823.08615207672"/>
        <n v="1088.2651805877686"/>
        <n v="637888.0462646484"/>
        <n v="1049878.2674679707"/>
        <n v="8.830690005874634E-6"/>
        <n v="92552.53884124756"/>
        <n v="59481.187398433685"/>
        <n v="416094.5658416748"/>
        <n v="967618.7876639366"/>
        <n v="71702.70205640793"/>
        <n v="76282.91130065918"/>
        <n v="968942.6153392792"/>
        <n v="24997.04909324646"/>
        <n v="21306.466939155554"/>
        <n v="357100.7013320923"/>
        <n v="540075.9947309494"/>
        <n v="55094.15142440796"/>
        <n v="4627.188558769227"/>
        <n v="264399.8936829567"/>
        <n v="66.22914888819314"/>
        <n v="135964.913977623"/>
        <n v="258430.23341417313"/>
        <n v="242006.27492523193"/>
        <n v="1272957.3502349854"/>
        <n v="247415.71657746792"/>
        <n v="3222.878837585449"/>
        <n v="88162.14821720123"/>
        <n v="324.04267234802245"/>
        <n v="78910.52069616318"/>
        <n v="177981.32514953613"/>
        <n v="1.0300641551208496E-5"/>
        <n v="99859.64012050629"/>
        <n v="325372.3382949829"/>
        <n v="540604.7917079926"/>
        <n v="5794211.864471436"/>
        <n v="313096.19440270425"/>
        <n v="1078483.2119941711"/>
        <n v="138.75069618225098"/>
        <n v="50375.90036130734"/>
        <n v="7329.517050266266"/>
        <n v="7599.261079311371"/>
        <n v="6039.630308471829"/>
        <n v="183705.48716306686"/>
        <n v="7058611.869812012"/>
        <n v="7244290.828704834"/>
        <n v="17326.952934265137"/>
        <n v="17978.788414001465"/>
        <n v="30461.302161216736"/>
        <n v="7.244290828704834"/>
        <n v="2805531.0249328613"/>
        <n v="2805525.4138708115"/>
        <n v="519.7083950042725"/>
        <n v="367052.7576508522"/>
        <n v="24977.36747264862"/>
        <n v="589.3658447265625"/>
        <n v="49799.23912715912"/>
        <n v="54819.03844976425"/>
        <n v="20829.652276039124"/>
        <n v="6227.234549045563"/>
        <n v="9.435797810554504E10"/>
        <n v="84716.17698669434"/>
        <n v="15737.2081439209"/>
        <n v="3.827938270568847E-6"/>
        <n v="34765.27118682861"/>
        <n v="9.470763847351076E-6"/>
        <n v="53796.368242263794"/>
        <n v="564.6889495849609"/>
        <n v="335020.81961870193"/>
        <n v="62814.44072723389"/>
        <n v="26013.53200531006"/>
        <n v="6.030186309814453E7"/>
        <n v="460575.6479480849"/>
        <n v="144473.21367263794"/>
        <n v="2609.3517499923705"/>
        <n v="310163.98537259904"/>
        <n v="337326.0840868566"/>
        <n v="39076.12317720577"/>
        <n v="564984.4871211052"/>
        <n v="26243.873335838318"/>
        <n v="4.209823817539215E-6"/>
        <n v="79171.32109260559"/>
        <n v="155779.81300354004"/>
        <n v="42098.23817539215"/>
        <n v="164982.1285700798"/>
        <n v="2798.431739807129"/>
        <n v="51916.13526105881"/>
        <n v="13507.56331356535"/>
        <n v="87033.1764940262"/>
        <n v="111949.96914062025"/>
        <n v="2148.9548344135283"/>
        <n v="290165.0274953842"/>
        <n v="49843.25871706009"/>
        <n v="9541.513546466827"/>
        <n v="47085.70476913452"/>
        <n v="485.91320037841797"/>
        <n v="8319791.5186543465"/>
        <n v="851305.2708439827"/>
        <n v="117322.17418381693"/>
        <n v="40388.56053121127"/>
        <n v="157036.10181808472"/>
        <n v="615080.7624054146"/>
        <n v="245849.4395623207"/>
        <n v="105159.38450301548"/>
        <n v="3756303.5554885864"/>
        <n v="847360.5239663124"/>
        <n v="213569.09847259521"/>
        <n v="1036370.8721044587"/>
        <n v="263.8206510543823"/>
        <n v="876078.6581223964"/>
        <n v="88551.34182929993"/>
        <n v="444946.09089136124"/>
        <n v="174894.2473168373"/>
        <n v="0.09799052753448485"/>
        <n v="6281.444072723389"/>
        <n v="52645.37613699199"/>
        <n v="107293.3462061882"/>
        <n v="196299.3906440735"/>
        <n v="3140722.0363616943"/>
        <n v="236015.14790762425"/>
        <n v="888164.7846627235"/>
      </sharedItems>
    </cacheField>
    <cacheField name="Category" numFmtId="0">
      <sharedItems containsBlank="1">
        <s v=""/>
        <s v="Outreach"/>
        <s v="Development"/>
        <s v="Operations"/>
        <s v="Talent &amp; Education"/>
        <s v="Research"/>
        <m/>
        <s v="Economy"/>
      </sharedItems>
    </cacheField>
    <cacheField name="Subcategory" numFmtId="0">
      <sharedItems containsBlank="1">
        <s v=""/>
        <s v="Media"/>
        <s v="Protocol Subsidies"/>
        <s v="Multisig"/>
        <s v="Other"/>
        <s v="Wallets"/>
        <s v="Governance"/>
        <s v="Trainings &amp; Hackathon"/>
        <s v="Data Services &amp; Indexing"/>
        <s v="Explorers"/>
        <s v="Smart Contracts"/>
        <s v="RPCs and Nodes"/>
        <s v="Education"/>
        <s v="Software Development"/>
        <s v="Light Clients"/>
        <s v="Polkadot Protocol &amp; SDK"/>
        <s v="Community Building"/>
        <s v="SDKs"/>
        <s v="Recruiting"/>
        <s v="Software Services"/>
        <s v="Games"/>
        <s v="Business Development"/>
        <s v="Incubation"/>
        <s v="Research"/>
        <s v="Advertising/Digital Ads"/>
        <s v="Events/Conference Attendance &amp; Side Events"/>
        <s v="Advertising/Influencers"/>
        <m/>
        <s v="Events/Conference Hosting"/>
        <s v="Staking"/>
        <s v="Events/Meetups"/>
        <s v="Privacy"/>
        <s v="Loans"/>
        <s v="Advertising/Physical Ads"/>
        <s v="Stablecoins"/>
        <s v="Infrastructure"/>
        <s v="Advertising/Sponsorships"/>
        <s v="Market Operations"/>
        <s v="Ecosystem Services"/>
        <s v="Events"/>
        <s v="Security"/>
        <s v="Advertising/Platform Integrations"/>
      </sharedItems>
    </cacheField>
    <cacheField name="hide from income statement (represented via child bounties and/or via the balance sheet)" numFmtId="0">
      <sharedItems containsBlank="1">
        <m/>
        <s v="x"/>
      </sharedItems>
    </cacheField>
    <cacheField name="bounty-related" numFmtId="0">
      <sharedItems containsBlank="1">
        <m/>
        <s v="x"/>
      </sharedItems>
    </cacheField>
    <cacheField name="recurring" numFmtId="0">
      <sharedItems containsBlank="1">
        <m/>
        <s v="x"/>
      </sharedItems>
    </cacheField>
    <cacheField name="Notes" numFmtId="0">
      <sharedItems containsBlank="1">
        <m/>
        <s v="did not properly execute"/>
        <s v="failed to execute"/>
      </sharedItems>
    </cacheField>
    <cacheField name="year" numFmtId="0">
      <sharedItems containsBlank="1">
        <m/>
        <s v="2023"/>
        <s v="2024"/>
      </sharedItems>
    </cacheField>
    <cacheField name="month" numFmtId="0">
      <sharedItems containsString="0" containsBlank="1" containsNumber="1" containsInteger="1">
        <m/>
        <n v="7.0"/>
        <n v="6.0"/>
        <n v="8.0"/>
        <n v="4.0"/>
        <n v="9.0"/>
        <n v="10.0"/>
        <n v="11.0"/>
        <n v="12.0"/>
        <n v="1.0"/>
        <n v="3.0"/>
        <n v="2.0"/>
        <n v="5.0"/>
      </sharedItems>
    </cacheField>
    <cacheField name="quarter" numFmtId="0">
      <sharedItems containsBlank="1">
        <m/>
        <s v="2023-Q3"/>
        <s v="2023-Q2"/>
        <s v="2024-Q2"/>
        <s v="2023-Q4"/>
        <s v="2024-Q1"/>
      </sharedItems>
    </cacheField>
    <cacheField name="year-month" numFmtId="0">
      <sharedItems containsBlank="1">
        <m/>
        <s v="2023-07"/>
        <s v="2023-06"/>
        <s v="2023-08"/>
        <s v="2024-06"/>
        <s v="2024-04"/>
        <s v="2023-09"/>
        <s v="2023-10"/>
        <s v="2023-11"/>
        <s v="2023-12"/>
        <s v="2024-01"/>
        <s v="2024-03"/>
        <s v="2024-02"/>
        <s v="2024-05"/>
      </sharedItems>
    </cacheField>
    <cacheField name="half-years" numFmtId="0">
      <sharedItems containsBlank="1">
        <m/>
        <s v="2023-H2"/>
        <s v="2023-H1"/>
        <s v="2024-H1"/>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1394" sheet="Child Bounties"/>
  </cacheSource>
  <cacheFields>
    <cacheField name="#" numFmtId="0">
      <sharedItems containsSemiMixedTypes="0" containsString="0" containsNumber="1" containsInteger="1">
        <n v="1419.0"/>
        <n v="1418.0"/>
        <n v="1417.0"/>
        <n v="1416.0"/>
        <n v="1413.0"/>
        <n v="1412.0"/>
        <n v="1411.0"/>
        <n v="1410.0"/>
        <n v="1406.0"/>
        <n v="1405.0"/>
        <n v="1404.0"/>
        <n v="1403.0"/>
        <n v="1402.0"/>
        <n v="1401.0"/>
        <n v="1400.0"/>
        <n v="1399.0"/>
        <n v="1398.0"/>
        <n v="1397.0"/>
        <n v="1396.0"/>
        <n v="1394.0"/>
        <n v="1393.0"/>
        <n v="1392.0"/>
        <n v="1390.0"/>
        <n v="1389.0"/>
        <n v="1386.0"/>
        <n v="1384.0"/>
        <n v="1383.0"/>
        <n v="1382.0"/>
        <n v="1380.0"/>
        <n v="1379.0"/>
        <n v="1376.0"/>
        <n v="1375.0"/>
        <n v="1374.0"/>
        <n v="1373.0"/>
        <n v="1372.0"/>
        <n v="1371.0"/>
        <n v="1370.0"/>
        <n v="1369.0"/>
        <n v="1368.0"/>
        <n v="1367.0"/>
        <n v="1366.0"/>
        <n v="1365.0"/>
        <n v="1364.0"/>
        <n v="1363.0"/>
        <n v="1362.0"/>
        <n v="1361.0"/>
        <n v="1360.0"/>
        <n v="1359.0"/>
        <n v="1358.0"/>
        <n v="1357.0"/>
        <n v="1356.0"/>
        <n v="1354.0"/>
        <n v="1353.0"/>
        <n v="1348.0"/>
        <n v="1347.0"/>
        <n v="1346.0"/>
        <n v="1345.0"/>
        <n v="1344.0"/>
        <n v="1343.0"/>
        <n v="1342.0"/>
        <n v="1341.0"/>
        <n v="1340.0"/>
        <n v="1339.0"/>
        <n v="1338.0"/>
        <n v="1337.0"/>
        <n v="1336.0"/>
        <n v="1335.0"/>
        <n v="1334.0"/>
        <n v="1333.0"/>
        <n v="1332.0"/>
        <n v="1331.0"/>
        <n v="1330.0"/>
        <n v="1329.0"/>
        <n v="1328.0"/>
        <n v="1327.0"/>
        <n v="1326.0"/>
        <n v="1325.0"/>
        <n v="1324.0"/>
        <n v="1323.0"/>
        <n v="1322.0"/>
        <n v="1321.0"/>
        <n v="1320.0"/>
        <n v="1319.0"/>
        <n v="1318.0"/>
        <n v="1317.0"/>
        <n v="1316.0"/>
        <n v="1315.0"/>
        <n v="1314.0"/>
        <n v="1313.0"/>
        <n v="1312.0"/>
        <n v="1311.0"/>
        <n v="1310.0"/>
        <n v="1309.0"/>
        <n v="1308.0"/>
        <n v="1307.0"/>
        <n v="1306.0"/>
        <n v="1305.0"/>
        <n v="1304.0"/>
        <n v="1303.0"/>
        <n v="1302.0"/>
        <n v="1301.0"/>
        <n v="1300.0"/>
        <n v="1299.0"/>
        <n v="1298.0"/>
        <n v="1297.0"/>
        <n v="1296.0"/>
        <n v="1295.0"/>
        <n v="1294.0"/>
        <n v="1293.0"/>
        <n v="1292.0"/>
        <n v="1291.0"/>
        <n v="1290.0"/>
        <n v="1289.0"/>
        <n v="1288.0"/>
        <n v="1287.0"/>
        <n v="1286.0"/>
        <n v="1285.0"/>
        <n v="1284.0"/>
        <n v="1283.0"/>
        <n v="1282.0"/>
        <n v="1281.0"/>
        <n v="1280.0"/>
        <n v="1279.0"/>
        <n v="1278.0"/>
        <n v="1277.0"/>
        <n v="1276.0"/>
        <n v="1275.0"/>
        <n v="1274.0"/>
        <n v="1273.0"/>
        <n v="1272.0"/>
        <n v="1271.0"/>
        <n v="1270.0"/>
        <n v="1269.0"/>
        <n v="1268.0"/>
        <n v="1267.0"/>
        <n v="1266.0"/>
        <n v="1265.0"/>
        <n v="1264.0"/>
        <n v="1263.0"/>
        <n v="1262.0"/>
        <n v="1261.0"/>
        <n v="1260.0"/>
        <n v="1259.0"/>
        <n v="1258.0"/>
        <n v="1257.0"/>
        <n v="1256.0"/>
        <n v="1255.0"/>
        <n v="1254.0"/>
        <n v="1253.0"/>
        <n v="1252.0"/>
        <n v="1251.0"/>
        <n v="1250.0"/>
        <n v="1249.0"/>
        <n v="1248.0"/>
        <n v="1247.0"/>
        <n v="1246.0"/>
        <n v="1245.0"/>
        <n v="1244.0"/>
        <n v="1243.0"/>
        <n v="1242.0"/>
        <n v="1241.0"/>
        <n v="1240.0"/>
        <n v="1239.0"/>
        <n v="1238.0"/>
        <n v="1237.0"/>
        <n v="1236.0"/>
        <n v="1235.0"/>
        <n v="1234.0"/>
        <n v="1233.0"/>
        <n v="1232.0"/>
        <n v="1231.0"/>
        <n v="1230.0"/>
        <n v="1229.0"/>
        <n v="1228.0"/>
        <n v="1227.0"/>
        <n v="1226.0"/>
        <n v="1225.0"/>
        <n v="1224.0"/>
        <n v="1223.0"/>
        <n v="1222.0"/>
        <n v="1221.0"/>
        <n v="1220.0"/>
        <n v="1219.0"/>
        <n v="1218.0"/>
        <n v="1217.0"/>
        <n v="1216.0"/>
        <n v="1215.0"/>
        <n v="1214.0"/>
        <n v="1213.0"/>
        <n v="1212.0"/>
        <n v="1211.0"/>
        <n v="1210.0"/>
        <n v="1209.0"/>
        <n v="1208.0"/>
        <n v="1207.0"/>
        <n v="1206.0"/>
        <n v="1205.0"/>
        <n v="1204.0"/>
        <n v="1203.0"/>
        <n v="1202.0"/>
        <n v="1201.0"/>
        <n v="1200.0"/>
        <n v="1199.0"/>
        <n v="1198.0"/>
        <n v="1197.0"/>
        <n v="1196.0"/>
        <n v="1195.0"/>
        <n v="1194.0"/>
        <n v="1193.0"/>
        <n v="1192.0"/>
        <n v="1191.0"/>
        <n v="1190.0"/>
        <n v="1189.0"/>
        <n v="1188.0"/>
        <n v="1187.0"/>
        <n v="1186.0"/>
        <n v="1185.0"/>
        <n v="1184.0"/>
        <n v="1183.0"/>
        <n v="1182.0"/>
        <n v="1181.0"/>
        <n v="1180.0"/>
        <n v="1179.0"/>
        <n v="1178.0"/>
        <n v="1177.0"/>
        <n v="1176.0"/>
        <n v="1175.0"/>
        <n v="1174.0"/>
        <n v="1173.0"/>
        <n v="1172.0"/>
        <n v="1171.0"/>
        <n v="1170.0"/>
        <n v="1169.0"/>
        <n v="1168.0"/>
        <n v="1167.0"/>
        <n v="1166.0"/>
        <n v="1165.0"/>
        <n v="1164.0"/>
        <n v="1163.0"/>
        <n v="1162.0"/>
        <n v="1161.0"/>
        <n v="1160.0"/>
        <n v="1159.0"/>
        <n v="1158.0"/>
        <n v="1157.0"/>
        <n v="1156.0"/>
        <n v="1155.0"/>
        <n v="1154.0"/>
        <n v="1153.0"/>
        <n v="1152.0"/>
        <n v="1151.0"/>
        <n v="1150.0"/>
        <n v="1149.0"/>
        <n v="1148.0"/>
        <n v="1147.0"/>
        <n v="1146.0"/>
        <n v="1145.0"/>
        <n v="1144.0"/>
        <n v="1143.0"/>
        <n v="1142.0"/>
        <n v="1141.0"/>
        <n v="1140.0"/>
        <n v="1139.0"/>
        <n v="1138.0"/>
        <n v="1137.0"/>
        <n v="1136.0"/>
        <n v="1135.0"/>
        <n v="1134.0"/>
        <n v="1133.0"/>
        <n v="1132.0"/>
        <n v="1131.0"/>
        <n v="1130.0"/>
        <n v="1129.0"/>
        <n v="1128.0"/>
        <n v="1127.0"/>
        <n v="1126.0"/>
        <n v="1125.0"/>
        <n v="1124.0"/>
        <n v="1123.0"/>
        <n v="1122.0"/>
        <n v="1121.0"/>
        <n v="1120.0"/>
        <n v="1119.0"/>
        <n v="1118.0"/>
        <n v="1117.0"/>
        <n v="1116.0"/>
        <n v="1115.0"/>
        <n v="1114.0"/>
        <n v="1113.0"/>
        <n v="1112.0"/>
        <n v="1111.0"/>
        <n v="1110.0"/>
        <n v="1109.0"/>
        <n v="1108.0"/>
        <n v="1107.0"/>
        <n v="1106.0"/>
        <n v="1105.0"/>
        <n v="1104.0"/>
        <n v="1103.0"/>
        <n v="1102.0"/>
        <n v="1101.0"/>
        <n v="1100.0"/>
        <n v="1099.0"/>
        <n v="1098.0"/>
        <n v="1097.0"/>
        <n v="1096.0"/>
        <n v="1095.0"/>
        <n v="1094.0"/>
        <n v="1093.0"/>
        <n v="1092.0"/>
        <n v="1091.0"/>
        <n v="1090.0"/>
        <n v="1089.0"/>
        <n v="1088.0"/>
        <n v="1087.0"/>
        <n v="1086.0"/>
        <n v="1085.0"/>
        <n v="1084.0"/>
        <n v="1083.0"/>
        <n v="1082.0"/>
        <n v="1081.0"/>
        <n v="1080.0"/>
        <n v="1079.0"/>
        <n v="1078.0"/>
        <n v="1077.0"/>
        <n v="1076.0"/>
        <n v="1075.0"/>
        <n v="1074.0"/>
        <n v="1073.0"/>
        <n v="1072.0"/>
        <n v="1071.0"/>
        <n v="1070.0"/>
        <n v="1069.0"/>
        <n v="1068.0"/>
        <n v="1067.0"/>
        <n v="1066.0"/>
        <n v="1065.0"/>
        <n v="1064.0"/>
        <n v="1063.0"/>
        <n v="1062.0"/>
        <n v="1061.0"/>
        <n v="1060.0"/>
        <n v="1059.0"/>
        <n v="1058.0"/>
        <n v="1057.0"/>
        <n v="1056.0"/>
        <n v="1055.0"/>
        <n v="1054.0"/>
        <n v="1053.0"/>
        <n v="1052.0"/>
        <n v="1051.0"/>
        <n v="1050.0"/>
        <n v="1049.0"/>
        <n v="1048.0"/>
        <n v="1047.0"/>
        <n v="1046.0"/>
        <n v="1045.0"/>
        <n v="1044.0"/>
        <n v="1043.0"/>
        <n v="1042.0"/>
        <n v="1041.0"/>
        <n v="1040.0"/>
        <n v="1039.0"/>
        <n v="1038.0"/>
        <n v="1037.0"/>
        <n v="1036.0"/>
        <n v="1035.0"/>
        <n v="1034.0"/>
        <n v="1033.0"/>
        <n v="1032.0"/>
        <n v="1031.0"/>
        <n v="1030.0"/>
        <n v="1029.0"/>
        <n v="1028.0"/>
        <n v="1027.0"/>
        <n v="1026.0"/>
        <n v="1025.0"/>
        <n v="1024.0"/>
        <n v="1023.0"/>
        <n v="1022.0"/>
        <n v="1021.0"/>
        <n v="1020.0"/>
        <n v="1019.0"/>
        <n v="1018.0"/>
        <n v="1017.0"/>
        <n v="1016.0"/>
        <n v="1015.0"/>
        <n v="1014.0"/>
        <n v="1013.0"/>
        <n v="1012.0"/>
        <n v="1011.0"/>
        <n v="1010.0"/>
        <n v="1009.0"/>
        <n v="1008.0"/>
        <n v="1007.0"/>
        <n v="1006.0"/>
        <n v="1005.0"/>
        <n v="1004.0"/>
        <n v="1003.0"/>
        <n v="1002.0"/>
        <n v="1001.0"/>
        <n v="1000.0"/>
        <n v="999.0"/>
        <n v="998.0"/>
        <n v="997.0"/>
        <n v="996.0"/>
        <n v="995.0"/>
        <n v="994.0"/>
        <n v="993.0"/>
        <n v="992.0"/>
        <n v="991.0"/>
        <n v="990.0"/>
        <n v="989.0"/>
        <n v="988.0"/>
        <n v="987.0"/>
        <n v="986.0"/>
        <n v="985.0"/>
        <n v="984.0"/>
        <n v="983.0"/>
        <n v="982.0"/>
        <n v="981.0"/>
        <n v="980.0"/>
        <n v="979.0"/>
        <n v="978.0"/>
        <n v="977.0"/>
        <n v="976.0"/>
        <n v="975.0"/>
        <n v="974.0"/>
        <n v="973.0"/>
        <n v="972.0"/>
        <n v="971.0"/>
        <n v="970.0"/>
        <n v="969.0"/>
        <n v="968.0"/>
        <n v="967.0"/>
        <n v="966.0"/>
        <n v="965.0"/>
        <n v="964.0"/>
        <n v="963.0"/>
        <n v="962.0"/>
        <n v="961.0"/>
        <n v="960.0"/>
        <n v="959.0"/>
        <n v="958.0"/>
        <n v="957.0"/>
        <n v="956.0"/>
        <n v="955.0"/>
        <n v="954.0"/>
        <n v="953.0"/>
        <n v="952.0"/>
        <n v="951.0"/>
        <n v="950.0"/>
        <n v="949.0"/>
        <n v="948.0"/>
        <n v="947.0"/>
        <n v="946.0"/>
        <n v="945.0"/>
        <n v="944.0"/>
        <n v="943.0"/>
        <n v="942.0"/>
        <n v="941.0"/>
        <n v="940.0"/>
        <n v="939.0"/>
        <n v="938.0"/>
        <n v="937.0"/>
        <n v="936.0"/>
        <n v="935.0"/>
        <n v="934.0"/>
        <n v="933.0"/>
        <n v="932.0"/>
        <n v="931.0"/>
        <n v="930.0"/>
        <n v="929.0"/>
        <n v="928.0"/>
        <n v="927.0"/>
        <n v="926.0"/>
        <n v="925.0"/>
        <n v="924.0"/>
        <n v="923.0"/>
        <n v="922.0"/>
        <n v="921.0"/>
        <n v="920.0"/>
        <n v="919.0"/>
        <n v="918.0"/>
        <n v="917.0"/>
        <n v="916.0"/>
        <n v="915.0"/>
        <n v="914.0"/>
        <n v="913.0"/>
        <n v="912.0"/>
        <n v="911.0"/>
        <n v="910.0"/>
        <n v="909.0"/>
        <n v="908.0"/>
        <n v="907.0"/>
        <n v="906.0"/>
        <n v="905.0"/>
        <n v="904.0"/>
        <n v="903.0"/>
        <n v="902.0"/>
        <n v="901.0"/>
        <n v="900.0"/>
        <n v="899.0"/>
        <n v="898.0"/>
        <n v="897.0"/>
        <n v="896.0"/>
        <n v="895.0"/>
        <n v="894.0"/>
        <n v="893.0"/>
        <n v="892.0"/>
        <n v="891.0"/>
        <n v="890.0"/>
        <n v="889.0"/>
        <n v="888.0"/>
        <n v="887.0"/>
        <n v="886.0"/>
        <n v="885.0"/>
        <n v="884.0"/>
        <n v="883.0"/>
        <n v="882.0"/>
        <n v="881.0"/>
        <n v="880.0"/>
        <n v="879.0"/>
        <n v="878.0"/>
        <n v="877.0"/>
        <n v="876.0"/>
        <n v="875.0"/>
        <n v="874.0"/>
        <n v="873.0"/>
        <n v="872.0"/>
        <n v="871.0"/>
        <n v="870.0"/>
        <n v="869.0"/>
        <n v="868.0"/>
        <n v="867.0"/>
        <n v="866.0"/>
        <n v="865.0"/>
        <n v="864.0"/>
        <n v="863.0"/>
        <n v="862.0"/>
        <n v="861.0"/>
        <n v="860.0"/>
        <n v="859.0"/>
        <n v="858.0"/>
        <n v="857.0"/>
        <n v="856.0"/>
        <n v="855.0"/>
        <n v="854.0"/>
        <n v="853.0"/>
        <n v="852.0"/>
        <n v="851.0"/>
        <n v="850.0"/>
        <n v="849.0"/>
        <n v="848.0"/>
        <n v="847.0"/>
        <n v="846.0"/>
        <n v="845.0"/>
        <n v="844.0"/>
        <n v="843.0"/>
        <n v="842.0"/>
        <n v="841.0"/>
        <n v="840.0"/>
        <n v="839.0"/>
        <n v="838.0"/>
        <n v="837.0"/>
        <n v="836.0"/>
        <n v="835.0"/>
        <n v="834.0"/>
        <n v="833.0"/>
        <n v="832.0"/>
        <n v="831.0"/>
        <n v="830.0"/>
        <n v="829.0"/>
        <n v="828.0"/>
        <n v="827.0"/>
        <n v="826.0"/>
        <n v="825.0"/>
        <n v="824.0"/>
        <n v="823.0"/>
        <n v="822.0"/>
        <n v="821.0"/>
        <n v="820.0"/>
        <n v="819.0"/>
        <n v="818.0"/>
        <n v="817.0"/>
        <n v="816.0"/>
        <n v="815.0"/>
        <n v="814.0"/>
        <n v="813.0"/>
        <n v="812.0"/>
        <n v="811.0"/>
        <n v="810.0"/>
        <n v="809.0"/>
        <n v="808.0"/>
        <n v="807.0"/>
        <n v="806.0"/>
        <n v="805.0"/>
        <n v="804.0"/>
        <n v="803.0"/>
        <n v="802.0"/>
        <n v="801.0"/>
        <n v="800.0"/>
        <n v="799.0"/>
        <n v="798.0"/>
        <n v="797.0"/>
        <n v="796.0"/>
        <n v="795.0"/>
        <n v="794.0"/>
        <n v="793.0"/>
        <n v="792.0"/>
        <n v="791.0"/>
        <n v="790.0"/>
        <n v="789.0"/>
        <n v="788.0"/>
        <n v="787.0"/>
        <n v="786.0"/>
        <n v="785.0"/>
        <n v="784.0"/>
        <n v="783.0"/>
        <n v="782.0"/>
        <n v="781.0"/>
        <n v="780.0"/>
        <n v="779.0"/>
        <n v="778.0"/>
        <n v="777.0"/>
        <n v="776.0"/>
        <n v="775.0"/>
        <n v="774.0"/>
        <n v="773.0"/>
        <n v="772.0"/>
        <n v="771.0"/>
        <n v="770.0"/>
        <n v="769.0"/>
        <n v="768.0"/>
        <n v="767.0"/>
        <n v="766.0"/>
        <n v="765.0"/>
        <n v="764.0"/>
        <n v="763.0"/>
        <n v="762.0"/>
        <n v="761.0"/>
        <n v="760.0"/>
        <n v="759.0"/>
        <n v="758.0"/>
        <n v="757.0"/>
        <n v="756.0"/>
        <n v="755.0"/>
        <n v="754.0"/>
        <n v="753.0"/>
        <n v="752.0"/>
        <n v="751.0"/>
        <n v="750.0"/>
        <n v="749.0"/>
        <n v="748.0"/>
        <n v="747.0"/>
        <n v="746.0"/>
        <n v="745.0"/>
        <n v="744.0"/>
        <n v="743.0"/>
        <n v="742.0"/>
        <n v="741.0"/>
        <n v="740.0"/>
        <n v="739.0"/>
        <n v="738.0"/>
        <n v="737.0"/>
        <n v="736.0"/>
        <n v="735.0"/>
        <n v="734.0"/>
        <n v="733.0"/>
        <n v="732.0"/>
        <n v="731.0"/>
        <n v="730.0"/>
        <n v="729.0"/>
        <n v="728.0"/>
        <n v="727.0"/>
        <n v="726.0"/>
        <n v="725.0"/>
        <n v="724.0"/>
        <n v="723.0"/>
        <n v="722.0"/>
        <n v="721.0"/>
        <n v="720.0"/>
        <n v="719.0"/>
        <n v="718.0"/>
        <n v="717.0"/>
        <n v="716.0"/>
        <n v="715.0"/>
        <n v="714.0"/>
        <n v="713.0"/>
        <n v="712.0"/>
        <n v="711.0"/>
        <n v="710.0"/>
        <n v="709.0"/>
        <n v="708.0"/>
        <n v="707.0"/>
        <n v="706.0"/>
        <n v="705.0"/>
        <n v="704.0"/>
        <n v="703.0"/>
        <n v="702.0"/>
        <n v="701.0"/>
        <n v="700.0"/>
        <n v="699.0"/>
        <n v="698.0"/>
        <n v="697.0"/>
        <n v="696.0"/>
        <n v="695.0"/>
        <n v="694.0"/>
        <n v="693.0"/>
        <n v="692.0"/>
        <n v="691.0"/>
        <n v="690.0"/>
        <n v="689.0"/>
        <n v="688.0"/>
        <n v="687.0"/>
        <n v="686.0"/>
        <n v="685.0"/>
        <n v="684.0"/>
        <n v="683.0"/>
        <n v="682.0"/>
        <n v="681.0"/>
        <n v="680.0"/>
        <n v="679.0"/>
        <n v="678.0"/>
        <n v="677.0"/>
        <n v="676.0"/>
        <n v="675.0"/>
        <n v="674.0"/>
        <n v="673.0"/>
        <n v="672.0"/>
        <n v="671.0"/>
        <n v="670.0"/>
        <n v="669.0"/>
        <n v="668.0"/>
        <n v="667.0"/>
        <n v="666.0"/>
        <n v="665.0"/>
        <n v="664.0"/>
        <n v="663.0"/>
        <n v="662.0"/>
        <n v="661.0"/>
        <n v="660.0"/>
        <n v="659.0"/>
        <n v="658.0"/>
        <n v="657.0"/>
        <n v="656.0"/>
        <n v="655.0"/>
        <n v="654.0"/>
        <n v="644.0"/>
        <n v="643.0"/>
        <n v="642.0"/>
        <n v="641.0"/>
        <n v="640.0"/>
        <n v="639.0"/>
        <n v="638.0"/>
        <n v="637.0"/>
        <n v="636.0"/>
        <n v="635.0"/>
        <n v="634.0"/>
        <n v="633.0"/>
        <n v="632.0"/>
        <n v="631.0"/>
        <n v="630.0"/>
        <n v="629.0"/>
        <n v="628.0"/>
        <n v="627.0"/>
        <n v="626.0"/>
        <n v="625.0"/>
        <n v="624.0"/>
        <n v="623.0"/>
        <n v="622.0"/>
        <n v="621.0"/>
        <n v="620.0"/>
        <n v="619.0"/>
        <n v="618.0"/>
        <n v="617.0"/>
        <n v="616.0"/>
        <n v="615.0"/>
        <n v="614.0"/>
        <n v="613.0"/>
        <n v="612.0"/>
        <n v="611.0"/>
        <n v="610.0"/>
        <n v="609.0"/>
        <n v="608.0"/>
        <n v="607.0"/>
        <n v="606.0"/>
        <n v="605.0"/>
        <n v="604.0"/>
        <n v="603.0"/>
        <n v="602.0"/>
        <n v="601.0"/>
        <n v="600.0"/>
        <n v="599.0"/>
        <n v="598.0"/>
        <n v="597.0"/>
        <n v="596.0"/>
        <n v="595.0"/>
        <n v="594.0"/>
        <n v="593.0"/>
        <n v="592.0"/>
        <n v="591.0"/>
        <n v="590.0"/>
        <n v="589.0"/>
        <n v="588.0"/>
        <n v="587.0"/>
        <n v="586.0"/>
        <n v="585.0"/>
        <n v="584.0"/>
        <n v="583.0"/>
        <n v="582.0"/>
        <n v="581.0"/>
        <n v="580.0"/>
        <n v="579.0"/>
        <n v="578.0"/>
        <n v="577.0"/>
        <n v="576.0"/>
        <n v="575.0"/>
        <n v="574.0"/>
        <n v="573.0"/>
        <n v="572.0"/>
        <n v="571.0"/>
        <n v="570.0"/>
        <n v="569.0"/>
        <n v="568.0"/>
        <n v="567.0"/>
        <n v="566.0"/>
        <n v="565.0"/>
        <n v="564.0"/>
        <n v="563.0"/>
        <n v="562.0"/>
        <n v="561.0"/>
        <n v="560.0"/>
        <n v="559.0"/>
        <n v="558.0"/>
        <n v="557.0"/>
        <n v="556.0"/>
        <n v="555.0"/>
        <n v="554.0"/>
        <n v="553.0"/>
        <n v="552.0"/>
        <n v="551.0"/>
        <n v="550.0"/>
        <n v="549.0"/>
        <n v="548.0"/>
        <n v="547.0"/>
        <n v="546.0"/>
        <n v="545.0"/>
        <n v="544.0"/>
        <n v="543.0"/>
        <n v="542.0"/>
        <n v="541.0"/>
        <n v="540.0"/>
        <n v="539.0"/>
        <n v="538.0"/>
        <n v="537.0"/>
        <n v="536.0"/>
        <n v="535.0"/>
        <n v="534.0"/>
        <n v="533.0"/>
        <n v="532.0"/>
        <n v="531.0"/>
        <n v="530.0"/>
        <n v="529.0"/>
        <n v="528.0"/>
        <n v="527.0"/>
        <n v="526.0"/>
        <n v="525.0"/>
        <n v="524.0"/>
        <n v="523.0"/>
        <n v="522.0"/>
        <n v="521.0"/>
        <n v="520.0"/>
        <n v="519.0"/>
        <n v="518.0"/>
        <n v="517.0"/>
        <n v="516.0"/>
        <n v="515.0"/>
        <n v="514.0"/>
        <n v="513.0"/>
        <n v="512.0"/>
        <n v="511.0"/>
        <n v="510.0"/>
        <n v="509.0"/>
        <n v="508.0"/>
        <n v="507.0"/>
        <n v="506.0"/>
        <n v="505.0"/>
        <n v="504.0"/>
        <n v="503.0"/>
        <n v="502.0"/>
        <n v="501.0"/>
        <n v="500.0"/>
        <n v="499.0"/>
        <n v="498.0"/>
        <n v="497.0"/>
        <n v="496.0"/>
        <n v="495.0"/>
        <n v="494.0"/>
        <n v="493.0"/>
        <n v="492.0"/>
        <n v="491.0"/>
        <n v="490.0"/>
        <n v="489.0"/>
        <n v="488.0"/>
        <n v="487.0"/>
        <n v="486.0"/>
        <n v="485.0"/>
        <n v="484.0"/>
        <n v="483.0"/>
        <n v="482.0"/>
        <n v="481.0"/>
        <n v="480.0"/>
        <n v="479.0"/>
        <n v="478.0"/>
        <n v="477.0"/>
        <n v="476.0"/>
        <n v="475.0"/>
        <n v="474.0"/>
        <n v="473.0"/>
        <n v="472.0"/>
        <n v="471.0"/>
        <n v="470.0"/>
        <n v="469.0"/>
        <n v="468.0"/>
        <n v="467.0"/>
        <n v="466.0"/>
        <n v="465.0"/>
        <n v="464.0"/>
        <n v="463.0"/>
        <n v="462.0"/>
        <n v="461.0"/>
        <n v="460.0"/>
        <n v="459.0"/>
        <n v="458.0"/>
        <n v="457.0"/>
        <n v="456.0"/>
        <n v="455.0"/>
        <n v="454.0"/>
        <n v="453.0"/>
        <n v="452.0"/>
        <n v="451.0"/>
        <n v="450.0"/>
        <n v="449.0"/>
        <n v="448.0"/>
        <n v="447.0"/>
        <n v="446.0"/>
        <n v="445.0"/>
        <n v="444.0"/>
        <n v="443.0"/>
        <n v="442.0"/>
        <n v="441.0"/>
        <n v="440.0"/>
        <n v="439.0"/>
        <n v="438.0"/>
        <n v="437.0"/>
        <n v="436.0"/>
        <n v="435.0"/>
        <n v="434.0"/>
        <n v="433.0"/>
        <n v="432.0"/>
        <n v="431.0"/>
        <n v="430.0"/>
        <n v="429.0"/>
        <n v="428.0"/>
        <n v="427.0"/>
        <n v="426.0"/>
        <n v="425.0"/>
        <n v="424.0"/>
        <n v="423.0"/>
        <n v="422.0"/>
        <n v="421.0"/>
        <n v="420.0"/>
        <n v="419.0"/>
        <n v="418.0"/>
        <n v="417.0"/>
        <n v="416.0"/>
        <n v="415.0"/>
        <n v="414.0"/>
        <n v="413.0"/>
        <n v="412.0"/>
        <n v="411.0"/>
        <n v="410.0"/>
        <n v="409.0"/>
        <n v="408.0"/>
        <n v="407.0"/>
        <n v="406.0"/>
        <n v="405.0"/>
        <n v="404.0"/>
        <n v="403.0"/>
        <n v="402.0"/>
        <n v="401.0"/>
        <n v="400.0"/>
        <n v="399.0"/>
        <n v="398.0"/>
        <n v="397.0"/>
        <n v="396.0"/>
        <n v="395.0"/>
        <n v="394.0"/>
        <n v="393.0"/>
        <n v="392.0"/>
        <n v="391.0"/>
        <n v="390.0"/>
        <n v="389.0"/>
        <n v="388.0"/>
        <n v="387.0"/>
        <n v="386.0"/>
        <n v="385.0"/>
        <n v="384.0"/>
        <n v="383.0"/>
        <n v="382.0"/>
        <n v="381.0"/>
        <n v="380.0"/>
        <n v="379.0"/>
        <n v="378.0"/>
        <n v="377.0"/>
        <n v="376.0"/>
        <n v="375.0"/>
        <n v="374.0"/>
        <n v="373.0"/>
        <n v="372.0"/>
        <n v="371.0"/>
        <n v="370.0"/>
        <n v="369.0"/>
        <n v="368.0"/>
        <n v="367.0"/>
        <n v="366.0"/>
        <n v="365.0"/>
        <n v="364.0"/>
        <n v="363.0"/>
        <n v="362.0"/>
        <n v="361.0"/>
        <n v="360.0"/>
        <n v="359.0"/>
        <n v="358.0"/>
        <n v="357.0"/>
        <n v="356.0"/>
        <n v="355.0"/>
        <n v="354.0"/>
        <n v="353.0"/>
        <n v="352.0"/>
        <n v="351.0"/>
        <n v="350.0"/>
        <n v="349.0"/>
        <n v="348.0"/>
        <n v="347.0"/>
        <n v="346.0"/>
        <n v="345.0"/>
        <n v="344.0"/>
        <n v="343.0"/>
        <n v="342.0"/>
        <n v="341.0"/>
        <n v="340.0"/>
        <n v="339.0"/>
        <n v="338.0"/>
        <n v="337.0"/>
        <n v="336.0"/>
        <n v="335.0"/>
        <n v="334.0"/>
        <n v="333.0"/>
        <n v="332.0"/>
        <n v="331.0"/>
        <n v="330.0"/>
        <n v="329.0"/>
        <n v="328.0"/>
        <n v="327.0"/>
        <n v="326.0"/>
        <n v="325.0"/>
        <n v="324.0"/>
        <n v="323.0"/>
        <n v="322.0"/>
        <n v="321.0"/>
        <n v="320.0"/>
        <n v="319.0"/>
        <n v="318.0"/>
        <n v="317.0"/>
        <n v="316.0"/>
        <n v="315.0"/>
        <n v="314.0"/>
        <n v="313.0"/>
        <n v="312.0"/>
        <n v="311.0"/>
        <n v="310.0"/>
        <n v="309.0"/>
        <n v="308.0"/>
        <n v="307.0"/>
        <n v="306.0"/>
        <n v="305.0"/>
        <n v="304.0"/>
        <n v="303.0"/>
        <n v="302.0"/>
        <n v="301.0"/>
        <n v="300.0"/>
        <n v="299.0"/>
        <n v="298.0"/>
        <n v="297.0"/>
        <n v="296.0"/>
        <n v="295.0"/>
        <n v="294.0"/>
        <n v="293.0"/>
        <n v="292.0"/>
        <n v="291.0"/>
        <n v="290.0"/>
        <n v="289.0"/>
        <n v="288.0"/>
        <n v="287.0"/>
        <n v="286.0"/>
        <n v="285.0"/>
        <n v="284.0"/>
        <n v="283.0"/>
        <n v="282.0"/>
        <n v="281.0"/>
        <n v="280.0"/>
        <n v="279.0"/>
        <n v="278.0"/>
        <n v="277.0"/>
        <n v="276.0"/>
        <n v="275.0"/>
        <n v="274.0"/>
        <n v="273.0"/>
        <n v="272.0"/>
        <n v="271.0"/>
        <n v="270.0"/>
        <n v="269.0"/>
        <n v="268.0"/>
        <n v="267.0"/>
        <n v="266.0"/>
        <n v="265.0"/>
        <n v="264.0"/>
        <n v="263.0"/>
        <n v="262.0"/>
        <n v="261.0"/>
        <n v="260.0"/>
        <n v="259.0"/>
        <n v="258.0"/>
        <n v="257.0"/>
        <n v="256.0"/>
        <n v="255.0"/>
        <n v="254.0"/>
        <n v="253.0"/>
        <n v="252.0"/>
        <n v="251.0"/>
        <n v="250.0"/>
        <n v="249.0"/>
        <n v="248.0"/>
        <n v="247.0"/>
        <n v="246.0"/>
        <n v="245.0"/>
        <n v="244.0"/>
        <n v="243.0"/>
        <n v="242.0"/>
        <n v="241.0"/>
        <n v="240.0"/>
        <n v="239.0"/>
        <n v="238.0"/>
        <n v="237.0"/>
        <n v="236.0"/>
        <n v="235.0"/>
        <n v="234.0"/>
        <n v="233.0"/>
        <n v="232.0"/>
        <n v="231.0"/>
        <n v="230.0"/>
        <n v="229.0"/>
        <n v="228.0"/>
        <n v="227.0"/>
        <n v="226.0"/>
        <n v="225.0"/>
        <n v="224.0"/>
        <n v="223.0"/>
        <n v="222.0"/>
        <n v="221.0"/>
        <n v="220.0"/>
        <n v="219.0"/>
        <n v="218.0"/>
        <n v="217.0"/>
        <n v="216.0"/>
        <n v="215.0"/>
        <n v="214.0"/>
        <n v="213.0"/>
        <n v="212.0"/>
        <n v="211.0"/>
        <n v="210.0"/>
        <n v="209.0"/>
        <n v="208.0"/>
        <n v="207.0"/>
        <n v="206.0"/>
        <n v="205.0"/>
        <n v="204.0"/>
        <n v="203.0"/>
        <n v="202.0"/>
        <n v="201.0"/>
        <n v="200.0"/>
        <n v="199.0"/>
        <n v="198.0"/>
        <n v="197.0"/>
        <n v="196.0"/>
        <n v="195.0"/>
        <n v="194.0"/>
        <n v="193.0"/>
        <n v="192.0"/>
        <n v="191.0"/>
        <n v="190.0"/>
        <n v="189.0"/>
        <n v="188.0"/>
        <n v="187.0"/>
        <n v="186.0"/>
        <n v="185.0"/>
        <n v="184.0"/>
        <n v="183.0"/>
        <n v="182.0"/>
        <n v="181.0"/>
        <n v="180.0"/>
        <n v="179.0"/>
        <n v="178.0"/>
        <n v="177.0"/>
        <n v="176.0"/>
        <n v="175.0"/>
        <n v="174.0"/>
        <n v="173.0"/>
        <n v="172.0"/>
        <n v="171.0"/>
        <n v="170.0"/>
        <n v="169.0"/>
        <n v="168.0"/>
        <n v="167.0"/>
        <n v="166.0"/>
        <n v="165.0"/>
        <n v="164.0"/>
        <n v="163.0"/>
        <n v="162.0"/>
        <n v="161.0"/>
        <n v="160.0"/>
        <n v="159.0"/>
        <n v="158.0"/>
        <n v="157.0"/>
        <n v="156.0"/>
        <n v="155.0"/>
        <n v="154.0"/>
        <n v="153.0"/>
        <n v="152.0"/>
        <n v="151.0"/>
        <n v="150.0"/>
        <n v="149.0"/>
        <n v="148.0"/>
        <n v="147.0"/>
        <n v="146.0"/>
        <n v="145.0"/>
        <n v="144.0"/>
        <n v="143.0"/>
        <n v="142.0"/>
        <n v="141.0"/>
        <n v="140.0"/>
        <n v="139.0"/>
        <n v="138.0"/>
        <n v="137.0"/>
        <n v="136.0"/>
        <n v="135.0"/>
        <n v="134.0"/>
        <n v="133.0"/>
        <n v="132.0"/>
        <n v="131.0"/>
        <n v="130.0"/>
        <n v="129.0"/>
        <n v="128.0"/>
        <n v="127.0"/>
        <n v="126.0"/>
        <n v="125.0"/>
        <n v="124.0"/>
        <n v="123.0"/>
        <n v="122.0"/>
        <n v="121.0"/>
        <n v="120.0"/>
        <n v="119.0"/>
        <n v="118.0"/>
        <n v="117.0"/>
        <n v="116.0"/>
        <n v="115.0"/>
        <n v="114.0"/>
        <n v="113.0"/>
        <n v="112.0"/>
        <n v="111.0"/>
        <n v="110.0"/>
        <n v="109.0"/>
        <n v="108.0"/>
        <n v="107.0"/>
        <n v="106.0"/>
        <n v="105.0"/>
        <n v="104.0"/>
        <n v="103.0"/>
        <n v="102.0"/>
        <n v="101.0"/>
        <n v="100.0"/>
        <n v="99.0"/>
        <n v="98.0"/>
        <n v="97.0"/>
        <n v="96.0"/>
        <n v="95.0"/>
        <n v="94.0"/>
        <n v="93.0"/>
        <n v="92.0"/>
        <n v="91.0"/>
        <n v="90.0"/>
        <n v="89.0"/>
        <n v="88.0"/>
        <n v="87.0"/>
        <n v="86.0"/>
        <n v="85.0"/>
        <n v="84.0"/>
        <n v="83.0"/>
        <n v="82.0"/>
        <n v="81.0"/>
        <n v="80.0"/>
        <n v="79.0"/>
        <n v="78.0"/>
        <n v="77.0"/>
        <n v="76.0"/>
        <n v="75.0"/>
        <n v="74.0"/>
        <n v="73.0"/>
        <n v="72.0"/>
        <n v="71.0"/>
        <n v="70.0"/>
        <n v="69.0"/>
        <n v="68.0"/>
        <n v="67.0"/>
        <n v="66.0"/>
        <n v="65.0"/>
        <n v="64.0"/>
        <n v="63.0"/>
        <n v="62.0"/>
        <n v="61.0"/>
        <n v="60.0"/>
        <n v="59.0"/>
        <n v="58.0"/>
        <n v="57.0"/>
        <n v="56.0"/>
        <n v="55.0"/>
        <n v="54.0"/>
        <n v="53.0"/>
        <n v="52.0"/>
        <n v="51.0"/>
        <n v="50.0"/>
        <n v="49.0"/>
        <n v="48.0"/>
        <n v="47.0"/>
        <n v="46.0"/>
        <n v="45.0"/>
        <n v="44.0"/>
        <n v="43.0"/>
        <n v="42.0"/>
        <n v="41.0"/>
        <n v="40.0"/>
        <n v="39.0"/>
        <n v="38.0"/>
        <n v="37.0"/>
        <n v="36.0"/>
        <n v="35.0"/>
        <n v="34.0"/>
        <n v="33.0"/>
        <n v="32.0"/>
        <n v="31.0"/>
        <n v="30.0"/>
        <n v="29.0"/>
        <n v="28.0"/>
        <n v="27.0"/>
        <n v="26.0"/>
        <n v="25.0"/>
        <n v="24.0"/>
        <n v="23.0"/>
        <n v="22.0"/>
        <n v="21.0"/>
        <n v="20.0"/>
        <n v="19.0"/>
        <n v="18.0"/>
        <n v="17.0"/>
        <n v="16.0"/>
        <n v="15.0"/>
        <n v="14.0"/>
        <n v="13.0"/>
        <n v="12.0"/>
        <n v="11.0"/>
        <n v="10.0"/>
        <n v="9.0"/>
        <n v="8.0"/>
        <n v="7.0"/>
        <n v="6.0"/>
        <n v="5.0"/>
        <n v="4.0"/>
        <n v="3.0"/>
        <n v="2.0"/>
        <n v="1.0"/>
        <n v="0.0"/>
      </sharedItems>
    </cacheField>
    <cacheField name="parentBountyID" numFmtId="0">
      <sharedItems containsSemiMixedTypes="0" containsString="0" containsNumber="1" containsInteger="1">
        <n v="19.0"/>
        <n v="11.0"/>
        <n v="42.0"/>
        <n v="36.0"/>
        <n v="10.0"/>
        <n v="43.0"/>
        <n v="22.0"/>
        <n v="33.0"/>
        <n v="32.0"/>
        <n v="50.0"/>
        <n v="37.0"/>
        <n v="17.0"/>
        <n v="46.0"/>
        <n v="24.0"/>
        <n v="31.0"/>
        <n v="38.0"/>
        <n v="27.0"/>
        <n v="13.0"/>
      </sharedItems>
    </cacheField>
    <cacheField name="status" numFmtId="0">
      <sharedItems>
        <s v="Claimed"/>
        <s v="Added"/>
        <s v="Active"/>
        <s v="PendingPayout"/>
        <s v="Canceled"/>
      </sharedItems>
    </cacheField>
    <cacheField name="description" numFmtId="0">
      <sharedItems>
        <s v="Facilitator Payment to Astar"/>
        <s v="Dart and Task Management Rewards - Hector -  May 2024"/>
        <s v="Polkadot Decoded Viewing Party - Lima, Peru"/>
        <s v="PolkadotxBlockchaincon2024"/>
        <s v="Spanish Bounty  TT_31 &amp; TT32"/>
        <s v="Spanish Bounty CE_37"/>
        <s v="Spanish Bounty - CE_36/ TT29 &amp; TT30"/>
        <s v="Spanish bounty - Content Creation - V_40"/>
        <s v="Spanish bounty - Content Creation - V_32"/>
        <s v="Amended Zapper Integration for Astar, Moonbeam, Acala and HydraDX Milestone 1"/>
        <s v="Amended Ramp Network AssetHub Integration and Parachain on-ramps"/>
        <s v="Amended KuCoin AssetHub Integration"/>
        <s v="Java Host (Fruzhin) Phase 2 child bounty second tranche"/>
        <s v="Polkadot Meet-up, Lagos, Nigeria"/>
        <s v="Meetup - Polkapizza Lisbon, Portugal"/>
        <s v="Meetup Refund - Polkadot Day Arca HUB - Rio de janeiro, Brazil"/>
        <s v="centrifuge-cantina-2405"/>
        <s v="Bounty for 1 year of Twitter Gold subscribtion for the Anti-Scam Team"/>
        <s v="Merkel science subscription top-up to account for market drop"/>
        <s v="MarketAcross - Invoice 14871 - DOT price - 10% = 6.48 USDT - excess DOT due to higher DOT market price when claim is made available must be returned"/>
        <s v="Spanish Bounty - Creation Video V_24"/>
        <s v="Reward for curator (Tim Janssen) as a portion from total 589.1421"/>
        <s v="Reward for curator (frankywild) as a portion from total 589.1421"/>
        <s v="Polkadotters\CORE produced 12595/16337 blocks; SR: 11.5714, CR: 32.5066"/>
        <s v="Coinstudio\COLLECTIVES produced 16333/16337 blocks; SR: 15.0056, CR: 42.1541"/>
        <s v="LuckyFriday.io produced 16285/16337 blocks; SR: 14.9615, CR: 42.0302"/>
        <s v="ParaNodes.io produced 16074/16337 blocks; SR: 14.7677, CR: 41.4857"/>
        <s v="Stakeworld.io produced 16337/16337 blocks; SR: 15.0093, CR: 42.1644"/>
        <s v="Mile\Sys produced 16298/16337 blocks; SR: 0 (Invulnerable), CR: 42.0638"/>
        <s v="YellowFin Tuna\Salad produced 16313/16337 blocks; SR: 0 (Invulnerable), CR: 42.1025"/>
        <s v="Spanish Bounty - CE_33"/>
        <s v="Spanish Bounty - CE_31"/>
        <s v="Spanish Bounty - CE_30"/>
        <s v="Spanish Bounty - CE_29"/>
        <s v="Spanish Bounty - CE_35"/>
        <s v="Spanish Bounty - CE_28"/>
        <s v="Spanish Bounty - CE_26 / TT_14 / TT_16"/>
        <s v="Workshop Valencia (Venezuela)"/>
        <s v="Reward MeetUp Venezuela"/>
        <s v="Spanish bounty - content creation V_30"/>
        <s v="Spanish bounty - content creation V_29"/>
        <s v="Spanish Bounty - Content creation V_31"/>
        <s v="Spanish Bounty - Content creation V_28"/>
        <s v="Spanish Bounty - Content creation V_27"/>
        <s v="Spanish Bounty - Content creation V_19"/>
        <s v="CE-27"/>
        <s v="TT-7 CE-7 and CE-34"/>
        <s v="TT-15 CE-32"/>
        <s v="TT-21 to TT-23 TT-28"/>
        <s v="TT-17 to TT-20 TT-24 to TT- 27"/>
        <s v="Reward for curator (Tim Janssen) as a portion from total 594.5078"/>
        <s v="Reward for curator (frankywild) as a portion from total 594.5078"/>
        <s v="YellowFin Tuna\Salad produced 16268/16297 blocks; SR: 14.9826, CR: 42.0894"/>
        <s v="Stakeworld.io produced 16262/16297 blocks; SR: 0 (Invulnerable), CR: 42.0739"/>
        <s v="Polkadotters\CORE produced 16030/16297 blocks; SR: 0 (Invulnerable), CR: 41.4736"/>
        <s v="COINSTUDIO produced 16297/16297 blocks; SR: 15.0093, CR: 42.1644"/>
        <s v="turboflakes.io\MINT produced 16181/16297 blocks; SR: 14.9025, CR: 41.8643"/>
        <s v="LuckyFriday.io produced 16226/16297 blocks; SR: 14.9439, CR: 41.9807"/>
        <s v="ParaNodes.io produced 16245/16297 blocks; SR: 14.9614, CR: 42.0299"/>
        <s v="MILE produced 14113/15665 blocks; SR: 13.3216, CR: 38.3481"/>
        <s v="Hosting fee for Curator RPC instance @ $25.0000 + 1/7 hosting fee for supporting relay chain RPC instances @ $80.0000 + 1/7 hosting fee for curator instance @ $40.0000"/>
        <s v="Reward for curator (Tim Janssen) as a portion from total 596.0525"/>
        <s v="Reward for curator (pastaMan) as a portion from total 596.0525"/>
        <s v="Reward for curator (frankywild) as a portion from total 596.0525"/>
        <s v="0xf09fa78a2049636562657267204e6f64657320f09fa78a2070726f64756365642031343138322f313631373620626c6f636b733b2053523a2031332e313539312c2043523a2033362e39363639"/>
        <s v="Stakeworld.io produced 16097/16176 blocks; SR: 14.9360, CR: 41.9585"/>
        <s v="0x506f6c6b61646f74746572735ce29b93434f52452070726f64756365642031353830382f313631373620626c6f636b733b2053523a2031342e363637382c2043523a2034312e32303532"/>
        <s v="turboflakes.io\MINT produced 16065/16176 blocks; SR: 0 (Invulnerable), CR: 41.8751"/>
        <s v="LuckyFriday.io produced 16112/16176 blocks; SR: 0 (Invulnerable), CR: 41.9976"/>
        <s v="DPSTK produced 15818/16176 blocks; SR: 0 (Invulnerable), CR: 41.2313"/>
        <s v="Staker Space\Statemint produced 14796/16176 blocks; SR: 0 (Invulnerable), CR: 38.5673"/>
        <s v="ParaNodes.io produced 16130/16176 blocks; SR: 0 (Invulnerable), CR: 42.0445"/>
        <s v="Chris-Staking\bridgehub produced 16176/16176 blocks; SR: 15.0093, CR: 42.1644"/>
        <s v="Sik | crifferent.de produced 14212/16176 blocks; SR: 13.1870, CR: 37.0451"/>
        <s v="0xf09f909f59656c6c6f7746696e2054756e61f09f909f5cf09fa59753616c6164f09fa5972070726f64756365642031363133392f313631373620626c6f636b733b2053523a2031342e393735302c2043523a2034322e30363830"/>
        <s v="0x4d696c65f09f8c8d5c5379732070726f64756365642031363134372f313631373620626c6f636b733b2053523a2031342e393832342c2043523a2034322e30383838"/>
        <s v="Task 2b Curator reward-May 2024- Frankywild"/>
        <s v="Lucky Friday Bounty 50 payouts https://github.com/ibp-network/ChildBounties"/>
        <s v="Polkadotters Bounty 50 payouts https://github.com/ibp-network/ChildBounties"/>
        <s v="Rotko Bounty 50 payouts https://github.com/ibp-network/ChildBounties"/>
        <s v="RadiumBlock Bounty 50 payouts https://github.com/ibp-network/ChildBounties"/>
        <s v="Dwellir Bounty 50 payouts https://github.com/ibp-network/ChildBounties"/>
        <s v="Turboflakes Bounty 50 payouts https://github.com/ibp-network/ChildBounties"/>
        <s v="CoinStudio Bounty 50 payouts https://github.com/ibp-network/ChildBounties"/>
        <s v="Amforc Bounty 50 payouts https://github.com/ibp-network/ChildBounties"/>
        <s v="Gatotech Bounty 50 payouts https://github.com/ibp-network/ChildBounties"/>
        <s v="Helikon Bounty 50 payouts https://github.com/ibp-network/ChildBounties"/>
        <s v="Metaspan Bounty 50 payouts https://github.com/ibp-network/ChildBounties"/>
        <s v="Stake Plus Bounty 50 payouts https://github.com/ibp-network/ChildBounties"/>
        <s v="hyperbridge-srl-2405"/>
        <s v="hydradx-srl-2405"/>
        <s v="Spanish bounty - content creation"/>
        <s v="Forensics Support Track- May 2024- Alina"/>
        <s v="Victim Support Track- May 2024- Alina"/>
        <s v="Social Media takedowns - May 2024 - SirJey"/>
        <s v="Social Media takedowns - May 2024 - ShakurHarun"/>
        <s v="Social Media takedowns - May 2024 - Tramysa"/>
        <s v="Bright Disputes Milestone 4 Payout"/>
        <s v="Radium Block Q1 &amp; Q2 https://github.com/paseo-network/payouts/issues/19 &amp; https://github.com/paseo-network/payouts/issues/18"/>
        <s v="Dwellier Q1 &amp;Q2 https://github.com/paseo-network/payouts/issues/17 &amp; https://github.com/paseo-network/payouts/issues/16"/>
        <s v="Polkadotters - Q1 &amp; Q2: https://github.com/paseo-network/payouts/issues/14 &amp; https://github.com/paseo-network/payouts/issues/15 "/>
        <s v="April/May Curator Awards Mark"/>
        <s v="April/May Curator Awards Zoe"/>
        <s v="April/May Curator Awards Hutch"/>
        <s v="April/May Curator Awards ChaosDAO"/>
        <s v="April/May Curator Awards WebZero"/>
        <s v="Zapper Integration for Astar, Moonbeam, Acala and HydraDX Milestone 1"/>
        <s v="Zapper Integration for Astar, Moonbeam, Acala and HydraDX"/>
        <s v="Ramp Network AssetHub Integration and Parachain on-ramps"/>
        <s v="KuCoin AssetHub Integration"/>
        <s v="ANEMOIA Proposal: Coffee Talk Sponsored by Polkadot: How #Web3 is Impacting GenZ?"/>
        <s v="Adam Steeber's parent bounty curator sign-on bonus."/>
        <s v="Jimmy Tudeski's parent bounty curator sign-on bonus."/>
        <s v="Eduardo Cardoso's parent bounty curator sign-on bonus."/>
        <s v="Clinton Swan's parent bounty curator sign on bonus."/>
        <s v="Rafael Yahlomi's parent bounty curator sign-on bonus."/>
        <s v="Janko Ranghi's parent bounty curator sign-on bonus."/>
        <s v="Ezio Rojas' parent bounty curator sign-on bonus."/>
        <s v="Stiwar Lopez's parent bounty curator sign-on bonus."/>
        <s v="Luke Schoen's parent bounty curator sign-on bonus."/>
        <s v="Max Rebol's parent bounty curator sign-on bonus."/>
        <s v="Outreach-Content Creation - Grizzly - May 2024"/>
        <s v="Outreach-Account Management -  Grizzly - May 2024"/>
        <s v="Outreach-Sub Manager payout - Maarmapa - May 2024"/>
        <s v="Outreach-Sub manager payout &amp; Content creation - ecardo5o - May 2024"/>
        <s v="Social Media account management - May 2024 - Kamala"/>
        <s v="Subscribtion service to Merkel Science/Forensics Track-May"/>
        <s v="Takedown of Phishing websites/Proactive track-May 2024- TimJanssen"/>
        <s v="Takedown of Phishing websites/Proactive track-May 2024-Pastaman"/>
        <s v="Takedown of Phishing websites/Proactive track-May 2024- Frankywild"/>
        <s v="Social Media content creation - May 2024 - Cappex"/>
        <s v="Database upkeep- May 2024-TimJanssen"/>
        <s v="General curation- May 2024- Cappex"/>
        <s v="General Administration- May 2024- Pastaman"/>
        <s v="Proactive track management-May 2024- Frankywild"/>
        <s v="DART/Education Task - Ecardo5o - May 2024"/>
        <s v="DART/Education Task - Macchalafortune - May 2024"/>
        <s v="DART/Education Task - Abujulaibib - May 2024"/>
        <s v="General Curator - Grizzly - May 2024"/>
        <s v="Track Management/ Admin-Operation - Grizilly - May 2024"/>
        <s v="Anti-scam collective document - Tramysa"/>
        <s v="Anti-scam collective document - Shakurharun"/>
        <s v="Anti-scam collective document - sirjay"/>
        <s v="Anti-scam collective document - Machala"/>
        <s v="General curation - May 2024 - kamala"/>
        <s v="General admin - May 2024 - cmalize"/>
        <s v="Educational track management - May 2024 - Maarmapa"/>
        <s v="Editor payout May - tramymisa"/>
        <s v="Content creation May - H3ct0r4lph4"/>
        <s v="Maintenance of phishing repo May - Tim Janssen"/>
        <s v="Maintenance of phishing repo May - pastaMan"/>
        <s v="Maintenance of phishing repo May - frankywild"/>
        <s v="General curation May - abdulbee"/>
        <s v="General administration May - Paradox"/>
        <s v="Track management of admin/op track May - abdulbee"/>
        <s v="Track management of reactive track May - Tim Janssen"/>
        <s v="Polkadot Meet-up Bounty Northern Nigeria by Polkadot Ambassdor "/>
        <s v="Translation TT 13"/>
        <s v="Translation TT 9.12"/>
        <s v="Translation TT 8"/>
        <s v="written content CE 24"/>
        <s v="written content CE 23"/>
        <s v="written content CE 22"/>
        <s v="written content CE 19"/>
        <s v="written content CE 15.17.20"/>
        <s v="written content CE 14"/>
        <s v="written content CE 8"/>
        <s v="Spanish Bounty - Content curator"/>
        <s v="Jim Farley's refund of program deposits. 20.041 DOT for creation of pure proxy + 18.5 DOT contribution toward parent bounty curator deposit + 1.233 DOT for enlivening the pure proxy."/>
        <s v="Payment to Band Protocol for Milestone 1"/>
        <s v="Free Web3 Workshop: Blockchain, Rust, and Career Paths to Polkadot | May 31st, 2024 | Cebu, Philippines"/>
        <s v="Moderation team bounty- May 2024-Tim Janssen "/>
        <s v="Moderation team bounty-May 2024- Paradox"/>
        <s v="Moderation team bounty-May 2024- Maarmapa"/>
        <s v="Moderation team bounty- May 2024- LV"/>
        <s v="Moderation team bounty- May 2024- Abdulbee"/>
        <s v="Proof of Talk 2024 - Scytale Digital - Paris, France"/>
        <s v="ETHRome second payout"/>
        <s v="Reward for curator (Tim Janssen) as a portion from total 126.2464"/>
        <s v="Reward for curator (pastaMan) as a portion from total 126.2464"/>
        <s v="Reward for curator (frankywild) as a portion from total 126.2464"/>
        <s v="Bridgehub related staking rewards due to bug"/>
        <s v="Assethub related staking rewards due to bug"/>
        <s v="Moderation Bounty - May 2024 - pastaMan"/>
        <s v="Moderation Bounty - May 2024 - Grizzly"/>
        <s v="Moderation Bounty - May 2024 - frankywild"/>
        <s v="Moderation Bounty - May 2024 - Cappex"/>
        <s v="Moderation team bounty - May 2024 - Muddlebee"/>
        <s v="Moderation team bounty - May 2024 - Mister_Cole"/>
        <s v="Moderation team bounty - May 2024 - MC"/>
        <s v="Moderation team bounty - May 2024 - Gr33nHatt3R"/>
        <s v="Moderation curator bounty - May 2024 - AJ"/>
        <s v="MarketAcross - Invoice 14827 - DOT price - 10% = 6.534 USDT - excess DOT due to higher DOT market price when claim is made available must be returned"/>
        <s v="Crane - Invoice #3 - DOT price = 7.19 USDT - excess DOT due to higher DOT market price when claim is made available must be returned"/>
        <s v="EVOX - INV0507 - DOT price = 7.142 USDT - excess DOT due to higher DOT market price when claim is made available must be returned"/>
        <s v="The Innovation Village Kampala Uganda"/>
        <s v="Curator Fee - Nachito"/>
        <s v="Curator Fee - Gerardo"/>
        <s v="Curator Fee - Blockya"/>
        <s v="Curator Fee - Albert"/>
        <s v="Admin fee Amaury"/>
        <s v="Curator fee Ernih"/>
        <s v="Curator fee Lengo"/>
        <s v="Curator fee Ezio"/>
        <s v="Spanish Bounty C12"/>
        <s v="Spanish Bounty C11"/>
        <s v="Spanish Bounty C9"/>
        <s v="Spanish Bounty C6"/>
        <s v="Spanish Bounty C5_C13"/>
        <s v="Spanish Bounty C4_C10"/>
        <s v="Spanish Bounty Translations"/>
        <s v="HIC PBA Investor Dinner - Harbor Industrial Capital - Hong Kong"/>
        <s v="Payment to Starlay Finance for Milestone 3"/>
        <s v="Treasury refund"/>
        <s v="La Cusathon - Polkadot Peru - Lima, Peru"/>
        <s v="Polkaport East second award"/>
        <s v="Translations TT 4 &amp; 5"/>
        <s v="Google Drive ($54) + Adam Steeber's work in technical configurations ($200)"/>
        <s v="Content Creation CE_03"/>
        <s v="Content Creation CE_2"/>
        <s v="Content creation CE_1"/>
        <s v="RadiumBlock May 24"/>
        <s v="Stakeworld May 24"/>
        <s v="RockX May 24"/>
        <s v="Lucky Friday May 24"/>
        <s v="OnFinality May 24"/>
        <s v="Dwellir May 24"/>
        <s v="Blockops May 24"/>
        <s v="VDS Event"/>
        <s v="Meetup Venezuela"/>
        <s v="Spanish bounty - content creation "/>
        <s v="EVOX - INV0505 - DOT price = 6.786 USDT - excess DOT due to higher DOT market price when claim is made available must be returned"/>
        <s v="MarketAccross - Invoice 14790 - DOT price -10% = 6.057 USDT - excess DOT due to higher DOT market price when claim is made available must be returned"/>
        <s v="Lunar Strategy - Invoice 59105 - DOT price -10% = 6.093 USDT - excess DOT due to higher DOT market price when claim is made available must be returned"/>
        <s v="ChainWire - Invoice 59105 - DOT price -10% = 6.19 USDT - excess DOT due to higher DOT market price when claim is made available must be returned"/>
        <s v="MediaFuse.org - Invoice 14782 - DOT price -10% = 6.19 USDT - excess DOT due to higher DOT market price when claim is made available must be returned"/>
        <s v="Reward for curator (Tim Janssen) as a portion from total 545.3607"/>
        <s v="Reward for curator (pastaMan) as a portion from total 545.3607"/>
        <s v="Reward for curator (frankywild) as a portion from total 545.3607"/>
        <s v="Stakeworld.io produced 9943/16245 blocks; SR: 9.0504, CR: 26.0527"/>
        <s v="LuckyFriday.io produced 14224/16245 blocks; SR: 12.9470, CR: 37.2698"/>
        <s v="Coinstudio\COLLECTIVES produced 14017/16245 blocks; SR: 12.7586, CR: 36.7274"/>
        <s v="Iceberg Nodes  produced 14296/16245 blocks; SR: 13.0126, CR: 37.4585"/>
        <s v="ExtraCoin produced 14290/16245 blocks; SR: 0 (Invulnerable), CR: 37.4428"/>
        <s v="Polkadotters\CORE produced 11130/16245 blocks; SR: 10.1308, CR: 29.1629"/>
        <s v="MathCrypto\collectives produced 16245/16245 blocks; SR: 14.7866, CR: 42.5653"/>
        <s v="Staker Space\collectives produced 3871/16245 blocks; SR: 3.5235, CR: 10.1428"/>
        <s v="ParaNodes.io produced 14596/16245 blocks; SR: 13.2856, CR: 38.2445"/>
        <s v="BESTVALIDATOR | ZURICH\collectives produced 13935/16245 blocks; SR: 0 (Invulnerable), CR: 36.5126"/>
        <s v="Mile\Sys produced 15163/16245 blocks; SR: 0 (Invulnerable), CR: 39.7302"/>
        <s v="Stake Plus\COLLECTIVES01 produced 14060/16245 blocks; SR: 0 (Invulnerable), CR: 36.8401"/>
        <s v="YellowFin Tuna\Salad produced 15774/16245 blocks; SR: 0 (Invulnerable), CR: 41.3311"/>
        <s v="Hosting fee for Curator RPC instance @ $25.0000 + 1/6 hosting fee for supporting relay chain RPC instances @ $80.0000 + 1/6 hosting fee for curator instance @ $40.0000"/>
        <s v="Reward for curator (Tim Janssen) as a portion from total 568.1101"/>
        <s v="Reward for curator (pastaMan) as a portion from total 568.1101"/>
        <s v="Reward for curator (frankywild) as a portion from total 568.1101"/>
        <s v="STKD.IO produced 4810/15672 blocks; SR: 4.5383, CR: 13.0640"/>
        <s v="COINSTUDIO produced 9668/15672 blocks; SR: 9.1218, CR: 26.2584"/>
        <s v="Polkadotters\CORE produced 14361/15672 blocks; SR: 0 (Invulnerable), CR: 39.0046"/>
        <s v="Chris-Staking\bridgehub produced 4149/15672 blocks; SR: 3.9146, CR: 11.2687"/>
        <s v="turboflakes.io\MINT produced 14393/15672 blocks; SR: 13.5799, CR: 39.0915"/>
        <s v="YellowFin Tuna\Salad produced 15672/15672 blocks; SR: 14.7866, CR: 42.5653"/>
        <s v="Mile\Sys produced 14996/15672 blocks; SR: 14.1488, CR: 40.7292"/>
        <s v="LuckyFriday.io produced 14147/15672 blocks; SR: 13.3478, CR: 38.4234"/>
        <s v="Staker Space\bridgehub produced 8526/15672 blocks; SR: 8.0443, CR: 23.1567"/>
        <s v="ParaNodes.io produced 14464/15672 blocks; SR: 13.6468, CR: 39.2843"/>
        <s v="Sik | crifferent.de produced 14156/15672 blocks; SR: 0 (Invulnerable), CR: 38.4478"/>
        <s v="openbitlab\bridgehub produced 14113/15672 blocks; SR: 0 (Invulnerable), CR: 38.3310"/>
        <s v="Iceberg Nodes  produced 14063/15672 blocks; SR: 0 (Invulnerable), CR: 38.1952"/>
        <s v="Stakeworld.io produced 14277/15672 blocks; SR: 0 (Invulnerable), CR: 38.7764"/>
        <s v="Reward for curator (Tim Janssen) as a portion from total 568.6573"/>
        <s v="Reward for curator (pastaMan) as a portion from total 568.6573"/>
        <s v="Reward for curator (frankywild) as a portion from total 568.6573"/>
        <s v="Chris-Staking\bridgehub produced 4428/15665 blocks; SR: 4.1797, CR: 12.0319"/>
        <s v="Stakeworld.io produced 14167/15665 blocks; SR: 13.3726, CR: 38.4949"/>
        <s v="0xf09fa78a2049636562657267204e6f64657320f09fa78a2070726f64756365642031343131332f313536363520626c6f636b733b2053523a2031332e333231362c2043523a2033382e33343831"/>
        <s v="ParaNodes.io produced 14471/15665 blocks; SR: 0 (Invulnerable), CR: 39.3209"/>
        <s v="STKD.IO\AssetHub produced 9472/15665 blocks; SR: 8.9409, CR: 25.7375"/>
        <s v="Sik | crifferent.de produced 14057/15665 blocks; SR: 13.2688, CR: 38.1960"/>
        <s v="0x4d696c65f09f8c8d5c5379732070726f64756365642031343935312f313536363520626c6f636b733b2053523a2031342e313132362c2043523a2034302e36323532"/>
        <s v="0xf09f909f59656c6c6f7746696e2054756e61f09f909f5cf09fa59753616c6164f09fa5972070726f64756365642031353636352f313536363520626c6f636b733b2053523a2031342e373836362c2043523a2034322e35363533"/>
        <s v="0x506f6c6b61646f74746572735ce29b93434f52452070726f64756365642031343332392f313536363520626c6f636b733b2053523a2031332e353235352c2043523a2033382e39333531"/>
        <s v="turboflakes.io\MINT produced 14395/15665 blocks; SR: 0 (Invulnerable), CR: 39.1144"/>
        <s v="LuckyFriday.io produced 14015/15665 blocks; SR: 0 (Invulnerable), CR: 38.0819"/>
        <s v="DPSTK produced 14057/15665 blocks; SR: 0 (Invulnerable), CR: 38.1960"/>
        <s v="Staker Space\Statemint produced 13660/15665 blocks; SR: 0 (Invulnerable), CR: 37.1172"/>
        <s v="Payment to MuFi for Milestone 2"/>
        <s v="Outreach track account management- April 2024- Maarmapa"/>
        <s v="Outreach track content editor- Retroactive Feb-March+April 2024- Michelle"/>
        <s v="Consensus Hackathon Sponsorship - WebZero - Austin, TX"/>
        <s v="Viasoft Connect 2024 - Parachainboy and Lui5 - Curitiba, Brazil"/>
        <s v="Polkadot Day Budapest - Vikk - Budapest, Hungary"/>
        <s v="CEE Wealth Summit - Harbor Industrial Captial - Vienna, Austria"/>
        <s v="Q1 2024 SubCurator Awards - Mario"/>
        <s v="Q1 2024 SubCurator Awards - Chris"/>
        <s v="Q1 2024 SubCurator Awards - Saimon"/>
        <s v="Q1 2024 Curator Awards - Zoe"/>
        <s v="Q1 2024 Curator Awards - Mark"/>
        <s v="Q1 2024 Curator awards - ChaosDAO"/>
        <s v="Q1 2024 Curator awards - Hutch"/>
        <s v="Q1 2024 Curator awards - WebZero"/>
        <s v="Ops Admin System Fees - Jan to May 2024 - Zoe"/>
        <s v="Polkadot at TeamZ Web3 AI Summit 2024 - Top up "/>
        <s v="ParisDotComm 2023 - Team Rewards "/>
        <s v="Retroactive Funds - Sub0 Side Events - WebZero "/>
        <s v="Brew sponsorship - Berlin Blockchain Week - May 2024"/>
        <s v="Task 1 - April 2024 - Tim Janssen"/>
        <s v="Task 1 - April 2024 - Pastaman"/>
        <s v="Task 1 - April 2024 - Frankywild"/>
        <s v="set up multisig spanish bounty"/>
        <s v="Website Management - Adim/Op - IV555 - April 2024"/>
        <s v="Social Media Takedown Task - Sirjey - April 2024"/>
        <s v="Social Media Takedown Task - ShakurHarun - April 2024"/>
        <s v="Social Media Takedown Task - Michelle - April 2024"/>
        <s v="Account management/Outreach Track-April 2024- KammalaImmaculate"/>
        <s v="Maintenance of Phishing Repo/Proactive Track-April 2024- TimJanssen "/>
        <s v="Maintenance of Phishing Repo/Proactive Track-April 2024- Pastaman"/>
        <s v="Maintenance of Phishing Repo/Proactive Track-April 2024- Frankywild"/>
        <s v="General curation-April 2024- KammalaImmaculate"/>
        <s v="Content creation - grizzlyadams"/>
        <s v="Account Manager - grizzlyadams"/>
        <s v="Sub manager and Content creator - Maarmapa"/>
        <s v="Sub manager and Content creator - ecardo5o"/>
        <s v="General curation - grizzlyadams"/>
        <s v="track management of outreach track - grizzlyadams"/>
        <s v="Track management of proactive track - frankywild"/>
        <s v="Track management of reactive track - Tim"/>
        <s v="Track Management of Education track - April 2024 - Maarmapa "/>
        <s v="General curator - April 2024 - Abdulbee"/>
        <s v="Track Management of Admin/Operation - April 2024 - Adbulbee"/>
        <s v="General Curation - Cappex - April 2024"/>
        <s v="General Admin - Cmalize - April 2024"/>
        <s v="General Admin - Pastaman - April 2024"/>
        <s v="General Admin - Paradox - April 2024"/>
        <s v="Night-Hawk extension"/>
        <s v="Anti-Scam Forensics Support- Retroactive payments for Feb-Mar + April 2024- Alina "/>
        <s v="Anti-Scam Victim Support- Retroactive payments for Feb-Mar + April 2024- Alina "/>
        <s v="Simply Staking - Q1 https://github.com/paseo-network/payouts/issues/12"/>
        <s v="Gatotech Q2 - https://github.com/paseo-network/payouts/issues/11"/>
        <s v="Gatotech q1 - https://github.com/paseo-network/payouts/issues/10"/>
        <s v="MetaSpan Q2 - https://github.com/paseo-network/payouts/issues/6 "/>
        <s v="Moderation Team Bounty April 2024 pastaman"/>
        <s v="Moderation Team Bounty April 2024 Grizzly"/>
        <s v="Moderation Team Bounty April 2024 Franky"/>
        <s v="Moderation Team Bounty April 2024 Cappex"/>
        <s v="Moderation Team Bounty-April 2024-TimJanssen"/>
        <s v="Moderation Team Bounty- April 2024- Paradox"/>
        <s v="Moderation Team Bounty- April 2024- Maarmapa"/>
        <s v="Moderation Team Bounty- April 2024- LV"/>
        <s v="Moderation Team Bounty- April 2024- Abdulbee"/>
        <s v="Moderation bounty - April 2024 - muddlebee"/>
        <s v="Moderation bounty - April 2024 - Mister_Cole"/>
        <s v="Moderation bounty - April 2024 - MC"/>
        <s v="Moderation bounty - Aprill 2024 - Gr33n"/>
        <s v="Curator bounty - April 2024 - AJ"/>
        <s v="Valid orange Q2 https://github.com/paseo-network/payouts/issues/5"/>
        <s v="Valid Orange Q1 https://github.com/paseo-network/payouts/issues/4"/>
        <s v="Coinstudio Q2 https://github.com/paseo-network/payouts/issues/3"/>
        <s v="CoinStudio Q1 https://github.com/paseo-network/payouts/issues/2"/>
        <s v="3 Brazil Meetups slippage"/>
        <s v="BlackXP Game Jam reimbusrement"/>
        <s v="Budapest Meetups slippage and scaling award - Viktor - Budapest, Hungary"/>
        <s v="Polkadot Networking Eve - Nicholas Joshua - Northern Nigeria"/>
        <s v="Polkadot Monthly Meetup - Max Rebol - Hong Kong"/>
        <s v="Memecoin MeetUp at W3.hub - Web3Rdy - Berlin, Germany"/>
        <s v="Distractive @ ETHDenver second award"/>
        <s v="RomeBW second tranche (VAT)"/>
        <s v="ArtsDAO slippage reimbursement"/>
        <s v="Smart City Expo Brazil second award"/>
        <s v="WizardAmigos slippage reimbursement"/>
        <s v="CEE Wealth Summit - Scythe Ventures - Vienna, Italy "/>
        <s v="{Bash} EthDenver second award"/>
        <s v="Crane - Invoice #2 - [DOT = 6.885 USDT - 10% = 6.1965 USDT] - excess DOT due to change in price must be returned"/>
        <s v="RadiumBlock Apr 24"/>
        <s v="Stakeworld Apr 24"/>
        <s v="RockX Apr 24"/>
        <s v="Lucky Friday Apr 24"/>
        <s v="OnFinality Apr 24"/>
        <s v="Dwellir Apr 24"/>
        <s v="Blockops Apr 24"/>
        <s v="[APPLICATION] exam play game M1"/>
        <s v="EVOX - INV050 - DOT Price at the time of the invoice = 6.60 USDT - excess DOT due to change in price must be returned"/>
        <s v="Q1 Metaspan Payout https://github.com/paseo-network/payouts/issues/1"/>
        <s v="Q1&amp;Q2 Zondax Payout"/>
        <s v="Q2 Rogue Payout"/>
        <s v="Q1&amp;Q2 Portico payout"/>
        <s v="q1 rogue payout"/>
        <s v="Crane - Invoice #1 - DOT = 6.70 USDT - excess DOT due to change in price must be returned"/>
        <s v="Payment to Bright Inventions for Milestone 3"/>
        <s v="Payment to Oak Security for Archisinal Review"/>
        <s v="NGUYEN QUANG TRUONG / CRIS NGUYEN - Invoice #9 - Binance EMA 7 days = 8.716 USDT - excess DOT due to change in price must be returned"/>
        <s v="EVOX - INV048 - Binance EMA 7 days = 8.706 USDT - excess DOT due to change in price must be returned"/>
        <s v="Lunar Strategy - Invoice 2024/04/06 - Subscan EMA 7 days = 8.7 USDT - excess DOT due to change in price must be returned"/>
        <s v="Reimbursement for Luca Poggi as Technical Curator - EMA Binance DOT 60 days = 8.87 USDT - https://docs.google.com/document/d/1FjSsefrDaIVF6xaojRd7AYeUM4P4KSWOncbLl7xiKcM"/>
        <s v="Chainwire via MarketAccross - DOT top up for child bounty #895 - DOT Price = 8.25 USDT"/>
        <s v="astar-srl-2403"/>
        <s v="Task1 frankywild March 2024"/>
        <s v="Task1 Tim March 2024"/>
        <s v="Task1 pastaMan March 2024"/>
        <s v="Website Management lv555 + curator abdulbee"/>
        <s v="Database of DNS registrars - March 2024 - Tim Janssen"/>
        <s v="Social media takedown - March 2024 - Sirjey"/>
        <s v="Social media takedown - March 2024 - ShakurHarun"/>
        <s v="Social media takedown - March 2024 - Michelle"/>
        <s v="General curator reward - March 2024 - Cappex"/>
        <s v="Polkadot @ RomeBW - Marco Romano - Rome, Italy"/>
        <s v="Polkadot @ ArtsDAO Fest - Irina Karagyaur - Dubai, UAE"/>
        <s v="General curation - March 2024 -Grizzly"/>
        <s v="For Twitter Org verification"/>
        <s v="Educational track management - March 2024 - Maarmapa"/>
        <s v="Outreach track management - March 2024 - Grizzly"/>
        <s v="Outreach track account manager- March 2024-Cmalize"/>
        <s v="General Administration- March 2024- Cmalize"/>
        <s v="Proactive track management- March 2024- FrankyWild"/>
        <s v="Reactive track management- March 2024- TimJanssen"/>
        <s v="Content Creation- March 2024- Cappex"/>
        <s v="Outreach - Content creation - March - Grizzly"/>
        <s v="Outreach - Account manager - March - Grizzly"/>
        <s v="Outreach - sub manager &amp; content creator payout - March - Maarmapa"/>
        <s v="Outreach -sub manager &amp; content creator payout - March - Ecardo"/>
        <s v="Reward for curator (Tim Janssen) for signing fees over 3 months"/>
        <s v="Reward for curator (Tim Janssen) as a portion from total 453.2525"/>
        <s v="Reward for curator (pastaMan) as a portion from total 453.2525"/>
        <s v="Reward for curator (frankywild) as a portion from total 453.2525"/>
        <s v="ParaNodes.io produced 15342/16405 blocks; SR: 14.2653, CR: 29.6263"/>
        <s v="YellowFin Tuna produced 16396/16405 blocks; SR: Invul:0, CR: 31.6616"/>
        <s v="ExtraCoin produced 14451/16405 blocks; SR: Invul:0, CR: 27.9057"/>
        <s v="Polkadotters produced 14227/16405 blocks; SR: 13.2285, CR: 27.4731"/>
        <s v="MathCrypto produced 16405/16405 blocks; SR: 15.2537, CR: 31.6790"/>
        <s v="Coinstudio produced 14839/16405 blocks; SR: 13.7976, CR: 28.6550"/>
        <s v="Staker Space produced 14226/16405 blocks; SR: 13.2276, CR: 27.4712"/>
        <s v=" Iceberg Nodes  produced 16222/16405 blocks; SR: 15.0835, CR: 31.3256"/>
        <s v="LuckyFriday.io produced 14247/16405 blocks; SR: 13.2471, CR: 27.5118"/>
        <s v="BESTVALIDATOR | ZURICH produced 15053/16405 blocks; SR: Invul:0, CR: 29.0682"/>
        <s v="Mile produced 15830/16405 blocks; SR: Invul:0, CR: 30.5686"/>
        <s v="Stake Plus produced 13997/16405 blocks; SR: Invul:0, CR: 27.0290"/>
        <s v="2/5 hosting fee for supporting relay chain RPC instances @ $80.0000 and for curator instance @ $40.0000"/>
        <s v="Hosting fee for Curator RPC instance @ $25.0000"/>
        <s v="Reward for curator (Tim Janssen) as a portion from total 451.5961"/>
        <s v="Reward for curator (pastaMan) as a portion from total 451.5961"/>
        <s v="Reward for curator (frankywild) as a portion from total 451.5961"/>
        <s v="Staker Space produced 14478/16498 blocks; SR: 13.3860, CR: 27.8002"/>
        <s v=" Iceberg Nodes  produced 16160/16498 blocks; SR: Invul:0, CR: 31.0300"/>
        <s v="Stakeworld.io produced 14742/16498 blocks; SR: Invul:0, CR: 28.3072"/>
        <s v="Polkadotters produced 14270/16498 blocks; SR: Invul:0, CR: 27.4008"/>
        <s v="Chris-Staking produced 14819/16498 blocks; SR: 13.7013, CR: 28.4550"/>
        <s v="turboflakes.io produced 14775/16498 blocks; SR: 13.6606, CR: 28.3705"/>
        <s v="YellowFin Tuna produced 16498/16498 blocks; SR: 15.2537, CR: 31.6790"/>
        <s v="Mile produced 15961/16498 blocks; SR: 14.7572, CR: 30.6479"/>
        <s v="LuckyFriday.io produced 14362/16498 blocks; SR: 13.2788, CR: 27.5775"/>
        <s v="ParaNodes.io produced 15464/16498 blocks; SR: 14.2976, CR: 29.6935"/>
        <s v="Sik | crifferent.de produced 14555/16498 blocks; SR: Invul:0, CR: 27.9481"/>
        <s v="openbitlab produced 15195/16498 blocks; SR: Invul:0, CR: 29.1770"/>
        <s v="Reward for curator (Tim Janssen) as a portion from total 449.8982"/>
        <s v="Reward for curator (pastaMan) as a portion from total 449.8982"/>
        <s v="Reward for curator (frankywild) as a portion from total 449.8982"/>
        <s v="DPSTK produced 14461/16574 blocks; SR: Invul:0, CR: 27.6403"/>
        <s v="Staker Space produced 14465/16574 blocks; SR: Invul:0, CR: 27.6479"/>
        <s v="ParaNodes.io produced 15556/16574 blocks; SR: Invul:0, CR: 29.7332"/>
        <s v="STKD.IO produced 14382/16574 blocks; SR: 13.2363, CR: 27.4893"/>
        <s v="Sik | crifferent.de produced 14699/16574 blocks; SR: 13.5280, CR: 28.0952"/>
        <s v="Stakeworld.io produced 14843/16574 blocks; SR: 13.6606, CR: 28.3704"/>
        <s v="Mile produced 15717/16574 blocks; SR: 14.4649, CR: 30.0409"/>
        <s v="YellowFin Tuna produced 16574/16574 blocks; SR: 15.2537, CR: 31.6790"/>
        <s v="Polkadotters produced 14691/16574 blocks; SR: 13.5207, CR: 28.0799"/>
        <s v=" Iceberg Nodes  produced 16387/16574 blocks; SR: 15.0816, CR: 31.3216"/>
        <s v="turboflakes.io produced 14808/16574 blocks; SR: Invul:0, CR: 28.3035"/>
        <s v="LuckyFriday.io produced 14428/16574 blocks; SR: Invul:0, CR: 27.5772"/>
        <s v="1/5 hosting fee for supporting relay chain RPC instances @ $80.0000"/>
        <s v="Social media management Kamala Immaculate March"/>
        <s v="General curation Kamala Immaculate March"/>
        <s v="General administration pastaMan March"/>
        <s v="Adminstrative/Operational Track - March 2024 - Paradox"/>
        <s v="General Curator - March 2024 - Abdulbee"/>
        <s v="Track Management/OP Track  - March 2024 -  Abdulbee"/>
        <s v="Phishing repo maintenance- March 2024- TimJanssen"/>
        <s v="Phishing repo maintenance- March 2024- Pastaman"/>
        <s v="Phishing repo maintenance- March 2024- Frankywild"/>
        <s v="ChainWire via MarketAccross - Invoice 14637 - Binance EMA 99 days = 8.329 USDT - excess DOT due to change in price must be returned"/>
        <s v="Moderation team curation - March 2024 - AJ"/>
        <s v="2023 Decoded Viewing Party Rewards - Fred Malize - Aba, Nigeria"/>
        <s v="2023 Decoded Viewing Party Rewards - Arlette Salas - Maracaibo, Venezuela"/>
        <s v="2023 Decoded Viewing Party Rewards - DJ Trang - Hanoi, Vietnam"/>
        <s v="2023 Decoded Viewing Party Rewards - Mugisha Abraham Shidi - Goma-Democratic Republic of Congo"/>
        <s v="2023 Decoded Viewing Party Rewards - Rossmarie - Madrid, Espana"/>
        <s v="2023 Decoded Viewing Party Rewards - Bamidele Owoseni - Dallas, Texas USA"/>
        <s v="2023 Decoded Viewing Party Rewards - Nikhole Lucas - Makati City, Metro Manila, Philippines"/>
        <s v="2023 Decoded Viewing Party Rewards - Rish - Bangalore, India"/>
        <s v="2023 Decoded Viewing Party Rewards - The Phynky One - Tampa, Florida, USA"/>
        <s v="2023 Decoded Viewing Party Rewards - Santiago Guzman-Roberto Heredia - Bogota-colombia"/>
        <s v="2023 Decoded Viewing Party Rewards - Dillon Hanson - NYC, New York"/>
        <s v="2023 Decoded Viewing Party Rewards - Kamala Immaculate - Kampala City, Uganda"/>
        <s v="2023 Decoded Viewing Party Rewards - Joab Niwagaba - Kigali, Rwanda"/>
        <s v="2023 Decoded Viewing Party Rewards - Oscar (Donatello) - Ciudad de Mexico (CDMX), Mexico"/>
        <s v="2023 Decoded Viewing Party Rewards - Danson Twesigomwe - Arusha,Tanzania"/>
        <s v="2023 Decoded Viewing Party Rewards - Max Cripto - Rio Grande, Argentina"/>
        <s v="2023 Decoded Viewing Party Rewards - Guido - Villa La Angostura (Patagonia), Argentina"/>
        <s v="2023 Decoded Viewing Party Rewards - John Rhodel Bartolome - Curitiba, Brazil"/>
        <s v="2023 Decoded Viewing Party Rewards - Robin - Monterrey, Mexico"/>
        <s v="2023 Decoded Viewing Party Rewards - Erick Alonso Ramos Jimenez - Guadalajara, Jalisco, Mexico"/>
        <s v="Polkadot day Belgrade Reimbursement - Aleksandar Dimitrijevic - Belgrade, Serbia"/>
        <s v="Decoded 2023 Satellite event - Subwallet - Ho Chi Minh, Vietnam"/>
        <s v="Polkadot LATAM Day Reimbursement and rewards - LATAM Ambassadors - Online"/>
        <s v="Metaverse Championship Second award - CryptoCTF - Budapest, Hungary"/>
        <s v="TeamZ AI Summit - DFG - Tokyo, Japan"/>
        <s v="ModerationTeamBounty-March2024-timjanssen"/>
        <s v="ModerationTeamBounty-March2024-paradox"/>
        <s v="ModerationTeamBounty-March2024-muddlebee"/>
        <s v="ModerationTeamBounty-March2024-Cappex"/>
        <s v="Moderation team  bounty - March 2023 - Maarmapa"/>
        <s v="Moderation team bounty - March 2024 - Tramysa"/>
        <s v="Mod + curator bounty - March 2024 - Grizzly"/>
        <s v="Moderation bounty - March 2024 - Frankywild"/>
        <s v="Curator fee - March 2024 - A.J"/>
        <s v="Moderation team bounty- March 2024- Pastaman"/>
        <s v="Moderation team bounty- March 2024- Mister_Cole"/>
        <s v="Moderation team bounty- March 2024- MC"/>
        <s v="Moderation team bounty- March 2024- Gr33nhatt3r"/>
        <s v="Moderation team bounty- March 2024- Abdulbee"/>
        <s v="Lunar Strategy - Invoice 2024/03/27 - Binance EMA 7 days = 9.535 USDT - excess DOT due to change in price must be returned"/>
        <s v="ChainWire via MarketAccross- Invoice 58813 - Binance EMA 7 days = 9.53 USDT - excess DOT due to change in price must be returned"/>
        <s v="EVOX - INV044 - Binance EMA 7 days = 9.54 USDT - excess DOT due to change in price must be returned"/>
        <s v="CultureDot - Singapore, Changi Airport - Binance EMA 99 days = 8.15 USDT - excess DOT due to change in price must be returned"/>
        <s v="3 Brazil Meetups - Modular Crypto - Brazil"/>
        <s v="Beyond Beats: Web3's Disruption of the Music Landscape - Patrik Kogoj - Slovenia"/>
        <s v="Women of Polkadot: Brunch in Bangkok - Linda Luuu - Thailand"/>
        <s v="4 Hong Kong Meetups - Max Rebol - Hong Kong"/>
        <s v="PBA Graduation and DOTGov Workshop - Pauline Cohen Vorms, PBA - Hong Kong"/>
        <s v="Polkadot @ Southeast Asia BW - Patricia Arro - Thailand"/>
        <s v="Polkadot @ Web3Fest - Polkaport East - Hong Kong"/>
        <s v="BlackXP Game Jam - Lui5 - Brazil"/>
        <s v="WizardAmigos Code Camp - Nina Breznik - Portugal"/>
        <s v="EVOX Invoice INV041 (Binance EMA 7 days = 10.74 USDT) - In case of any surplus on fund reception's day, the exceeding part must be returned to bounty address, in case of deficit another child bounty request must be issued to cover the difference"/>
        <s v="ChainWire Invoice 58689 (Binance EMA 7 days = 10.74 USDT) - In case of any surplus on fund reception's day, the exceeding part must be returned to bounty address, in case of deficit another child bounty request must be issued to cover the difference"/>
        <s v="Javier (article) 6th milestone of Task 7"/>
        <s v="Tim Janssen (quiz) 6th milestone of Task 7"/>
        <s v="Maarmapa (video) 6th milestone of Task 7"/>
        <s v="Paradox (slideshow) 6th milestone of Task 7"/>
        <s v="Chris Malize (infographics) 6th milestone of Task 7"/>
        <s v="Reward for curator (Tim Janssen) as a portion from total 467.2090"/>
        <s v="Reward for curator (pastaMan) as a portion from total 467.2090"/>
        <s v="Reward for curator (frankywild) as a portion from total 467.2090"/>
        <s v="MathCrypto produced 15052/15064 blocks; SR: 14.1973, CR: 30.4145"/>
        <s v="Coinstudio produced 15040/15064 blocks; SR: 14.1860, CR: 30.3903"/>
        <s v="Staker Space produced 14810/15064 blocks; SR: 13.9691, CR: 29.9255"/>
        <s v=" Iceberg Nodes  produced 15029/15064 blocks; SR: 14.1756, CR: 30.3680"/>
        <s v="ParaNodes.io produced 15018/15064 blocks; SR: 14.1653, CR: 30.3458"/>
        <s v="LuckyFriday.io produced 14972/15064 blocks; SR: 14.1219, CR: 30.2529"/>
        <s v="BESTVALIDATOR | ZURICH produced 15044/15064 blocks; SR: Invul:0, CR: 30.3983"/>
        <s v="Mile produced 15057/15064 blocks; SR: Invul:0, CR: 30.4246"/>
        <s v="Stake Plus produced 15061/15064 blocks; SR: Invul:0, CR: 30.4327"/>
        <s v="YellowFin Tuna produced 15064/15064 blocks; SR: Invul:0, CR: 30.4388"/>
        <s v="ExtraCoin produced 15027/15064 blocks; SR: Invul:0, CR: 30.3640"/>
        <s v="Polkadotters produced 15007/15064 blocks; SR: 14.1549, CR: 30.3236"/>
        <s v="2/5 hosting fee for supporting relay chain RPC instances and for curator instance @ $40.0000"/>
        <s v="Reward for curator (Tim Janssen) as a portion from total 467.1867"/>
        <s v="Reward for curator (pastaMan) as a portion from total 467.1867"/>
        <s v="Reward for curator (frankywild) as a portion from total 467.1867"/>
        <s v="turboflakes.io produced 15051/15067 blocks; SR: 14.1936, CR: 30.4064"/>
        <s v="YellowFin Tuna produced 15032/15067 blocks; SR: 14.1756, CR: 30.3681"/>
        <s v="Mile produced 15067/15067 blocks; SR: 14.2086, CR: 30.4388"/>
        <s v="LuckyFriday.io produced 14948/15067 blocks; SR: 14.0964, CR: 30.1984"/>
        <s v="Staker Space produced 14841/15067 blocks; SR: 13.9955, CR: 29.9822"/>
        <s v="ParaNodes.io produced 14988/15067 blocks; SR: 14.1341, CR: 30.2792"/>
        <s v="Sik | crifferent.de produced 15057/15067 blocks; SR: Invul:0, CR: 30.4186"/>
        <s v="openbitlab produced 15045/15067 blocks; SR: Invul:0, CR: 30.3943"/>
        <s v=" Iceberg Nodes  produced 15052/15067 blocks; SR: Invul:0, CR: 30.4085"/>
        <s v="Stakeworld.io produced 15051/15067 blocks; SR: Invul:0, CR: 30.4064"/>
        <s v="Polkadotters produced 15021/15067 blocks; SR: Invul:0, CR: 30.3458"/>
        <s v="Chris-Staking produced 15043/15067 blocks; SR: 14.1860, CR: 30.3903"/>
        <s v="1/5 hosting fee for supporting relay chain RPC instances and for curator instance @ $40.0000"/>
        <s v="Reward for curator (Tim Janssen) as a portion from total 467.1751"/>
        <s v="Reward for curator (pastaMan) as a portion from total 467.1751"/>
        <s v="Reward for curator (frankywild) as a portion from total 467.1751"/>
        <s v="Sik | crifferent.de produced 15062/15073 blocks; SR: 14.1983, CR: 30.4165"/>
        <s v="Stakeworld.io produced 15032/15073 blocks; SR: 14.1700, CR: 30.3560"/>
        <s v="Mile produced 15053/15073 blocks; SR: 14.1898, CR: 30.3984"/>
        <s v="YellowFin Tuna produced 15040/15073 blocks; SR: 14.1775, CR: 30.3721"/>
        <s v="Polkadotters produced 15024/15073 blocks; SR: 14.1625, CR: 30.3398"/>
        <s v=" Iceberg Nodes  produced 15033/15073 blocks; SR: 14.1709, CR: 30.3580"/>
        <s v="turboflakes.io produced 15073/15073 blocks; SR: Invul:0, CR: 30.4388"/>
        <s v="LuckyFriday.io produced 15007/15073 blocks; SR: Invul:0, CR: 30.3055"/>
        <s v="DPSTK produced 14950/15073 blocks; SR: Invul:0, CR: 30.1904"/>
        <s v="Staker Space produced 14826/15073 blocks; SR: Invul:0, CR: 29.9400"/>
        <s v="ParaNodes.io produced 15058/15073 blocks; SR: Invul:0, CR: 30.4085"/>
        <s v="STKD.IO produced 14997/15073 blocks; SR: 14.1370, CR: 30.2853"/>
        <s v="Payment to Protofire for Multisig Milestone 2"/>
        <s v="Lunar Strategy Invoice 2024/03/07 (Binance EMA 7 days = 10.388 USDT) - excess DOT due to increase in price must be returned"/>
        <s v="EVOX Invoice INV041 (Binance EMA 7 days = 9.28 USDT) - excess DOT due to change in price must be returned"/>
        <s v="Task 5 - Febraury 2024 - ShakurHarun"/>
        <s v="Task 5 - Febraury 2024 - Sirjey"/>
        <s v="Task 5 - Febraury 2024 - Michelle"/>
        <s v="One time task - February 2024 - LV555"/>
        <s v="Outreach track (Content creation) grizzlyadams"/>
        <s v="Outreach track (Account Manager) grizzlyadams"/>
        <s v="Outreach track(content creation)- February 2024- Maarmapa"/>
        <s v="Outreach track(content creation)- February 2024- _ecardo5o"/>
        <s v="Outreach track(Biz dev)- February 2024- Kamala"/>
        <s v="Outreach track(social media)- February 2024- Maarmapa"/>
        <s v="Outreach track(social media)- February 2024- _ecardo5o"/>
        <s v="Detection/Takedown of phishing sites-February 2024- TimJanssen"/>
        <s v="Detection/Takedown of phishing sites-February 2024- Pastaman"/>
        <s v="Detection/Takedown of phishing sites-February 2024-Frankywild"/>
        <s v="General Curation- February 2024- Cappex"/>
        <s v="General Admin- February 2024- Cmalize"/>
        <s v="Educational Track Management- February 2024- Maarmapa"/>
        <s v="maintenance of phishing repo Tim Janssen Februray 2024"/>
        <s v="maintenance of phishing repo PastaMan Februray 2024"/>
        <s v="maintenance of phishing repo frankywild Februray 2024"/>
        <s v="General curation Abdulbee February 2024"/>
        <s v="General administration PastaMan Februray 2024"/>
        <s v="Track management of admin/op track Abdulbee February 2024"/>
        <s v="Logo brand kit - Ecardo"/>
        <s v="General curation - February 2024 - Kamala"/>
        <s v="general administration - February 2024 - Paradox"/>
        <s v="Reactive track management - February 2024 - Tim Janssen"/>
        <s v="General Curator Reward - Febuary 2024 - Grizzly "/>
        <s v="Administrative Operation track - Febuary 2024 - Grizzly"/>
        <s v="Administrative Operation track - Febuary 2024 - FrankyWild"/>
        <s v="Management Overhead for Interlay Team"/>
        <s v="Integration for INTR, BNC, ACA, KILT, ASTR, HDX, Total: 47250 USD"/>
        <s v="Legal and compliance check for Batch 1"/>
        <s v="Moderation team bounty - February 2024 - Tim Janssen"/>
        <s v="Moderation team bounty - February 2024 - Pastaman"/>
        <s v="Moderation team bounty - February 2024 - Mister_cole"/>
        <s v="Moderation team bounty - February 2024 - LV"/>
        <s v="Moderation team bounty - February 2024 - Grizzly"/>
        <s v="Moderation team bounty - February 2024 - Frankywild"/>
        <s v="Moderation team bounty - February 2024 - Cappex"/>
        <s v="Moderation bounty- February 2024- Paradox"/>
        <s v="Moderation Bounty- February 2024- Muddlebee"/>
        <s v="Moderation Bounty- February 2024- MC"/>
        <s v="Moderation Bounty- February 2024-Maarmapa"/>
        <s v="Moderation Bounty- February 2024- Gr33Hatt3R"/>
        <s v="Moderation bounty- February 2024- Abdulbee"/>
        <s v="Meetup Beyond ETFs: Navigating the Digital Asset Management space with Scytale Digital Rewards - Patrik Kogaj - Ljubljana, Slovenia"/>
        <s v="CryptoVendimia - Marmaapa and Matt Santo - Mendoza"/>
        <s v="ETHTaipei - James Shih - Taiwan"/>
        <s v="OnChain Brazil - Gabriella Mena Ogusuku - Sao Paolo"/>
        <s v="peaq-srl-2402"/>
        <s v="CultureDot - Polkadot IRL Campaign #3 - Zurich Airport (Binance MA 25 days = 7.2 USDT - excess DOT due to change in price must be returned)"/>
        <s v="Base payment for six Curators"/>
        <s v="NFT Biarritz - G'Expect Chaos - Biarritz, France"/>
        <s v="DOT Hong Kong Day, Volitility Reimbursement - Vincent Chan - Hong Kong"/>
        <s v="2023 Q4 Curator Awards - Mark"/>
        <s v="2023 Q4 Curator Awards - Zoe"/>
        <s v="2023 Q4 Curator Awards - Hutch"/>
        <s v="2023 Q4 Curator Awards - WebZero"/>
        <s v="2023 Q4 Curator Awards - ChaosDAO"/>
        <s v="Meetup Blockchain for Beginners Refund - Torsten Schenk - Berlin, Germany"/>
        <s v="Meetup Polkadot Nigeria - Chidi Olisa - Nigeria"/>
        <s v="Meetup Polkadot Munchen Refund - Saro Posa - Munchen, Germany"/>
        <s v="Berlin Satellite event Refund &amp; Rewards - Simon Leon - Berlin, Germany"/>
        <s v="Meetup Ljubljana: 50 Shades of NFTs - w3n:patrik - Ljubljana, Slovenia"/>
        <s v="Build on Polkadot: W3transfer - Apillon and ecosystem teams - Europe"/>
        <s v="Smart City 2024 - Parachainboy and Gabekoin - Curitiba, Brazil"/>
        <s v="moonbeam-srl-2401"/>
        <s v="invarch-srl-2402"/>
        <s v="EVOX Invoice Receipt-12 (Binance EMA 7 days = 7.275 USDT)"/>
        <s v="Bounty 11 data gathering - Maccala"/>
        <s v="Bounty 11 data gathering - Abujulaibib"/>
        <s v="Reimbursement For Marketing Bounty Prev Expenses (Binance EMA 7 days = 7.052 USDT)"/>
        <s v="Portion of un-budgeted VMs for Curators and Relay-chains: $60.00"/>
        <s v="Fund of multisig and pure proxy account"/>
        <s v="Reward for curator (Tim Janssen) as a portion from total 638.4020"/>
        <s v="Reward for curator (pastaMan) as a portion from total 638.4020"/>
        <s v="Reward for curator (frankywild) as a portion from total 638.4020"/>
        <s v="Polkadotters produced 15763/15804 blocks; SR: 15.2372, CR: 43.9709"/>
        <s v="MathCrypto produced 15798/15804 blocks; SR: 15.2711, CR: 44.0685"/>
        <s v="Coinstudio produced 15766/15804 blocks; SR: 15.2401, CR: 43.9792"/>
        <s v="Staker Space produced 15742/15804 blocks; SR: 15.2169, CR: 43.9123"/>
        <s v=" Iceberg Nodes  produced 15776/15804 blocks; SR: 15.2498, CR: 44.0071"/>
        <s v="ParaNodes.io produced 15804/15804 blocks; SR: 15.2769, CR: 44.0852"/>
        <s v="LuckyFriday.io produced 15760/15804 blocks; SR: 15.2343, CR: 43.9625"/>
        <s v="BESTVALIDATOR | ZURICH produced 15770/15804 blocks; SR: Invul:0, CR: 43.9904"/>
        <s v="Mile produced 15788/15804 blocks; SR: Invul:0, CR: 44.0406"/>
        <s v="Stake Plus produced 15794/15804 blocks; SR: Invul:0, CR: 44.0573"/>
        <s v="YellowFin Tuna produced 15776/15804 blocks; SR: Invul:0, CR: 44.0071"/>
        <s v="ExtraCoin produced 15745/15804 blocks; SR: Invul:0, CR: 43.9207"/>
        <s v="Reward for curator (Tim Janssen) as a portion from total 638.3268"/>
        <s v="Reward for curator (pastaMan) as a portion from total 638.3268"/>
        <s v="Reward for curator (frankywild) as a portion from total 638.3268"/>
        <s v="LuckyFriday.io produced 16496/16496 blocks; SR: Invul:0, CR: 44.0852"/>
        <s v="DPSTK produced 16461/16496 blocks; SR: Invul:0, CR: 43.9917"/>
        <s v="Staker Space produced 16458/16496 blocks; SR: Invul:0, CR: 43.9837"/>
        <s v="ParaNodes.io produced 16473/16496 blocks; SR: Invul:0, CR: 44.0238"/>
        <s v="STKD.IO produced 16443/16496 blocks; SR: 15.2278, CR: 43.9436"/>
        <s v="Sik | crifferent.de produced 16486/16496 blocks; SR: 15.2676, CR: 44.0585"/>
        <s v="Stakeworld.io produced 16455/16496 blocks; SR: 15.2389, CR: 43.9757"/>
        <s v="Mile produced 16492/16496 blocks; SR: 15.2732, CR: 44.0745"/>
        <s v="YellowFin Tuna produced 16479/16496 blocks; SR: 15.2611, CR: 44.0398"/>
        <s v="Polkadotters produced 16479/16496 blocks; SR: 15.2611, CR: 44.0398"/>
        <s v=" Iceberg Nodes  produced 16458/16496 blocks; SR: 15.2417, CR: 43.9837"/>
        <s v="turboflakes.io produced 16345/16496 blocks; SR: Invul:0, CR: 43.6817"/>
        <s v="Sik | crifferent.de produced 16473/16490 blocks; SR: Invul:0, CR: 44.0398"/>
        <s v="Reward for curator (Tim Janssen) as a portion from total 638.5667"/>
        <s v="Reward for curator (pastaMan) as a portion from total 638.5667"/>
        <s v="Reward for curator (frankywild) as a portion from total 638.5667"/>
        <s v="openbitlab produced 16490/16490 blocks; SR: Invul:0, CR: 44.0852"/>
        <s v=" Iceberg Nodes  produced 16464/16490 blocks; SR: Invul:0, CR: 44.0157"/>
        <s v="Stakeworld.io produced 16483/16490 blocks; SR: Invul:0, CR: 44.0665"/>
        <s v="Polkadotters produced 16461/16490 blocks; SR: Invul:0, CR: 44.0077"/>
        <s v="Chris-Staking produced 16458/16490 blocks; SR: 15.2472, CR: 43.9997"/>
        <s v="turboflakes.io produced 16373/16490 blocks; SR: 15.1685, CR: 43.7724"/>
        <s v="YellowFin Tuna produced 16480/16490 blocks; SR: 15.2676, CR: 44.0585"/>
        <s v="Mile produced 16487/16490 blocks; SR: 15.2741, CR: 44.0772"/>
        <s v="LuckyFriday.io produced 16478/16490 blocks; SR: 15.2658, CR: 44.0532"/>
        <s v="Staker Space produced 16447/16490 blocks; SR: 15.2370, CR: 43.9703"/>
        <s v="ParaNodes.io produced 16469/16490 blocks; SR: 15.2574, CR: 44.0291"/>
        <s v="Lunar Strategy Invoice 2024-02-09 (Binance EMA 7 days = 7.052 USDT)"/>
        <s v="Task 1 - jan 2024 - Tim"/>
        <s v="Task 1 - jan 2024 - Pastaman"/>
        <s v="Task 1 - jan 2024 - Frankywild"/>
        <s v="Task 1 - Jan 2024 - Tim Janssen"/>
        <s v="Task 5 - January 2024 - Sirjey"/>
        <s v="Task 5 - January 2024 - ShakurHarun"/>
        <s v="Task 5 - Janaury 2024 - Michelle"/>
        <s v="Task 5 - January 2024 - Frankywild"/>
        <s v="astar-zellic-2401"/>
        <s v="Payment to Archisinal for Milestone 2 + Base Payment for Four Curators"/>
        <s v="General Curation-January 2024- Kamala"/>
        <s v="General Administration- January 2024- Paradox"/>
        <s v="Reactive Track Management-January 2024- TimJanssen"/>
        <s v="alina for email set-up"/>
        <s v="frankywild for email set-up"/>
        <s v="Repo Mainetenance- January 2024- TimJanssen"/>
        <s v="Repo Mainetenance- January 2024- Pastaman"/>
        <s v="Repo Mainetenance- January 2024- FrankyWild"/>
        <s v="abdulbee General curation January 24"/>
        <s v="cmalize General administration January 24"/>
        <s v="pastaMan General administration January 24"/>
        <s v="Maarmapa educational track January 24"/>
        <s v="abdulbee admin/op track January 24"/>
        <s v="Task 2b-Database for DNS registrars - Tim Janssen - January 2024"/>
        <s v="General Curator- Capppex - January 2024"/>
        <s v="Task 1 - January 2024 - Tim Janssen"/>
        <s v="Task 1 - January 2024 - Pastaman"/>
        <s v="Task 1 - January 2024 - Frankywild"/>
        <s v="General curation - January 2024 - GrizzlyAdams"/>
        <s v="Outreach track management - January 2024 - GrizzlyAdams"/>
        <s v="Proactive track management - January 2024 - Frankywild"/>
        <s v="Typefully reimbursement - Grizz"/>
        <s v="PMEI ETHDenver Closing Party - PMEI - Denver CO"/>
        <s v="The Blockspace at ETHDenver - WebZero - Denver, CO"/>
        <s v="Moderation team bounty-January 2024- Paradox "/>
        <s v="Moderation team bounty- January 2024- Muddlebee"/>
        <s v="Moderation team bounty- January 2024- MC"/>
        <s v="Moderation team bounty- January 2024- Maarmapa"/>
        <s v="Moderation team bounty- January 2024- Gr33nHatt3R"/>
        <s v="Moderation team bounty-January 2024- Abdulbee"/>
        <s v="Moderation team bounty - Jan 2024 - Tim Janssen"/>
        <s v="Moderation team bounty - Jan 2024 - Pastaman"/>
        <s v="Moderation team bounty - Jan 2024 - Mister_Cole"/>
        <s v="Moderation team bounty - Jan 2024 - LV"/>
        <s v="Moderation team bounty - Jan 2024 - Grizzly"/>
        <s v="Moderation team bounty - Jan 2024 - frankywild"/>
        <s v="Moderation team bounty - Jan 2024 - Cappex"/>
        <s v="astar-srl-2312"/>
        <s v="bifrost-oak-2401"/>
        <s v="Task 5 - December 2023 - Tramymsa"/>
        <s v="task 5 - December 2023 - Tim janssen"/>
        <s v="Task 5 - December 2023 - frankywild"/>
        <s v="Polkadot Munchen Meetup - Saro Posa - Munchen, Germany"/>
        <s v="9 Meetups in Hungary - Viktor / Polkadot Hungary - Budapest, Hungary"/>
        <s v="5 Meetups in Bali - Kresna Sucandra - Bali"/>
        <s v="4 Meetups in LATAM - Simonn Leon - Various Countries"/>
        <s v="Polkadot at ETHDenver 2024 - Distractive - Denver, CO"/>
        <s v="PolkadotDevs: MeetUp Series - Vasiliki Tani - Athens/Vienna"/>
        <s v="Exiled Racers Trackmeet - Exiled Racers - NYC, NY"/>
        <s v="hydradx-c4-2401"/>
        <s v="Payment to Lucky Team for Milestone 2"/>
        <s v="t3rn-srl-2401"/>
        <s v="General curation- Dec 2023- Kamala "/>
        <s v="Track management- Dec 2023- Maarmapa"/>
        <s v="Repo Maintenance- December 2023- Pastaman"/>
        <s v="Repo Maintenance- December 2023- TimJanssen"/>
        <s v="Repo Maintenance- December 2023- Franky"/>
        <s v="Task 1 December - Tim"/>
        <s v="Task 1 December - PastaMan"/>
        <s v="Task 1 December - Franky"/>
        <s v="General Curation December - Grizzly"/>
        <s v="Outreach Track December - Grizzly"/>
        <s v="One-Time-Task - December 2023 - Grizzly"/>
        <s v="General Adiminstation -December 2023- Paradox"/>
        <s v="Admin-Op track - December 2023 - FrankyWild"/>
        <s v="Admin-Op track - December 2023 - Abdulbee"/>
        <s v="General Curator - Abdulbee - December 2023"/>
        <s v="General curation - Decembe 2023 - Cappex"/>
        <s v="General Administration - December 2023 - Cmalize"/>
        <s v="General Administration - December 2023 - Pastaman"/>
        <s v="Reactive track management - December 2023 - Tim Janssen"/>
        <s v="acala-c4-2401"/>
        <s v="phala-c4-2401"/>
        <s v="Mod team bounty - December 2023 - LV"/>
        <s v="Mod team bounty - December 2023 - Muddlebee"/>
        <s v="Mod team bounty - December 2023 - Pastaman"/>
        <s v="Mod team bounty - December 2023 - Maarmapa"/>
        <s v="Mod team bounty - December 2023 - Cappex"/>
        <s v="Mod team bounty + curator fees - December 2023 - Abdulbee"/>
        <s v="Mod team bounty + curator fees - December 2023 - Grizzly"/>
        <s v="Mod team bounty - December 2023 - Gr33n"/>
        <s v="Mod team bounty - December 2023 - Tim"/>
        <s v="Mod team bounty - December 2023 - MC"/>
        <s v="Mod team bounty - December 2023 - Frankywild"/>
        <s v="Mod team bounty - December 2023 - Paradox"/>
        <s v="Mod team bounty - December 2023 - Mister_cole"/>
        <s v="Payment to Bright Inventions for Milestone 2"/>
        <s v="Blockchain Sao Paolo difference - Mario Maarmapa - June 2023"/>
        <s v="Monetvideo Meetup Difference - Mario Maarmapa - February 2023"/>
        <s v="Berlin House of Chaos - WebZero - September 2023"/>
        <s v="Sub0 closing Party - WebZero - September 2023"/>
        <s v="KODA. Onchain Exhibition - KodaDot - September 2023"/>
        <s v="NFTs In Prague - KodaDot - June 2023"/>
        <s v="The Future of Polkadot - KodaDot - November 2022"/>
        <s v="Polkadot Bled Mini conf - KodaDot - April 2023"/>
        <s v="Events Bounty Curator Reward - Mark Ryan - May-August 2023"/>
        <s v="Events Bounty Curator Reward - Zoe Mechbach - May-August 2023"/>
        <s v="Polkadot Now India - Rish Kumar - April 2023"/>
        <s v="Soulbound Bali - Kreshna Sucandra - August 2023"/>
        <s v="Task 5- Social media take down rewards- November 2023- TimJanssen"/>
        <s v="curator expenses"/>
        <s v="Task 1 - November 2023 - Tim Janssen"/>
        <s v="Task 1 - November 2023 - Pastaman"/>
        <s v="Task 1 - November 2023 - Frankywild"/>
        <s v="Reactive track management- November 2023- TimJanssen"/>
        <s v="Proactive track Management-November 2023- FrankyWild"/>
        <s v="General curation- November 2023- KamalaImmaculate"/>
        <s v="Outreach track November 2023 Grizzlyadams"/>
        <s v="Educational track October 2023 Maarmapa"/>
        <s v="Admin-Op track November 2023 Abdulbee"/>
        <s v="General curation November 2023 Abdulbee"/>
        <s v="Maintenance of phishing repo - November 2023 - Pastaman"/>
        <s v="Maintenance of phishing repo - November 2023 - Frankywild"/>
        <s v="Maintenance of phishing repo - November 2023 - Tim Janssen"/>
        <s v="General curation reward - Grizzly - November 2023"/>
        <s v="General Admin reward - Cmalize - November 2023"/>
        <s v="General Admin reward - Pastaman - November 2023"/>
        <s v="General Curator - Cappex - November 2023"/>
        <s v="General Administration Task - Paradox - November 2023"/>
        <s v="Java Host (Fruzhin) Phase 2 child bounty 1st tranche"/>
        <s v="Moderation team bounty - November 2023 - Tim Janssen"/>
        <s v="Moderation team bounty - November 2023 - Frankywild"/>
        <s v="Moderation team bounty - November 2023 - Pastaman"/>
        <s v="Moderation team bounty - November 2023 - Mister_cole"/>
        <s v="Moderation team bounty - November 2023 - LV"/>
        <s v="Moderation team bounty - November 2023 - Cappex"/>
        <s v="Moderation bounty- November 2023- Paradox"/>
        <s v="Moderation bounty- November 2023- Muddlebee"/>
        <s v="Moderation bounty- November 2023- MC"/>
        <s v="Moderation bounty- November 2023- Maarmapa"/>
        <s v="Moderation bounty- November 2023- Gr33nHatt3r"/>
        <s v="GrizzlyAdams[3/75]#4892 - Curator Reward - November 2023"/>
        <s v="abdulbee#4681 - Curator Reward - November 2023"/>
        <s v="Payment to Starlay Finance for Milestone 2"/>
        <s v="Payment to Decentralized Oracles - Milestone 1 - VRF"/>
        <s v="Maintenance of repo- October 2023- TimJanssen"/>
        <s v="Maintenance of repo- October 2023- Frankywild"/>
        <s v="Maintenance of repo- October 2023- Pastaman"/>
        <s v="Task 2b (DNS registrars) - October 2023 - Tim Janssen"/>
        <s v="Task 5 - October 2023 Tim Janssen"/>
        <s v="Task 1 - October 2023 - Frankywild"/>
        <s v="Task 1 - October 2023 - Tim Janssen"/>
        <s v="Task 1 - October 2023 - Pastaman"/>
        <s v="General Curation- Oct 2023- Kamala"/>
        <s v="General Administration- Oct 2023- Cmalize"/>
        <s v="one-time-task- Maarmapa- October 2023"/>
        <s v="General Curator- Grizzly- October 2023"/>
        <s v="General administration Task- FrankyWild- October 2023"/>
        <s v="General administration Task- Pastaman - October 2023"/>
        <s v="Payment to Oak Security for Starlay Finance Security Audit"/>
        <s v="Website hosting October 2023 frankywild"/>
        <s v="General curation October 2023 abdulbee"/>
        <s v="General administration October 2023 Tim Janssen"/>
        <s v="General administration October 2023 abdulbee"/>
        <s v="Payment to Archisinal for Milestone 1"/>
        <s v="Educational track management - Maarmapa - September and October 2023"/>
        <s v="General curation - Cappex - October 2023"/>
        <s v="Moderation team bounty- Oct 2023- Tim Janssen"/>
        <s v="Moderation team bounty- Oct 2023- PastaMan"/>
        <s v="Moderation team bounty- Oct 2023- Mister_Cole"/>
        <s v="Moderation team bounty- Oct 2023- LV"/>
        <s v="Moderation team bounty- Oct 2023- FrankyWild"/>
        <s v="Moderation team bounty- Oct 2023- Cappex"/>
        <s v="Moderation Team reward - October 2023 - Bounty Curator GrizzlyAdams"/>
        <s v="Moderation Team reward - October 2023 - Bounty Curator abdulbee"/>
        <s v="Moderation team bounty - october 2023 - Paradox"/>
        <s v="Moderation team bounty - october 2023 - Mudlebee"/>
        <s v="Moderation team bounty - october 2023 - MC"/>
        <s v="Moderation team bounty - october 2023 - Maarmapa"/>
        <s v="Moderation team bounty - october 2023 - Gr33n"/>
        <s v="Payment to ChainIDE + Polkaholic for Milestone 1"/>
        <s v="Payment to Starlay Finance for Milestone 1-1 and 1-2"/>
        <s v="Payment to Protofire for Milestone 1"/>
        <s v="Payment to Bright Inventions for Milestone 1"/>
        <s v="The second tranche of the Fruhzin/Limechain"/>
        <s v="Moderation team bounty - 1/2August + September - Tim Janssen"/>
        <s v="Moderation team bounty - 1/2August + September - Paradox"/>
        <s v="Moderation team bounty - 1/2August + September - MisterCole"/>
        <s v="Moderation team bounty - 1/2August + September - Maarmapa"/>
        <s v="Moderation team bounty - 1/2August + September - Gr33n"/>
        <s v="Moderation team bounty - 1/2August + September - Cappex"/>
        <s v="Moderation team bounty/curation - 1/2August + September - GrizzlyAdams"/>
        <s v="Moderation team bounty/curation - 1/2August + September - Abdulbee"/>
        <s v="Moderation team bounty - 1/2August + September - PastaMan"/>
        <s v="Moderation team bounty - 1/2August + September - Mudlebee"/>
        <s v="Moderation team bounty - 1/2August + September - MC"/>
        <s v="Moderation team bounty - 1/2August + September - LV"/>
        <s v="Moderation team bounty - 1/2August + September - Frankywild"/>
        <s v="Fintech Summit Online Sponsorship - Petr Mensik - Czech Republic"/>
        <s v="Cryto Expo Milan - Patrizia De Bella - Milan"/>
        <s v="Polkadot Championship 2023 - David Pethes - Budapest"/>
        <s v="Hackadot 2023 -  Sang-Hyun Rhee - South Korea"/>
        <s v="Payment to OpenZeppelin for OpenBrush security review"/>
        <s v="Payment to MuFi for achitecture milestone"/>
        <s v="Task 5 - Social Media Takedown - September 2023- FrankyWild"/>
        <s v="Task 5 - Social Media Takedown - September 2023- Tim Janssen"/>
        <s v="Test transaction to Facilitator address"/>
        <s v="Task 1 rewards- September 2023- TimJanssen"/>
        <s v="Task 1 rewards- September 2023- Frankywild"/>
        <s v="Task 1 rewards- September 2023- Pastaman"/>
        <s v="Task 2b (DNS registrars) - September 2023 - Tim Janssen"/>
        <s v="General Curation- September 2023- Kamala "/>
        <s v="General Administration-September 2023- CMalize"/>
        <s v="General Curator Rewad - September 2023 - Grizzly"/>
        <s v="General Adim Task - September 2023 - FrankyWild "/>
        <s v="General Admin Task - September 2023 - PastaMan"/>
        <s v="Maintenance of Phishing repo - September 2023 - Tim Janssen"/>
        <s v="Maintenance of Phishing repo - September 2023 - Pastaman"/>
        <s v="Maintenance of Phishing repo - September 2023 - Frankywild"/>
        <s v="General Curator reward - September 2023 - Cappex"/>
        <s v="General Admin bounty - September 2023 - Paradox"/>
        <s v="General Curator Reward - Abdulbee - September 2023"/>
        <s v="General Adminstration task reward - Tim - September 2023"/>
        <s v="General Adminstration task reward - Abdulbee - September 2023"/>
        <s v="Polkadot @Messari Mainnet - W3F - New York City"/>
        <s v="DOT HK Day - Vincent Chan - Honk Kong"/>
        <s v="Sub0 Closing Party - WebZero - Lisbon"/>
        <s v=" Cosmoverse sponsorship - Istanbul - Composable finance"/>
        <s v="EthRome sponsorship and hackathon - Rome- Pepe Senior Ambassador"/>
        <s v="Sub0 opening party - Lisbon - WebZero"/>
        <s v=" Sub0 breakfast - Lisbon - Aurora KodaDot"/>
        <s v="Mainnet New York - Polkadot and Frens Dinner - AJ and Dillon"/>
        <s v="Cosmoverse sponsorship - Istanbul - Composable finance "/>
        <s v="Sub0 breakfast - Lisbon - Aurora KodaDot"/>
        <s v="EthRome sponsorship and hackathon - Rome- Pepe Senior Ambassador "/>
        <s v="Task 5 Reward- Tim Janssen- August 2023"/>
        <s v="Task 5 Reward-FrankyWild- August 2023"/>
        <s v="Task 1 Reward- Tim Janssen"/>
        <s v="Task 1 Reward- PastaMan"/>
        <s v="Task 1 FrankyWild- August 2023"/>
        <s v="Task 1 Rward - PastaMan-August 2023"/>
        <s v="Task 1 Reward- FrankyWild- August 2023"/>
        <s v="Task 2b (DNS registrars) - August 2023 - Tim Janssen"/>
        <s v="General Curator Reward- Cappex-August 2023"/>
        <s v="Maintenance of phishing repo- pastaMan#9738- August 2023 "/>
        <s v="Maintenance of phishing repo- frankywild#8573- August 2023"/>
        <s v="Maintenance of phishing repo- Tim Janssen (Won't DM)#8682- August 2023"/>
        <s v="General Curation- Kamala Immaculate#5476- August 2023"/>
        <s v="General curation abdulbee - august 2023"/>
        <s v="General administration cmalize - august 2023"/>
        <s v="General administration frankywild - august 2023"/>
        <s v="General administration abdulbee - august 2023"/>
        <s v="General Curation - August 2023 - Grizzly"/>
        <s v="General Administration - August 2023 - Tim Janssen"/>
        <s v="General Administration - August 2023 - Pastaman"/>
        <s v="House of Chaos - Berlin Blockchain Week - WebZero"/>
        <s v="Polkadot @ Blockchain Rio 2023 - Sept 12-14, 2023 - John Rhodel"/>
        <s v="Events Bounty Curator Reward - Mark Ryan - Jan-April 2023"/>
        <s v="Events Bounty Curator Reward - Zoe Mechbach - Jan-April 2023"/>
        <s v="Polkadot Prodigy Hackathon - Georgi Ivanov - September 2023"/>
        <s v="Web3Foundation - Wanxiang Blockchain Week - September 2022"/>
        <s v="Polkadot @ Bali Blockchain Week SOULBOUND - Kresna Sucandra - August 22-23"/>
        <s v="General Curator Rewards- July 2023- Cmalize "/>
        <s v="General Curator Rewards- July 2023- Pastaman"/>
        <s v="General Curator Rewards- July 2023- Kamala"/>
        <s v="Task 1 rewards- July 2023- Tim Janssen"/>
        <s v="Task 1 rewards- July 2023- FrankyWild"/>
        <s v="Task 1 rewards- July 2023- Pastaman"/>
        <s v="Task 5 - Taking down sites - July 2023 reward - FrankyWild"/>
        <s v="Task 5- Taking down sites - Jully 2023  reward - Tim"/>
        <s v="Task 1 Rewards- July 2023- Cmalize"/>
        <s v="Task 1 Rewareds- July 2023- Tim Janssen"/>
        <s v="Task 11 - July 2023 - Tim Janssen"/>
        <s v="Task 11 - July 2023 - Pastaman"/>
        <s v="Task 11 - July 2023 - Frankywild"/>
        <s v="General Admin Task -July 2023 - Tim"/>
        <s v="General Admin Task - July 2023 - Paradox"/>
        <s v="General Curator reward -July 2023 - Cappex"/>
        <s v="General Curator Reward - Abdulbee - July 2023"/>
        <s v="General Adminstration task reward - Franky - July 2023"/>
        <s v="General Adminstration task reward - Abdulbee - July 2023"/>
        <s v="Task 7 - Milestone 5 (Editing/proofreading) - Michelle"/>
        <s v="Task 7 - milestone 5 (slides) - Paradox"/>
        <s v="Task 7 - milestone 5 (article) - Javier"/>
        <s v="Task 7 - milestone 5 - Video + task management - maarmaapa"/>
        <s v="Task 7 - Milestone 5 (infographic) - cmalize"/>
        <s v="Task 7 - Milestone 5 (Quiz) - Tim janssen"/>
        <s v="Task 2b - July 2023 - Tim Janssen"/>
        <s v="GC reward - July 2023 - Grizzly"/>
        <s v="PBA Closing Party - San Fransisco, USA - Oak Network"/>
        <s v="Blockchain Futurist Conf. Side Event with PizzaDAO - Toronto, Canada - AJ Recana"/>
        <s v="Protocol Berg, 2023 - Kreuzberg, Berlin -Raul Romanutti "/>
        <s v="Web3 Hackfest 2023 - Ho Chi Minh, Vietnam - Subwallet Team"/>
        <s v="Polkadot Meetup Ljubljana - June 15 - Patrik Kogoj "/>
        <s v="Web3 Weekends Tashkent - March 2023 - Alex Morozov "/>
        <s v="Polkadot Meetup in Montevideo - February 23 - Mario Maldonado"/>
        <s v="Performance Improvements for Reed Solomon Erasure Coding - M1"/>
        <s v="Polkadot Meetup in Bulgaria - June 17 - Kristiyan G"/>
        <s v="Polkadot Meetup in Munich #5 - June 2nd - Saro Posa"/>
        <s v="Polkadot Meetup in Zug - May 31 - David Bakk"/>
        <s v="sub0 side event closing party - 2nd allocation - November 28, 2022"/>
        <s v="PBA Opening Pary - Nodle and PolkaHaus - San Fransisco, CA"/>
        <s v="Task 11 - June 2023 - Tim Janssen"/>
        <s v="Task 11 - June 2023 - Pastaman"/>
        <s v="Task 11 - June 2023 - Frankywild"/>
        <s v="Task 5 June 2023 - FrankyWild"/>
        <s v="Task 5 June 2023 - Tim"/>
        <s v="General Adminstartion Task - frankywild"/>
        <s v="General Adminstartion Task - Abdulbee"/>
        <s v="Task 10 - June 2023 - Abdulbee"/>
        <s v="General Curator Reward - Grizzly - June 2023"/>
        <s v="General Adminstration task reward - Tim Janssen - June 2023"/>
        <s v="General Adminstration task reward - Paradox - June 2023"/>
        <s v="General Administration Task Reward- Pastaman- June 2023"/>
        <s v="General Administration Task Reward- CMalize- June 2023"/>
        <s v="General Administration Task Reward- Kamala- June 2023"/>
        <s v="Task 10 - June 2023 - Cappex"/>
        <s v="Task 2b - June 2023 - Tim Janssen"/>
        <s v="Task 1 - June 2023 - Tim Janssen"/>
        <s v="Task 1 - June 2023 - Frankywild"/>
        <s v="Task 1 - June 2023 - Pastaman"/>
        <s v="ParisDotComm 2023 - 2nd allocation - July 18-20"/>
        <s v="Social Hour @ Polkadot Decoded 2023 - June 27 - Zoe Meckbach"/>
        <s v="Panel and Networking Event for the Polkadot Ecosystem - Polkadot Decoded Side Event - June 29 - WebZero"/>
        <s v="Polkadot in Blockchain Sao Paulo - Eduardo Cardoso, Maarapa, and Lui5 - June 2023"/>
        <s v="Decoded 2023 Viewing Party in Sao Paulo, Brazil"/>
        <s v="Decoded 2023 Viewing Party in Stamford Connecticut, USA"/>
        <s v="Decoded 2023 Viewing Party in Budapest, Hungary"/>
        <s v="Decoded 2023 Viewing Party in Belgrade, Serbia"/>
        <s v="Decoded 2023 Viewing Party in Montreal, Quebec, Canada"/>
        <s v="Decoded Viewing Party - Ashley Wright - Toronto Canada"/>
        <s v="Decoded Viewing Party - Tashkent, Uzbekistan - Alex PromoTeam"/>
        <s v="Decoded Viewing Party - Rio de Janeiro - Raphael Kling"/>
        <s v="Decoded Viewing Party - Aba Nigeria - Malize fred"/>
        <s v="Polkadot Decoded extraordinary Side Event 2023 - Dubai - Hatem"/>
        <s v="Decoded 2023 Viewing Party in Bali, Indonesia"/>
        <s v="Decoded 2023 Viewing Party in Singapore"/>
        <s v="Decoded 2023 Viewing Party in Goma, DRC"/>
        <s v="Decoded 2023 Viewing Party in Madrid, Spain"/>
        <s v="Decoded 2023 - Viewing Party in Dallas, USA"/>
        <s v="Decoded 2023 - Viewing Party in Makati City, Metro Manila, Philippines"/>
        <s v="Decoded 2023 - Viewing Party in Bangalore, India"/>
        <s v="Decoded 2023 - Viewing Party in Rio Grande, Argentina"/>
        <s v="Decoded 2023 - Makati City, Metro Manila, Philippines"/>
        <s v="Decoded 2023 - Viewing Party in Taipei, Taiwan"/>
        <s v="Decoded 2023 - Viewing Party in Tampa, USA"/>
        <s v="Decoded 2023 - Viewing Party in Coimbatore, India"/>
        <s v="Decoded 2023 - Viewing Party in Indianapolis, USA"/>
        <s v="Decoded 2023 - Viewing Party in Colombo, Sri Lanka"/>
        <s v="Decoded 2023 - Viewing Party in New York City, USA"/>
        <s v="Decoded 2023 - Viewing Party in Kampala, Uganda"/>
        <s v="Decoded 2023 - Viewing Party in Kigali, Rwanda"/>
        <s v="Decoded 2023 - Viewing Party in Mexico City, Mexico"/>
        <s v="Decoded 2023 - Viewing Party in Arusha, Tanzania"/>
        <s v="Decoded 2023 - Viewing Party in Patagonia, Argentina"/>
        <s v="Decoded 2023 - Viewing Party in Omaha, Nebraska, USA"/>
        <s v="Decoded 2023 - Viewing Party in Curitiba, Brazil"/>
        <s v="Decoded 2023 - Viewing Party in Lima, Peru"/>
        <s v="Decoded 2023 - Viewing Party in Monterrey, Mexico"/>
        <s v="Decoded 2023 - Viewing Party in Guadalajara, Mexico"/>
        <s v="Decoded 2023 - Viewing Party in Buenos Aires, Argentina"/>
        <s v="Decoded 2023 - Viewing Party in Helsinki, Finland"/>
        <s v="Polkadot Decoded Satellite Event in Buenos Aires - July 6 - Polkadot Hub LATAM"/>
        <s v="Polkadot Decoded Satellite Event in Hanoi - July 2023 - Trang Nguyen Subwallet Team"/>
        <s v="Polkadot Blockchain Academy: Side Event in San Francisco - March 29, 2023"/>
        <s v="sub0 Side event Closing Party - t3rn - November 28, 2022"/>
        <s v="Polkadot Meetup @ BUIDL Vietnam 2023 - Cris Nguyen - June 26, 2023"/>
        <s v="Polkadot @ NFT Biarritz - August 21 - G'"/>
        <s v="POLKADOT JAPAN TOUR 2023 - June 28 - July 26 - Shunsuke Yoshioka"/>
        <s v="Task 5 May 2023 - Tim"/>
        <s v="Task 11 - May 2023 - Tim Janssen"/>
        <s v="Task 11 - May 2023 - Pastaman"/>
        <s v="Task 11 - May 2023 - Frankywild"/>
        <s v="General Curator Reward - Grizzly - May 2023"/>
        <s v="GC reward - May 2023 - Cappex"/>
        <s v="General Adminstration task reward - Tim Janssen - May 2023"/>
        <s v="General Adminstration task reward - Paradox - May 2023"/>
        <s v="Polkadot Blockchain Academy - Buenos Aires - PolkaSunset 2nd payout"/>
        <s v="ParisDotComm - July - Polkadot Francophonie"/>
        <s v="General Admin Reward-May 2023-Cmalize"/>
        <s v="General Admin Reward-May 2023- Pastaman"/>
        <s v="General Curator Reward- May 2023-Kamala"/>
        <s v="General Adminstration task reward - Abdulbee - May 2023"/>
        <s v="General Curator Reward -  Abdulbee - May 2023"/>
        <s v="General administration reward - May 2023 - Frankywild"/>
        <s v="Task 1 - May 2023 - Tim Janssen"/>
        <s v="Task 1 - May 2023 - Frankywild"/>
        <s v="Task 1 - May 2023 - Pastaman"/>
        <s v="Web3 Foundation - BarCamp - 30 November and 1 December 2022"/>
        <s v="Web3 Foundation - Messari Mainnet - 22 September, 2022"/>
        <s v="Primavera Pro Madrid - PolkaHaus - May 2023"/>
        <s v="Polkadot sponsorship UTXO.23 Prague - June 3 - KodaCon"/>
        <s v="Polkadot Prague - June 5 - KodaCon team"/>
        <s v="NFTs in Prague - KodaCon - June"/>
        <s v="Decoded Viewing Party - Bogota, Colombia - Santiago G."/>
        <s v="Decoded Viewing Party - Hanoi, Vietnam - DJ Ha Trang"/>
        <s v="Decoded Viewing Party - Maracaibo, Venezuela - Arlette S."/>
        <s v="Limechain - Polkadot Java Host"/>
        <s v="6 Polkadot Meetups in Arusha - Danson T. February - November 2022"/>
        <s v="Polkadot Meetup in Medellin - Donatello L. - February 23"/>
        <s v="Introduction to Polkadot's interoperability protocol: XCMP - Viktor V. - March 31"/>
        <s v="Polkadot Hub Meetup oin Bali - Kresna S. - February 16"/>
        <s v="Polkadot Meetup Zagreb - Patrik K. - April 25"/>
        <s v="Polkadot Meetup Ljubljana - Patrik K. - April 12"/>
        <s v="Online event: Polkadot Blockchain Academy Q&amp;A - Dimche R - April 3"/>
        <s v="General administration task - April 2023 - Pastaman"/>
        <s v="Task 7 (Education) - Milestone 4 - Javier"/>
        <s v="Task 7 (Education) - Milestone 4 - Maarmapa"/>
        <s v="Task 7 (Education) - Milestone 4 - cmalize"/>
        <s v="Task 7 (Education) - Milestone 4 - Tim Janssen"/>
        <s v="Task 2b (Database for DNS registrars) - April 2023 - Tim Janssen"/>
        <s v="General Administration reward-Cmalize-April 2023"/>
        <s v="General Curator reward-April 2023- Kamala Immaculate"/>
        <s v="Task 11 - April 2023 - Tim Janssen"/>
        <s v="Task 11 - April 2023 - Pastaman"/>
        <s v="Task 11 - April 2023 - Frankywild"/>
        <s v="General Adminstration task reward - Tim Janssen - April 2023"/>
        <s v="General Adminstration task reward - Paradox - April 2023"/>
        <s v="General Adminstration task reward - FrankyWild - April 2023"/>
        <s v="General Adminstration task reward - Abdulbee - April 2023"/>
        <s v="General Curator Reward -  Abdulbee - April 2023"/>
        <s v="General curator reward - Cappex - April 2023"/>
        <s v="Task 1 (sites takedown) - April 2023 - Tim Janssen"/>
        <s v="Task 1 (sites takedown) - April 2023 - Frankywild"/>
        <s v="Task 1 (sites takedown) - April 2023 - Pastaman"/>
        <s v="HackaDOT 2023 - June 9-11 - Soyoun(Raf)Jung"/>
        <s v="6 Polkadot Meetups in San Francisco with Ecosystem Teams - from April 24 - Yuvia Mendoza"/>
        <s v="Polkadot Workshop in Spanish (Rust, Ink! and Substrate courses) in Mexico City - June 7-9 - Polkadot Hub"/>
        <s v="Polkadot at BlockSplit: sponsorship and side event - May 22-24 - Xylo Drone"/>
        <s v="https://github.com/paritytech/frontier/security/advisories/GHSA-fcmm-54jp-7vf6"/>
        <s v="Polkadot in USe - Denver - 2nd payout - WebZero"/>
        <s v="Polkadot Side event - Austin Consensus - WebZero"/>
        <s v="PolkadotBled Mini-Conference - Damsky  - April 29, 2023"/>
        <s v="6 to 8 Polkadot Meetups in the Adriatic region - Patrik K - From April to August, 2023"/>
        <s v="Paris Blockchain Week: Women in Web3 Dinner - Lea Narzis - Outstanding Reward"/>
        <s v="Task 6- Have different entities add the GH phishing repo to their databases (one-off) milestones 1 +2  rewards -Maarmapa "/>
        <s v="Task 11 - March 2023 - Tim Janssen"/>
        <s v="Task 11 - March 2023 - Pastaman"/>
        <s v="Task 11 - March 2023 - Frankywild"/>
        <s v="Task 7 Milestone 2+3 - Maarmapa "/>
        <s v="Task 7 Milestone 2+3 - Tim Janssen"/>
        <s v="Task 7 - Milestone 2+3 - themanwithoutaame"/>
        <s v="Task 7 - Milestone 2+3 - cmalize"/>
        <s v="Task 7 - Milestone 2+3 - Paradox"/>
        <s v="Task 10 - March 2023 - General Curator rewards - Kamala"/>
        <s v="Academy Open Nights - Jose Belossi (Pepe) - second payout"/>
        <s v="Berlin Blockchain Week - WebZero - second payout"/>
        <s v="Task 10 - March 2023 - General Curator rewards - Mims4life"/>
        <s v="Task 2b- Databases for DNS Registrars March 2023 reward- Tim Janssen"/>
        <s v="Task 10- General curator reward march 2023- Abdulbee"/>
        <s v="Task 1-Detection and takedown of scam/phishing sites march 2023 reward- Tim Janssen"/>
        <s v="Task 1-Detection and takedown of scam/phishing sites march 2023 reward- frankywild"/>
        <s v="Task 1-Detection and takedown of scam/phishing sites march 2023 reward-pastaMan "/>
        <s v="Task 10 (GC Reward) - March 2023 - Cappex"/>
        <s v="Task 5 - March 2023 - Tim Janssen"/>
        <s v="Task 5 - March 2023 - Frankywild"/>
        <s v="Zprize collab winners 3"/>
        <s v="Zprize collab winners 2"/>
        <s v="Zprize collab winners 1"/>
        <s v="Blockchain Week - Rome - May - Marco"/>
        <s v="3 side events during the Polkadot Blockchain Academy in BA - payout difference minus leftover budget"/>
        <s v="Meetup rewards - Polkadot Meetup in Zagreb - February 16 2023 - Patrik K."/>
        <s v="Meetup rewards - 3 Polkadot Meetups in Ljubljana - October - February 2023 - Patrik K."/>
        <s v="Meetup rewards - Polkadot Meetup in Dubai - January 26, 2023 - Angela K."/>
        <s v="2 Polkadot Meetups in Dubai - Angela K. - January 26 and March 4, 2023"/>
        <s v="Beyond The Chain Vietnam: Stepping Into Web3 With Polkadot - April 8, 2023 - Mabel Nguyen"/>
        <s v="ZK Hackathon - Lisbon - Hector "/>
        <s v="Task 2b- Database of DNS Registrars(January and February rewards)- Tim Janssen "/>
        <s v="Task 5- Taking down sites- frankywild-January February"/>
        <s v="Task 5- Taking down sites- Tim Janssen- January and Febuary"/>
        <s v="Polkasunset - Feb 6th, 2023, Jose Belossi"/>
        <s v="EU Ambassador Gathering - Barcelona - Mimi and Albert"/>
        <s v="Lightning Boat - Dam Sky - December 5, 2022"/>
        <s v="Polkadot Side Event during Web3 festival in Hong Kong - Hao Ding - April 11, 2023"/>
        <s v="Task 10- GC- Abdulbee- December, February, January"/>
        <s v="Task 10 General Curator reward (December, January and February)- KANDY"/>
        <s v="Task 11-Maintenance of phishing repo (January and February reward) - Tim Janssen "/>
        <s v="Task 11-Maintenance of phishing repo (January and February reward)- pastaMan "/>
        <s v="Task 11- Maintenance of phishing repo (January and February reward)- frankywild"/>
        <s v="Task 10 (General curator reward) - Second half of February 2022 - Cappex"/>
        <s v="Task 10 (General curator reward) - December 2022, January/February 2023 - Mims4life"/>
        <s v="Rewards for Polkadot World meetup in Madrid - Georgi Ivanov"/>
        <s v="14th Polkadot Hungary Meetup in Budapest - Vktrometer#8040"/>
        <s v="Rewards for Central Asia Polkadot Days - Alex Promoteam"/>
        <s v="1st Meetup at the Polkadot Hub in Bali - Gabor"/>
        <s v="Rewards for 2 Polkadot Meetups in Munich - Saro Posa"/>
        <s v="13th Polkadot Meetup in Hungary - Vktrometer#8040"/>
        <s v="Rewards for Introduction of Polkadot in Kigali City - Joab Niwagaba"/>
        <s v="Rewards for 2 Meetups in Colombia - Simon Leon"/>
        <s v="Task 1 (sites takedown) - January and February 2023 - Tim Janssen"/>
        <s v="Task 1 (sites takedown) - January and February 2023 - Frankywild"/>
        <s v="Task 1 (sites takedown) - January and February 2023 - Pastaman"/>
        <s v="Paris Blockchain Week: Women in Web3 Dinner - March 23 - Lea Narzis"/>
        <s v="MetTel Innovation Summit 2023: Polkadot Sponsorship - April 25 - Alan Vey"/>
        <s v="Polkadot Meetup Feb. 11, 2023 - Central Asia - Alex PromoTeam"/>
        <s v="The Future of Polkadot event - Sub0 - November 30, 2022"/>
        <s v="Polkadot World 2nd Edition - Feb. 24 in Madrid - Rossmarie and Georgi"/>
        <s v="Bounty Curator Fee: September - December 2022 - Mark Ryan"/>
        <s v="Bounty Curator Fee: September - December 2022 - Zoe Meckbach"/>
        <s v="Polkadot meetup in Soroti - Sept. 17, 2022 - Okot Joshua"/>
        <s v="Polkadot in USe - EthDenver side event - by WebZero"/>
        <s v="Polkadot Event Mexico City - Cesar Garcia Escobedo - Aug 20-22, 2022"/>
        <s v="Academy Open Nights - Jose Belossi (Pepe) - Jan 19th, 25th, and Feb 1st, 2023"/>
        <s v="Polkadot Meetups in Goma - Abraham Mugisha - Jan.30 -&gt; Sept 31 2022"/>
        <s v="Polkadot Meetups in Gulu - Brian Ahimbisibwe - Jan.30 - April 3 - June 12 2022"/>
        <s v="Bond for Anti-Scam bounty top-up"/>
        <s v="Task 5 - December 2022 - Tim Janssen"/>
        <s v="Task 5 - December 2022 - Frankywild"/>
        <s v="Task 1: Detection and takedown of scam/phishing sites -December 2022 - Tim Janssen"/>
        <s v="Task 1: Detection and takedown of scam/phishing sites -December 2022 -frankywild"/>
        <s v="Task 1: Detection and takedown of scam/phishing sites -December 2022 - pastaMan"/>
        <s v="Task 11 - December 2022 - Tim Janssen"/>
        <s v="Task 11 - December 2022 - PastaMan"/>
        <s v="Task 11 - December 2022 - frankywild"/>
        <s v="Task 2b- Database of DNS registrars- Tim Janssen- December 2022"/>
        <s v="Polkadot World - Madrid - Albert - 2nd payout"/>
        <s v="Polkadot Metaverse Olympics - Budapest - Six - second payout"/>
        <s v="3 side events during the Polkadot Blockchain Academy in BA"/>
        <s v="Task 2b (Database for DNS registrars) - November 2022 - Tim Janssen"/>
        <s v="Task 10 (General curator reward) - November 2022 - Abdulbee"/>
        <s v="Task 5 - Fixed child curator reward - November 2022 - Mims4life"/>
        <s v="Task 10 (General curator reward) - November 2022 - Kamala Immaculate"/>
        <s v="Polkadot Unbounded in BKK - Demember 10th - Phala and Polkadot Ambassadors"/>
        <s v="Task 11: Maintenance of phishing repo- Tim Janssen"/>
        <s v="Task 11: Maintenance of phishing repo- pastaMan"/>
        <s v="Task 11: Maintenance of phishing repo- frankywild"/>
        <s v="Task 10 (General curator reward) - November 2022 - Mims4life"/>
        <s v="Task 1 - November 2022 - Tim Janssen"/>
        <s v="Task 1 - November 2022 - Frankywild"/>
        <s v="Task 1 - November 2022 - Pastaman"/>
        <s v="reimbursement of funds for setting up anti-scam executive team accounts - Frankywild"/>
        <s v="Polkadot Meetups in Madrid - July 18 and Sept 1 - Guillermo and Rossmarie"/>
        <s v="Polkadot Meetup in Mexico - December 17 - Polkadot Mexico"/>
        <s v="Polkadot LATAM Day - December 15 - Mario Maldonado"/>
        <s v="ParisDotComm - July 29-21, 2022 - Team rewards (part 2 - issue with plancks on child bounty 93)"/>
        <s v="ParisDotComm - July 29-21, 2022 - Team rewards"/>
        <s v="Sub0 Opening Event - Lisbon - 27th November 2022"/>
        <s v="The Sub0 Well-Being Retreat - Nov. 27-29, 2022 - Yip Ta"/>
        <s v="Task 4: Discord Tools-Milestone1-Bread"/>
        <s v="Polkadot meetup in Madrid - July 28, 2022 - Guillitolmo"/>
        <s v="Polkameetup Latam in Santiago - January 14, 2022 - Maarmapa Maldonado"/>
        <s v="Polkadot meetups in Kigali - From January 26 to September 30, 2022 - Joab Niwagaba"/>
        <s v="Polkadot Community Meetup in Berlin - Nov 7, 2022 - Carina Hahn"/>
        <s v="Polkadot Meetup in Brno - May 16, 2022 - Petr Mensik"/>
        <s v="Sub0 Side Event - Closing Party - 28 November 2022 - Matheus Braga de Moraes and ecosystem teams"/>
        <s v="Vietnam Blockchain Summit side event - Second distribution - October'22 - SubWallet + ecosystem partners "/>
        <s v="Introduction to Polkadot for developers - with the Macedonia Blockchain Group - October 12 - Dimche Risteski"/>
        <s v="Polkadot Meetups in Kampala - From March 31 to October 28, 2022 - Kamala Immaculate"/>
        <s v="Polkadot Meetup at the Nile University in Abuja on May 12 by Maimunat Ibrahim"/>
        <s v="Task 7 - Milestone 1 - Maarmapa"/>
        <s v="Task 7 - Milestone 1 - Tim Janssen"/>
        <s v="Task 7 - Milestone 1 - Themanwithoutaname"/>
        <s v="Polkadot Meetups in Munich - September and October - Saro Posa"/>
        <s v="Task 2b: Database for DNS registrars- Tim Janssen"/>
        <s v="Task 10 - October 2022 - Abdulbee"/>
        <s v="Task 1: Detection and takedown of scam/phishing sites- Tim Janssen"/>
        <s v="Task 1: Detection and takedown of scam/phishing sites- frankywild"/>
        <s v="Task 1: Detection and takedown of scam/phishing sites- pastaMan"/>
        <s v="Task 10 - October 2022 - BerryZ"/>
        <s v="Task 11 - October 2022 - Tim Janssen"/>
        <s v="Task 11 - October 2022 - PastaMan"/>
        <s v="Task 11 - October 2022 - Frankywild"/>
        <s v="Task 5 - October 2022 - Tim Janssen"/>
        <s v="Task 5 - October 2022 - Frankywild"/>
        <s v="Sub0 Dinner - Appilon - Phala - Lisbon Nov. 29"/>
        <s v="Sub0 side events: Breakfasts - November 28-29 - Alexandra Heller"/>
        <s v="DOTBrno - Damsky - November 10 2022"/>
        <s v="Polkadot meetups in Dodoma - Nicholaus Ngailo"/>
        <s v="Task 2b - October 2022 - Tim Janssen"/>
        <s v="Task 11: Maintenance of phishing repo- frankywild "/>
        <s v="Task 10 General curator reward- Abdulbee"/>
        <s v="Task 10 - Septebmer 2022 - BERRYZ"/>
        <s v="Task 1 - September 2022 - Tim Janssen"/>
        <s v="Task 1 - September 2022 - Frankywild"/>
        <s v="Task 1 - September 2022 - PastaMan"/>
        <s v="Vietnam Blockchain Summit side event - October'22 - SubWallet + ecosystem partners"/>
        <s v="September Event in Berlin; &quot;UI/UX in Web3 and Beyond&quot; Zoe Meckbach"/>
        <s v="Polkadot Event in Berlin (May) - Polkadot Ecosystem talks - Building Metaverse and NFT Infrastructure- Zoe Meckbach"/>
        <s v="April Event in Paris; &quot;Polkadot Ecosystem Talks; Parachains and Beyond&quot; Zoe Meckbach"/>
        <s v="Polkadot World conference - Madrid - Albert Burgos"/>
        <s v="Polkadot Metaverse Olympics - Budapest - Six"/>
        <s v="Task 2c - Educational material on how to detect scam sites and submit them for takedown - frankywild"/>
        <s v="Task 10 - August 2022 - BERRYZ"/>
        <s v="Task 10 - August 2022 - Abdulbee"/>
        <s v="Task 11 - August 2022 - Tim Janssen"/>
        <s v="Task 11 - August 2022 - pastaMan"/>
        <s v="Task 11 - August 2022 - frankywild"/>
        <s v="Task 1 - August 2022 - Tim Janssen"/>
        <s v="Task 1 - August 2022 - Frankywild"/>
        <s v="Task 1 - August 2022 - PastaMan"/>
        <s v="Task 11 - July 2022 - Tim Jansen"/>
        <s v="Task 11 - July 2022 - Frankywild"/>
        <s v="Task 11 - July 2022 - PastaMan"/>
        <s v="Typeform yearly subscription"/>
        <s v="https://github.com/paritytech/frontier/security/advisories/GHSA-hc8w-mx86-9fcj"/>
        <s v="July 2022 - Task 11 - Tim Janssen"/>
        <s v="July 2022 - Task 11 - pastaMan"/>
        <s v="July 2022 - Task 11 - Frankywild"/>
        <s v="July 2022 - Task 10 - Abdulbee"/>
        <s v="Task 2b - July 2022 - Tim Janssen"/>
        <s v="Task 1 - June 2022 - Tim Janssen"/>
        <s v="Task 1 - June 2022 - PastaMan"/>
        <s v="Task 1 - June 2022 - Frankywild"/>
        <s v="Task 10 - June 2022 - Abdulbee"/>
        <s v="Task 11 - June 2022 - PastaMan"/>
        <s v="Task 11 - June 2022 - Frankywild"/>
        <s v="Task 10 - June 2022 - Mark Crince"/>
        <s v="Task 2b - Database for sites takedown - pastaMan"/>
        <s v="Task 11 - May 2022 - pastaman"/>
        <s v="Task 11 - May 2022 - frankywild"/>
        <s v="Task1- May 2022 - pastaman"/>
        <s v="Task 1 - May 2022 - franky wild"/>
        <s v="Task 10 - May 2022 - Abdulbee"/>
        <s v="Task 10 - May 2022 - Mark Crince Dot Control"/>
        <s v="Child Bounty 11 - April 2022 - pastaMan"/>
        <s v="Child Bounty 11 - April 2022 - Frankywild"/>
        <s v="Child Bounty 11 - April 2022 - Dubstard"/>
        <s v="Child Bounty 11 - April 2022 - Vegas life"/>
        <s v="Child Bounty 1 - April 2022 - Vegas_life"/>
        <s v="Child Bounty 1 - April 2022 - frankywild"/>
        <s v="Child Bounty 1 - April 2022 - pastaMan"/>
        <s v="Child Bounty 1 - April 2022 - Dubstard"/>
        <s v="Child Bounty 10 - March and April reward for General Curator Abdulbee"/>
        <s v="Child Bounty 10 - March and April reward for General Curator Mark Crince"/>
        <s v="Child Bounty 1 - March 2022 - frankywild"/>
        <s v="Child Bounty 1 - March 2022 - pastaMan"/>
        <s v="Child Bounty 1 - March 2022 - Dubstard"/>
      </sharedItems>
    </cacheField>
    <cacheField name="DOT" numFmtId="165">
      <sharedItems containsSemiMixedTypes="0" containsString="0" containsNumber="1">
        <n v="5609.0"/>
        <n v="287.68"/>
        <n v="127.22"/>
        <n v="1319.52"/>
        <n v="11.18"/>
        <n v="7.19"/>
        <n v="14.28"/>
        <n v="60.11"/>
        <n v="38.56"/>
        <n v="804.12"/>
        <n v="9649.4"/>
        <n v="10131.88"/>
        <n v="21470.0"/>
        <n v="168.77"/>
        <n v="110.0"/>
        <n v="119.9"/>
        <n v="18360.0"/>
        <n v="301.66"/>
        <n v="512.59"/>
        <n v="21220.0"/>
        <n v="22.06"/>
        <n v="9.819035621"/>
        <n v="44.0780608114"/>
        <n v="57.1597433293"/>
        <n v="56.9917602472"/>
        <n v="56.2533346155"/>
        <n v="57.1737419195"/>
        <n v="42.0637855575"/>
        <n v="42.1024993127"/>
        <n v="5.5"/>
        <n v="8.69"/>
        <n v="8.1"/>
        <n v="6.7"/>
        <n v="4.8"/>
        <n v="6.05"/>
        <n v="22.43"/>
        <n v="160.7"/>
        <n v="31.5"/>
        <n v="10.93"/>
        <n v="32.58"/>
        <n v="33.98"/>
        <n v="30.47"/>
        <n v="36.86"/>
        <n v="17.02"/>
        <n v="7.65"/>
        <n v="12.42"/>
        <n v="8.79"/>
        <n v="20.8"/>
        <n v="31.72"/>
        <n v="9.9084626671"/>
        <n v="57.0720030402"/>
        <n v="42.0738875109"/>
        <n v="41.4736451113"/>
        <n v="56.7667864023"/>
        <n v="56.9246570771"/>
        <n v="56.9913135842"/>
        <n v="57.0895442263"/>
        <n v="5.9231000904"/>
        <n v="9.9342083802"/>
        <n v="50.1259896082"/>
        <n v="56.8945180315"/>
        <n v="55.8730534287"/>
        <n v="41.8751081741"/>
        <n v="41.9976186057"/>
        <n v="41.2312767568"/>
        <n v="38.56732652"/>
        <n v="42.0445374944"/>
        <n v="50.232023996"/>
        <n v="57.0429661745"/>
        <n v="57.0712420112"/>
        <n v="19.0"/>
        <n v="1583.16"/>
        <n v="1851.79"/>
        <n v="1668.9"/>
        <n v="1954.67"/>
        <n v="1583.17"/>
        <n v="305.64"/>
        <n v="1954.91"/>
        <n v="1726.05"/>
        <n v="1674.85"/>
        <n v="1670.0"/>
        <n v="30.45"/>
        <n v="30.13"/>
        <n v="4.12"/>
        <n v="17.42"/>
        <n v="21.28"/>
        <n v="69.83"/>
        <n v="7.38"/>
        <n v="230.54"/>
        <n v="371.66"/>
        <n v="373.3"/>
        <n v="1520.0"/>
        <n v="154.97"/>
        <n v="187.5"/>
        <n v="178.39"/>
        <n v="614.0"/>
        <n v="545.0"/>
        <n v="703.53"/>
        <n v="16603.34881"/>
        <n v="8442.380751"/>
        <n v="8864.499789"/>
        <n v="38.896"/>
        <n v="657.0"/>
        <n v="160.0"/>
        <n v="285.0"/>
        <n v="178.0"/>
        <n v="180.0"/>
        <n v="400.0"/>
        <n v="198.0"/>
        <n v="176.0"/>
        <n v="509.0"/>
        <n v="188.0"/>
        <n v="35.0091023666"/>
        <n v="70.0182047332"/>
        <n v="105.027307"/>
        <n v="140.0364094665"/>
        <n v="69.7"/>
        <n v="4201.09"/>
        <n v="294.82"/>
        <n v="384.694"/>
        <n v="935.537"/>
        <n v="34.85"/>
        <n v="39.0"/>
        <n v="100.36"/>
        <n v="200.7"/>
        <n v="133.82"/>
        <n v="22.3"/>
        <n v="167.27"/>
        <n v="41.82"/>
        <n v="83.63"/>
        <n v="55.76"/>
        <n v="234.18"/>
        <n v="128.81"/>
        <n v="2.71"/>
        <n v="20.13"/>
        <n v="2.03"/>
        <n v="20.36"/>
        <n v="7.75"/>
        <n v="2.9"/>
        <n v="5.23"/>
        <n v="23.25"/>
        <n v="15.51"/>
        <n v="3.19"/>
        <n v="11.08"/>
        <n v="17.95"/>
        <n v="3.65"/>
        <n v="68.09"/>
        <n v="39.774"/>
        <n v="6218.0"/>
        <n v="73.1"/>
        <n v="191.02"/>
        <n v="209.44"/>
        <n v="12257.1"/>
        <n v="1081.2"/>
        <n v="2.1041066667"/>
        <n v="15.7808"/>
        <n v="225.13"/>
        <n v="18.42"/>
        <n v="35354.0"/>
        <n v="625.86"/>
        <n v="15752.87"/>
        <n v="158.0"/>
        <n v="195.56"/>
        <n v="69.84"/>
        <n v="4.13"/>
        <n v="3.2"/>
        <n v="3.8"/>
        <n v="2.96"/>
        <n v="15.42"/>
        <n v="13.21"/>
        <n v="2.024"/>
        <n v="29.73"/>
        <n v="17.56"/>
        <n v="20.48"/>
        <n v="715.4"/>
        <n v="11464.0"/>
        <n v="1409.0"/>
        <n v="97605.0"/>
        <n v="369.8"/>
        <n v="2281.5"/>
        <n v="23.78"/>
        <n v="36.4"/>
        <n v="8.03"/>
        <n v="25.04"/>
        <n v="16.07"/>
        <n v="586.92"/>
        <n v="520.06"/>
        <n v="267.46"/>
        <n v="742.94"/>
        <n v="564.64"/>
        <n v="327.01"/>
        <n v="103.54"/>
        <n v="3413.26"/>
        <n v="202.94"/>
        <n v="31.33"/>
        <n v="3.37"/>
        <n v="3.44"/>
        <n v="31.48"/>
        <n v="127711.0"/>
        <n v="17832.0"/>
        <n v="78251.0"/>
        <n v="24233.0"/>
        <n v="22214.0"/>
        <n v="9.0893449352"/>
        <n v="35.1030809152"/>
        <n v="50.2168583865"/>
        <n v="49.4860590554"/>
        <n v="50.4710494582"/>
        <n v="37.4427615727"/>
        <n v="39.2937031666"/>
        <n v="57.3518605518"/>
        <n v="13.6663005353"/>
        <n v="51.5301789237"/>
        <n v="36.5125879997"/>
        <n v="39.7302025001"/>
        <n v="36.8401139056"/>
        <n v="41.3311491286"/>
        <n v="6.3847900114"/>
        <n v="9.4685008826"/>
        <n v="17.6022491867"/>
        <n v="35.3801549142"/>
        <n v="39.0045811439"/>
        <n v="15.1833122403"/>
        <n v="52.6713456434"/>
        <n v="54.8780309364"/>
        <n v="51.7711058721"/>
        <n v="31.2009930491"/>
        <n v="52.9311709432"/>
        <n v="38.447799643"/>
        <n v="38.3310113281"/>
        <n v="38.1952109621"/>
        <n v="38.7764365289"/>
        <n v="9.4776214399"/>
        <n v="16.2115568799"/>
        <n v="51.8674630347"/>
        <n v="51.6697611215"/>
        <n v="39.3209048853"/>
        <n v="34.6783800285"/>
        <n v="51.4647369152"/>
        <n v="54.7378019222"/>
        <n v="52.4605687742"/>
        <n v="39.1143960904"/>
        <n v="38.0818521158"/>
        <n v="38.1959753972"/>
        <n v="37.1172386658"/>
        <n v="1374.0"/>
        <n v="70.94"/>
        <n v="106.41"/>
        <n v="13666.7"/>
        <n v="7915.8"/>
        <n v="1229.5"/>
        <n v="5298.0"/>
        <n v="50.0"/>
        <n v="1719.0"/>
        <n v="1797.0"/>
        <n v="1754.0"/>
        <n v="146.0"/>
        <n v="4255.0"/>
        <n v="2142.0"/>
        <n v="6217.0"/>
        <n v="4389.0"/>
        <n v="377.91"/>
        <n v="248.6"/>
        <n v="985.12"/>
        <n v="100.5"/>
        <n v="110.8647450111"/>
        <n v="230.056664203"/>
        <n v="340.182310914"/>
        <n v="74.8"/>
        <n v="59.9"/>
        <n v="37.4"/>
        <n v="149.6"/>
        <n v="179.6"/>
        <n v="215.5"/>
        <n v="251.42"/>
        <n v="89.8"/>
        <n v="107.75"/>
        <n v="1000.0"/>
        <n v="948.9"/>
        <n v="1287.59"/>
        <n v="16.47"/>
        <n v="132.36"/>
        <n v="91.09"/>
        <n v="132.38"/>
        <n v="202.02"/>
        <n v="221.5"/>
        <n v="201.27"/>
        <n v="220.67"/>
        <n v="237.21"/>
        <n v="19.41"/>
        <n v="31.62"/>
        <n v="198.55"/>
        <n v="58.08"/>
        <n v="230.37"/>
        <n v="124.2"/>
        <n v="176.44"/>
        <n v="239.78"/>
        <n v="42.7"/>
        <n v="327.0"/>
        <n v="8219.47"/>
        <n v="1282.7"/>
        <n v="2743.39"/>
        <n v="844.67"/>
        <n v="193.29"/>
        <n v="5159.13"/>
        <n v="2155.77"/>
        <n v="726.21"/>
        <n v="558.699"/>
        <n v="495.05"/>
        <n v="254.597"/>
        <n v="707.214"/>
        <n v="537.482"/>
        <n v="311.287"/>
        <n v="98.557"/>
        <n v="1.0"/>
        <n v="21810.74"/>
        <n v="45.6"/>
        <n v="10295.5"/>
        <n v="5147.75"/>
        <n v="396.26"/>
        <n v="2221.0"/>
        <n v="3480.0"/>
        <n v="6361.8"/>
        <n v="70702.8"/>
        <n v="6278.0"/>
        <n v="135.0"/>
        <n v="1620.0"/>
        <n v="1057.0"/>
        <n v="748.336"/>
        <n v="283.937"/>
        <n v="289.129"/>
        <n v="83.79"/>
        <n v="30.16"/>
        <n v="297.9"/>
        <n v="55.86"/>
        <n v="3678.0"/>
        <n v="8389.3"/>
        <n v="56.75"/>
        <n v="22.7"/>
        <n v="136.2"/>
        <n v="54.945"/>
        <n v="65.934"/>
        <n v="158.2417"/>
        <n v="184.6153"/>
        <n v="27.4725"/>
        <n v="27.4725274725"/>
        <n v="54.9450549451"/>
        <n v="109.8901098901"/>
        <n v="4.634"/>
        <n v="7.5542084484"/>
        <n v="43.8915351093"/>
        <n v="31.6616067615"/>
        <n v="27.9057013486"/>
        <n v="40.7016601486"/>
        <n v="46.9326446009"/>
        <n v="42.4525152839"/>
        <n v="40.6987992742"/>
        <n v="46.409104585"/>
        <n v="40.7588776367"/>
        <n v="29.0681975226"/>
        <n v="30.5686286311"/>
        <n v="27.0290015761"/>
        <n v="2.5343189018"/>
        <n v="2.6399155227"/>
        <n v="7.5266020233"/>
        <n v="41.1862546086"/>
        <n v="31.0299683697"/>
        <n v="28.3071654521"/>
        <n v="27.4008445938"/>
        <n v="42.1563135132"/>
        <n v="42.0311446223"/>
        <n v="45.4050151822"/>
        <n v="40.8562638961"/>
        <n v="43.9911756642"/>
        <n v="27.9480934171"/>
        <n v="29.1770030555"/>
        <n v="7.4983040792"/>
        <n v="27.6402691255"/>
        <n v="27.647914591"/>
        <n v="29.7332153043"/>
        <n v="40.7255517467"/>
        <n v="41.6232015801"/>
        <n v="42.0309668041"/>
        <n v="44.5058751775"/>
        <n v="41.6005479566"/>
        <n v="46.4031161503"/>
        <n v="28.303513257"/>
        <n v="27.5771940352"/>
        <n v="1.6895459345"/>
        <n v="79.121"/>
        <n v="79.1208791209"/>
        <n v="158.2417582418"/>
        <n v="43.1499"/>
        <n v="25073.0"/>
        <n v="14.18"/>
        <n v="15.8"/>
        <n v="21.0"/>
        <n v="2064.7"/>
        <n v="942.1"/>
        <n v="55.0"/>
        <n v="406.9"/>
        <n v="11867.5"/>
        <n v="147.0742"/>
        <n v="147.07"/>
        <n v="161.26"/>
        <n v="173.3375"/>
        <n v="161.2564"/>
        <n v="38028.0"/>
        <n v="10493.0"/>
        <n v="67438.67"/>
        <n v="22826.0"/>
        <n v="699.6"/>
        <n v="18.7"/>
        <n v="135.3"/>
        <n v="289.7"/>
        <n v="4854.9"/>
        <n v="6865.6"/>
        <n v="8722.9"/>
        <n v="275.6"/>
        <n v="508.8"/>
        <n v="33100.0"/>
        <n v="9310.98"/>
        <n v="56.98"/>
        <n v="28.49"/>
        <n v="151.96"/>
        <n v="75.98"/>
        <n v="112.07"/>
        <n v="7.7868168139"/>
        <n v="44.6118381964"/>
        <n v="44.5762720219"/>
        <n v="43.8945870109"/>
        <n v="44.5436696953"/>
        <n v="44.5110673687"/>
        <n v="44.3747303665"/>
        <n v="30.3983469132"/>
        <n v="30.4246150938"/>
        <n v="30.432697611"/>
        <n v="30.4387594988"/>
        <n v="30.3639962154"/>
        <n v="44.478465042"/>
        <n v="1.6234005066"/>
        <n v="2.5365632916"/>
        <n v="7.786445359"/>
        <n v="44.599992247"/>
        <n v="44.5436903499"/>
        <n v="44.6474043708"/>
        <n v="44.2947766998"/>
        <n v="43.9777081216"/>
        <n v="44.4133070094"/>
        <n v="30.4185572293"/>
        <n v="30.3943145058"/>
        <n v="30.4084560945"/>
        <n v="30.4064358675"/>
        <n v="30.345829059"/>
        <n v="44.5762861851"/>
        <n v="7.7862511851"/>
        <n v="44.6148215109"/>
        <n v="44.5259591656"/>
        <n v="44.5881628073"/>
        <n v="44.549655791"/>
        <n v="44.5022625401"/>
        <n v="44.5289212437"/>
        <n v="30.3054775956"/>
        <n v="30.1903704974"/>
        <n v="29.9399620732"/>
        <n v="30.4084681572"/>
        <n v="44.4222864294"/>
        <n v="19520.0"/>
        <n v="10534.174"/>
        <n v="37059.8"/>
        <n v="288.7153342734"/>
        <n v="289.2576924468"/>
        <n v="883.0675778284"/>
        <n v="883.6099360018"/>
        <n v="312.6046667411"/>
        <n v="28.94"/>
        <n v="57.88"/>
        <n v="28.941"/>
        <n v="57.883"/>
        <n v="86.825"/>
        <n v="429.164"/>
        <n v="290.722"/>
        <n v="788.244"/>
        <n v="59.93"/>
        <n v="71.92"/>
        <n v="143.83"/>
        <n v="47.94"/>
        <n v="86.3"/>
        <n v="172.6"/>
        <n v="95.888"/>
        <n v="86.299"/>
        <n v="201.366"/>
        <n v="143.833"/>
        <n v="172.599"/>
        <n v="3373.2"/>
        <n v="5944.5"/>
        <n v="5548.2"/>
        <n v="179.53"/>
        <n v="211.59"/>
        <n v="196.85"/>
        <n v="39.6"/>
        <n v="1145.9"/>
        <n v="7384.4"/>
        <n v="1188.9"/>
        <n v="23297.22"/>
        <n v="6678.0"/>
        <n v="371.0"/>
        <n v="950.0"/>
        <n v="796.6"/>
        <n v="768.5"/>
        <n v="233.8"/>
        <n v="193.5"/>
        <n v="91.5"/>
        <n v="132.8"/>
        <n v="42.1"/>
        <n v="6008.0"/>
        <n v="9085.0"/>
        <n v="16041.0"/>
        <n v="21685.91"/>
        <n v="32.9"/>
        <n v="32.034"/>
        <n v="244.89"/>
        <n v="8.8170462895"/>
        <n v="65.0"/>
        <n v="10.6400337328"/>
        <n v="59.2081051245"/>
        <n v="59.3395701806"/>
        <n v="59.2193735579"/>
        <n v="59.1292260909"/>
        <n v="59.2569350025"/>
        <n v="59.3621070474"/>
        <n v="59.1968366912"/>
        <n v="43.9903885046"/>
        <n v="44.0405994743"/>
        <n v="44.0573364643"/>
        <n v="44.0071254945"/>
        <n v="43.9206510466"/>
        <n v="3.6737692873"/>
        <n v="10.6387804937"/>
        <n v="44.0852314475"/>
        <n v="43.9916946446"/>
        <n v="43.9836772043"/>
        <n v="44.0237644056"/>
        <n v="59.1713825279"/>
        <n v="59.326121289"/>
        <n v="59.214565438"/>
        <n v="59.347712744"/>
        <n v="59.3009312581"/>
        <n v="59.2253611655"/>
        <n v="43.6816869549"/>
        <n v="44.0397827553"/>
        <n v="10.6427783405"/>
        <n v="44.0157216829"/>
        <n v="44.0665172801"/>
        <n v="44.0077013255"/>
        <n v="59.2469107208"/>
        <n v="58.9409204783"/>
        <n v="59.3261081953"/>
        <n v="59.3513073918"/>
        <n v="59.3189084249"/>
        <n v="59.2073119835"/>
        <n v="59.2865094581"/>
        <n v="40697.67"/>
        <n v="800.12"/>
        <n v="473.66"/>
        <n v="1034.84"/>
        <n v="652.39"/>
        <n v="325.93"/>
        <n v="887.1"/>
        <n v="367.5238795004"/>
        <n v="267.8912564291"/>
        <n v="367.6708302719"/>
        <n v="81.4107274063"/>
        <n v="1008.0"/>
        <n v="5167.0"/>
        <n v="73.3460466"/>
        <n v="105.618307"/>
        <n v="246.442717"/>
        <n v="7.0525"/>
        <n v="14.3467"/>
        <n v="58.9188392988"/>
        <n v="73.87"/>
        <n v="88.64"/>
        <n v="106.37"/>
        <n v="177.28"/>
        <n v="212.73"/>
        <n v="35.46"/>
        <n v="73.866"/>
        <n v="800.1181858"/>
        <n v="473.6593293"/>
        <n v="1034.835278"/>
        <n v="177.278"/>
        <n v="212.734"/>
        <n v="29.546"/>
        <n v="8324.0"/>
        <n v="20722.0"/>
        <n v="212.7"/>
        <n v="233.21"/>
        <n v="250.68"/>
        <n v="6828.0"/>
        <n v="4833.0"/>
        <n v="67.91"/>
        <n v="56.69"/>
        <n v="31.43"/>
        <n v="19.4"/>
        <n v="174.6"/>
        <n v="267.2"/>
        <n v="294.2"/>
        <n v="23286.0"/>
        <n v="1769.3"/>
        <n v="13993.0"/>
        <n v="15642.0"/>
        <n v="1071.0"/>
        <n v="59.07"/>
        <n v="141.78"/>
        <n v="47.3933649"/>
        <n v="324.79"/>
        <n v="317.82"/>
        <n v="827.53"/>
        <n v="59.073724"/>
        <n v="141.776938"/>
        <n v="19.494328"/>
        <n v="85.0661626"/>
        <n v="170.132325"/>
        <n v="70.888468"/>
        <n v="198.487713"/>
        <n v="5876.0"/>
        <n v="9379.0"/>
        <n v="172.754195459"/>
        <n v="189.4126357354"/>
        <n v="203.6031589339"/>
        <n v="2385.0"/>
        <n v="317.0"/>
        <n v="146.1"/>
        <n v="11074.0"/>
        <n v="935.5"/>
        <n v="1172.3"/>
        <n v="288.0"/>
        <n v="744.5"/>
        <n v="277.0"/>
        <n v="1987.0"/>
        <n v="7056.2"/>
        <n v="433.5"/>
        <n v="143.106457"/>
        <n v="3000.0"/>
        <n v="622.7783957484"/>
        <n v="761.6734643431"/>
        <n v="1294.9697194414"/>
        <n v="320.0609639931"/>
        <n v="274.337969137"/>
        <n v="95.2562392837"/>
        <n v="228.6149742808"/>
        <n v="76.2049914269"/>
        <n v="114.3074871404"/>
        <n v="137.1689845685"/>
        <n v="33106.0"/>
        <n v="266.0079802394"/>
        <n v="313.5094052822"/>
        <n v="266.1596958175"/>
        <n v="291.6587497625"/>
        <n v="4174.0"/>
        <n v="1706.0"/>
        <n v="89.0868597"/>
        <n v="108.991825613"/>
        <n v="174.8410535876"/>
        <n v="1636.5611072015"/>
        <n v="996.8707482993"/>
        <n v="465.8831808586"/>
        <n v="117.2882946282"/>
        <n v="140.7459535538"/>
        <n v="8.4400656814"/>
        <n v="337.7902885292"/>
        <n v="168.8951442646"/>
        <n v="20581.0"/>
        <n v="10.0117288295"/>
        <n v="394.0886699507"/>
        <n v="5870.0"/>
        <n v="562.9838214154"/>
        <n v="347.6533399553"/>
        <n v="409.7342935187"/>
        <n v="381.1770548796"/>
        <n v="30150.0"/>
        <n v="12690.0"/>
        <n v="8068.0"/>
        <n v="2437.0"/>
        <n v="29427.0"/>
        <n v="610.3038309115"/>
        <n v="742.4042272127"/>
        <n v="681.6380449141"/>
        <n v="446.0"/>
        <n v="5109.0"/>
        <n v="34498.0"/>
        <n v="9180.0"/>
        <n v="74145.0"/>
        <n v="9630.0"/>
        <n v="82.5242718447"/>
        <n v="160.1941747573"/>
        <n v="1466.129190115"/>
        <n v="1707.4798140445"/>
        <n v="1707.3330070957"/>
        <n v="123.1830500123"/>
        <n v="147.8196600148"/>
        <n v="177.3835920177"/>
        <n v="98.5464400099"/>
        <n v="206.9475240207"/>
        <n v="7556.0"/>
        <n v="15825.0"/>
        <n v="7819.0"/>
        <n v="12053.0"/>
        <n v="6515.0"/>
        <n v="8672.0"/>
        <n v="169.0"/>
        <n v="672.0"/>
        <n v="867.2"/>
        <n v="1205.3"/>
        <n v="16.9"/>
        <n v="651.5"/>
        <n v="66.3"/>
        <n v="114.1147795258"/>
        <n v="78.6616441392"/>
        <n v="2140.5716818081"/>
        <n v="2876.2242410813"/>
        <n v="66.47462885"/>
        <n v="110.0352112676"/>
        <n v="88.0281690141"/>
        <n v="132.0422535211"/>
        <n v="158.4507042254"/>
        <n v="184.8591549296"/>
        <n v="19024.0"/>
        <n v="9295.0"/>
        <n v="17698.0"/>
        <n v="10415.0"/>
        <n v="4659.9"/>
        <n v="119.28429"/>
        <n v="143.14115"/>
        <n v="99.40357"/>
        <n v="1954.22068"/>
        <n v="1419.54871"/>
        <n v="68.5990338164"/>
        <n v="1052.75453"/>
        <n v="1557.40705"/>
        <n v="1033.87191"/>
        <n v="77.29468599"/>
        <n v="115.9420289855"/>
        <n v="139.1304347826"/>
        <n v="96.61835749"/>
        <n v="139.13043478"/>
        <n v="162.31884058"/>
        <n v="270.531401"/>
        <n v="386.47343"/>
        <n v="144.9275362"/>
        <n v="48.30917874"/>
        <n v="173.9130435"/>
        <n v="4846.0"/>
        <n v="1072.0"/>
        <n v="2076.0"/>
        <n v="10317.0"/>
        <n v="56.8"/>
        <n v="265.2"/>
        <n v="571.8"/>
        <n v="2200.0"/>
        <n v="29.5"/>
        <n v="107.7"/>
        <n v="169.6"/>
        <n v="8137.02"/>
        <n v="10133.0"/>
        <n v="76.5843385027"/>
        <n v="89.0292935095"/>
        <n v="104.34616121"/>
        <n v="140.1050788091"/>
        <n v="163.4559252773"/>
        <n v="97.29519362"/>
        <n v="116.7542323409"/>
        <n v="81.72796264"/>
        <n v="303.9891029"/>
        <n v="844.9114614"/>
        <n v="150.0681066"/>
        <n v="21418.579"/>
        <n v="4938.7"/>
        <n v="3316.7"/>
        <n v="8597.0"/>
        <n v="717.8"/>
        <n v="1058.2"/>
        <n v="880.4"/>
        <n v="910.0"/>
        <n v="783.0"/>
        <n v="974.0"/>
        <n v="911.0"/>
        <n v="767.0"/>
        <n v="958.0"/>
        <n v="5639.0"/>
        <n v="843.0"/>
        <n v="1027.0"/>
        <n v="728.0"/>
        <n v="1052.0"/>
        <n v="1030.563"/>
        <n v="906.895"/>
        <n v="653.171"/>
        <n v="466.746"/>
        <n v="1005.623"/>
        <n v="999.646"/>
        <n v="971.821"/>
        <n v="959.322"/>
        <n v="831.664"/>
        <n v="824.45"/>
        <n v="803.839"/>
        <n v="753.548"/>
        <n v="655.232"/>
        <n v="616.804"/>
        <n v="616.277"/>
        <n v="519.197"/>
        <n v="508.333"/>
        <n v="469.429"/>
        <n v="432.836"/>
        <n v="345.197"/>
        <n v="654.646"/>
        <n v="8118.789"/>
        <n v="11466.0"/>
        <n v="466.7"/>
        <n v="1083.18"/>
        <n v="1065.2"/>
        <n v="2024.5"/>
        <n v="15364.4"/>
        <n v="144.7640533935"/>
        <n v="74.9063670411"/>
        <n v="93.6329588014"/>
        <n v="93.04056959"/>
        <n v="112.3595505617"/>
        <n v="134.8314606741"/>
        <n v="1508.0"/>
        <n v="38779.0"/>
        <n v="111.94"/>
        <n v="134.32"/>
        <n v="93.28"/>
        <n v="156.3081503536"/>
        <n v="93.0405656866"/>
        <n v="133.9784146"/>
        <n v="295.6457015"/>
        <n v="653.1075549"/>
        <n v="253.4425009"/>
        <n v="7375.5"/>
        <n v="5044.9"/>
        <n v="7929.7"/>
        <n v="8897.0"/>
        <n v="29109.0"/>
        <n v="8996.0"/>
        <n v="29433.0"/>
        <n v="7005.0"/>
        <n v="369.6"/>
        <n v="919.4"/>
        <n v="125.8"/>
        <n v="37384.0"/>
        <n v="288.8"/>
        <n v="27.9"/>
        <n v="55.9"/>
        <n v="128.8475304"/>
        <n v="89.47745168"/>
        <n v="143.1639227"/>
        <n v="85.89835361"/>
        <n v="42.94917681"/>
        <n v="41.393583"/>
        <n v="100.16"/>
        <n v="83.47"/>
        <n v="68.6341798215"/>
        <n v="102.9512697323"/>
        <n v="123.5415236788"/>
        <n v="144.1317776253"/>
        <n v="85.7927478"/>
        <n v="185.9528712"/>
        <n v="1054.587051"/>
        <n v="298.4099748"/>
        <n v="20146.0"/>
        <n v="3140.0"/>
        <n v="12000.0"/>
        <n v="9427.0"/>
        <n v="325.0"/>
        <n v="12583.0"/>
        <n v="783.2"/>
        <n v="1736.1"/>
        <n v="890.0"/>
        <n v="102.4751694781"/>
        <n v="63.43165239"/>
        <n v="272.7561052964"/>
        <n v="85.6327307325"/>
        <n v="209.3244529019"/>
        <n v="228.3539486202"/>
        <n v="352.0456707896"/>
        <n v="78.8767944471"/>
        <n v="218.0"/>
        <n v="1861.0"/>
        <n v="28.3956460009"/>
        <n v="1216.9525624735"/>
        <n v="1371.2409995765"/>
        <n v="79.41550191"/>
        <n v="72.26810673"/>
        <n v="2365.0"/>
        <n v="5912.5"/>
        <n v="15372.5"/>
        <n v="236.5"/>
        <n v="591.25"/>
        <n v="1537.25"/>
        <n v="2732.0"/>
        <n v="652.6"/>
        <n v="47.8"/>
        <n v="143.4"/>
        <n v="31.8"/>
        <n v="123.3"/>
        <n v="785.2"/>
        <n v="6551.0"/>
        <n v="137.6823471562"/>
        <n v="144.2386494018"/>
        <n v="170.4638583839"/>
        <n v="4474.1"/>
        <n v="33807.0"/>
        <n v="3380.7"/>
        <n v="742.8"/>
        <n v="2539.4"/>
        <n v="245.8613342075"/>
        <n v="131.1260449107"/>
        <n v="40.976889"/>
        <n v="245.861334"/>
        <n v="48.6"/>
        <n v="24.3"/>
        <n v="32.4"/>
        <n v="97.1"/>
        <n v="1078.7"/>
        <n v="1964.0"/>
        <n v="628.75"/>
        <n v="3793.0"/>
        <n v="7307.3"/>
        <n v="129.4"/>
        <n v="3074.6"/>
        <n v="844.8"/>
        <n v="579.3"/>
        <n v="44.38"/>
        <n v="6303.0"/>
        <n v="49.2"/>
        <n v="10821.0"/>
        <n v="229.6"/>
        <n v="106.6"/>
        <n v="500.0"/>
        <n v="203.645365"/>
        <n v="113.636364"/>
        <n v="140.639063906"/>
        <n v="248.649864986"/>
        <n v="376.6818873668"/>
        <n v="866.8645357686"/>
        <n v="201.2480974125"/>
        <n v="91.4494742"/>
        <n v="114.7614761476"/>
        <n v="4750.9"/>
        <n v="17624.6"/>
        <n v="14602.0"/>
        <n v="76.8386388"/>
        <n v="90.8595312"/>
        <n v="145.1642170205"/>
        <n v="3672.0"/>
        <n v="72.5821085103"/>
        <n v="683.493333"/>
        <n v="1055.843333"/>
        <n v="382.943333"/>
        <n v="69.0"/>
        <n v="65.42"/>
        <n v="808.2"/>
        <n v="5325.9"/>
        <n v="3564.0"/>
        <n v="36.0"/>
        <n v="5075.4"/>
        <n v="1636.0"/>
        <n v="473.1182795699"/>
        <n v="269.0"/>
        <n v="53.8"/>
        <n v="206.0"/>
        <n v="26.9"/>
        <n v="35.8"/>
        <n v="1547.92"/>
        <n v="25.2"/>
        <n v="134.4"/>
        <n v="47.0"/>
        <n v="274.20229817"/>
        <n v="99.620190033"/>
        <n v="93.7022241949"/>
        <n v="52.7240773287"/>
        <n v="77.3036487322"/>
        <n v="553.9642452344"/>
        <n v="959.2192684183"/>
        <n v="215.2316331787"/>
        <n v="61.842919"/>
        <n v="192.93100753"/>
        <n v="118.845500508"/>
        <n v="1676.0"/>
        <n v="1943.0"/>
        <n v="3158.0"/>
        <n v="113.95"/>
        <n v="84.69"/>
        <n v="63.0715862504"/>
        <n v="78.839482813"/>
        <n v="448.47"/>
        <n v="903.3"/>
        <n v="517.55"/>
        <n v="1246.0"/>
        <n v="61.0"/>
        <n v="21874.0"/>
        <n v="6110.59"/>
        <n v="134.138162307"/>
        <n v="17.2699640785"/>
        <n v="69.0798563139"/>
        <n v="55.7335934234"/>
        <n v="684.266667"/>
        <n v="936.616667"/>
        <n v="585.966667"/>
        <n v="651.759024"/>
        <n v="1084.97247"/>
        <n v="645.285007"/>
        <n v="3468.0"/>
        <n v="8800.0"/>
        <n v="49.6093266"/>
        <n v="62.0116581917"/>
        <n v="27.23"/>
        <n v="163.92"/>
        <n v="852.58"/>
        <n v="1211.21"/>
        <n v="71.367399372"/>
        <n v="57.0450656"/>
        <n v="100.17"/>
        <n v="15.0"/>
        <n v="220.01"/>
        <n v="443.75"/>
        <n v="25.0"/>
        <n v="168.145"/>
        <n v="554.47625"/>
        <n v="494.47625"/>
        <n v="464.0325"/>
        <n v="27.0"/>
        <n v="373.0"/>
        <n v="238.0"/>
        <n v="140.0"/>
      </sharedItems>
    </cacheField>
    <cacheField name="USD Proposal Time" numFmtId="164">
      <sharedItems containsSemiMixedTypes="0" containsString="0" containsNumber="1">
        <n v="31639.07334804535"/>
        <n v="1661.539273376465"/>
        <n v="717.6186327934265"/>
        <n v="7621.086978607178"/>
        <n v="63.06379747390747"/>
        <n v="41.526930532455445"/>
        <n v="80.55018138885498"/>
        <n v="339.06662487983704"/>
        <n v="217.50805282592773"/>
        <n v="4644.316464500427"/>
        <n v="55731.566547966"/>
        <n v="58518.20263187408"/>
        <n v="124003.2264995575"/>
        <n v="1025.09463534832"/>
        <n v="668.1306505203247"/>
        <n v="738.9150692462922"/>
        <n v="113148.29584121704"/>
        <n v="1859.0585470294955"/>
        <n v="3158.9697693490984"/>
        <n v="134960.73072433472"/>
        <n v="140.30319131851195"/>
        <n v="62.44977485478"/>
        <n v="280.3396463722058"/>
        <n v="363.54009084532254"/>
        <n v="362.4717063255515"/>
        <n v="357.7752660409233"/>
        <n v="363.62912288879585"/>
        <n v="267.5287104557925"/>
        <n v="267.774932731517"/>
        <n v="34.98039674758911"/>
        <n v="55.269026861190795"/>
        <n v="51.51658430099487"/>
        <n v="42.61248331069947"/>
        <n v="30.528346252441406"/>
        <n v="38.47843642234802"/>
        <n v="142.6564180088043"/>
        <n v="1022.0635922431945"/>
        <n v="200.34227228164673"/>
        <n v="69.51558844566345"/>
        <n v="207.21115018844603"/>
        <n v="216.11525117874143"/>
        <n v="193.79139798164368"/>
        <n v="234.4322589302063"/>
        <n v="108.24842775344848"/>
        <n v="48.65455183982849"/>
        <n v="78.99209592819214"/>
        <n v="55.90503407478332"/>
        <n v="132.2895004272461"/>
        <n v="201.7414881515503"/>
        <n v="66.80004983655928"/>
        <n v="384.76328522852845"/>
        <n v="283.65023687054924"/>
        <n v="279.60357256404376"/>
        <n v="385.44917994659824"/>
        <n v="382.705601074319"/>
        <n v="383.7699204645901"/>
        <n v="384.21929976244985"/>
        <n v="384.88154293863346"/>
        <n v="39.93186375313368"/>
        <n v="66.97362014468268"/>
        <n v="337.9352293522467"/>
        <n v="383.56673155267225"/>
        <n v="376.68030641632043"/>
        <n v="282.3101228638822"/>
        <n v="283.13605350633713"/>
        <n v="277.9695937417626"/>
        <n v="260.0099955115321"/>
        <n v="283.4523673694193"/>
        <n v="338.6500831724007"/>
        <n v="384.56752690142713"/>
        <n v="384.75815458648685"/>
        <n v="121.21804523468018"/>
        <n v="10100.397920722962"/>
        <n v="11814.229683427811"/>
        <n v="10647.41029958725"/>
        <n v="12470.593498888016"/>
        <n v="10100.461719694138"/>
        <n v="1949.951755027771"/>
        <n v="12472.124674196244"/>
        <n v="11012.021419858933"/>
        <n v="10685.370687437056"/>
        <n v="117291.4631652832"/>
        <n v="10668.667945861816"/>
        <n v="194.527508354187"/>
        <n v="192.48321269989012"/>
        <n v="26.320306549072267"/>
        <n v="111.28634468078614"/>
        <n v="135.94566101074219"/>
        <n v="446.10364231109617"/>
        <n v="47.14656852722168"/>
        <n v="1472.7872504425047"/>
        <n v="2374.321633987427"/>
        <n v="2485.344353532791"/>
        <n v="10119.805564880371"/>
        <n v="1031.754123940468"/>
        <n v="1248.3312785625458"/>
        <n v="1187.6790228414534"/>
        <n v="4385.196612358093"/>
        <n v="3892.397644519806"/>
        <n v="5024.621128163338"/>
        <n v="120353.15606660653"/>
        <n v="61196.52003497347"/>
        <n v="64256.34603998407"/>
        <n v="281.9465164489746"/>
        <n v="4762.4141635894775"/>
        <n v="1159.7964477539062"/>
        <n v="2065.8874225616455"/>
        <n v="1290.2735481262207"/>
        <n v="1304.7710037231445"/>
        <n v="2899.4911193847656"/>
        <n v="1435.248104095459"/>
        <n v="1275.7760925292969"/>
        <n v="3689.6024494171143"/>
        <n v="1362.7608261108398"/>
        <n v="251.62460122540162"/>
        <n v="503.24920245080324"/>
        <n v="754.8738029589018"/>
        <n v="1006.4984049023253"/>
        <n v="500.9621361255646"/>
        <n v="30194.935731072426"/>
        <n v="2118.9907743549347"/>
        <n v="2764.9516211576465"/>
        <n v="6724.08341383791"/>
        <n v="250.4810680627823"/>
        <n v="273.3997163772583"/>
        <n v="488.61436491012574"/>
        <n v="703.548603477478"/>
        <n v="1406.9570019721984"/>
        <n v="938.1115396308899"/>
        <n v="156.32855577468874"/>
        <n v="1172.6043732929231"/>
        <n v="293.16861894607547"/>
        <n v="586.2671354007721"/>
        <n v="244.30718245506287"/>
        <n v="390.89149192810055"/>
        <n v="1641.660143108368"/>
        <n v="900.2582292509079"/>
        <n v="19.12883816719055"/>
        <n v="142.08985693931578"/>
        <n v="14.328982095718382"/>
        <n v="143.71333766937255"/>
        <n v="54.70424199104309"/>
        <n v="20.469974422454833"/>
        <n v="36.91654007911682"/>
        <n v="164.11272597312927"/>
        <n v="109.4790701007843"/>
        <n v="22.516971864700317"/>
        <n v="78.20941951751709"/>
        <n v="126.7020830631256"/>
        <n v="25.76393332481384"/>
        <n v="480.6208822154999"/>
        <n v="277.9067789869309"/>
        <n v="43446.07914066315"/>
        <n v="511.5435626983642"/>
        <n v="1336.7312085723877"/>
        <n v="1465.6317889404297"/>
        <n v="87913.09286541938"/>
        <n v="7754.822593116761"/>
        <n v="15.091540803970362"/>
        <n v="113.18655602798461"/>
        <n v="1370.0760374927522"/>
        <n v="1502.192049484253"/>
        <n v="1407.2582957458496"/>
        <n v="1658.5491577911378"/>
        <n v="135.70148574829102"/>
        <n v="256114.6579580307"/>
        <n v="4533.911858053208"/>
        <n v="114118.37166677952"/>
        <n v="1137.7223224639893"/>
        <n v="1408.183401145935"/>
        <n v="502.9020696258545"/>
        <n v="29.73919741630554"/>
        <n v="23.042477416992188"/>
        <n v="27.362941932678222"/>
        <n v="21.314291610717774"/>
        <n v="111.0359380531311"/>
        <n v="95.12222708702087"/>
        <n v="14.574366966247558"/>
        <n v="214.07901675224304"/>
        <n v="126.44559482574462"/>
        <n v="147.47185546875"/>
        <n v="5332.9286330223085"/>
        <n v="85458.05681991577"/>
        <n v="10727.649428367615"/>
        <n v="699042.4198722839"/>
        <n v="2648.490209197998"/>
        <n v="16339.995706558228"/>
        <n v="170.31124168395996"/>
        <n v="261.96191425323485"/>
        <n v="57.78994976520538"/>
        <n v="180.20676738739013"/>
        <n v="115.65186708927155"/>
        <n v="4125.534170379638"/>
        <n v="3655.5668585968015"/>
        <n v="1880.00982963562"/>
        <n v="5222.218286209107"/>
        <n v="3968.925260620117"/>
        <n v="2298.5942361068724"/>
        <n v="727.7956246185303"/>
        <n v="23992.231926651002"/>
        <n v="1426.4906708526612"/>
        <n v="220.22249294281005"/>
        <n v="23.68815196990967"/>
        <n v="24.18019073486328"/>
        <n v="221.27686172485352"/>
        <n v="889312.9937343597"/>
        <n v="124172.77528381348"/>
        <n v="544899.2731456757"/>
        <n v="168746.01073646545"/>
        <n v="154686.74462509155"/>
        <n v="63.29347163053262"/>
        <n v="244.43960174140037"/>
        <n v="349.68408882267545"/>
        <n v="344.59518229966955"/>
        <n v="351.45414326555095"/>
        <n v="260.73192119629226"/>
        <n v="273.6209159586749"/>
        <n v="399.3685336702147"/>
        <n v="95.1650103931621"/>
        <n v="358.82937011144577"/>
        <n v="254.25467612815237"/>
        <n v="276.6604703356506"/>
        <n v="256.5353962219695"/>
        <n v="287.80863015743785"/>
        <n v="44.46035752130491"/>
        <n v="65.93371648551366"/>
        <n v="122.57291009139679"/>
        <n v="246.3690009907731"/>
        <n v="271.6076205372792"/>
        <n v="105.72869105421412"/>
        <n v="366.7758617358668"/>
        <n v="382.14207063053846"/>
        <n v="360.5070600970609"/>
        <n v="217.26749094424184"/>
        <n v="368.585150013408"/>
        <n v="267.73048369377096"/>
        <n v="266.91723059923004"/>
        <n v="265.97158746717656"/>
        <n v="270.0189400745938"/>
        <n v="65.99722730382209"/>
        <n v="112.88885203278282"/>
        <n v="361.17804127127107"/>
        <n v="359.8013479535858"/>
        <n v="273.81033458269184"/>
        <n v="241.48220561269716"/>
        <n v="358.3736659943758"/>
        <n v="381.1655886953361"/>
        <n v="365.30812122363045"/>
        <n v="272.37231472046386"/>
        <n v="265.1822154086277"/>
        <n v="265.97691059570343"/>
        <n v="258.46514894594304"/>
        <n v="9567.821514129639"/>
        <n v="472.40562354087825"/>
        <n v="708.6084353113174"/>
        <n v="92249.7036567688"/>
        <n v="53431.34803619385"/>
        <n v="8299.07809829712"/>
        <n v="37068.72274875641"/>
        <n v="349.83694553375244"/>
        <n v="12027.394187450409"/>
        <n v="12573.139822483063"/>
        <n v="12272.280049324036"/>
        <n v="1021.5238809585571"/>
        <n v="29771.124064922333"/>
        <n v="14987.014746665955"/>
        <n v="43498.72580766678"/>
        <n v="30708.68707895279"/>
        <n v="2761.3067992544175"/>
        <n v="1816.4665404319762"/>
        <n v="7198.059204788208"/>
        <n v="734.3318073749542"/>
        <n v="790.1396825414975"/>
        <n v="1639.6276345714268"/>
        <n v="2424.4997192291294"/>
        <n v="542.6815700531006"/>
        <n v="434.5805621147156"/>
        <n v="271.3407850265503"/>
        <n v="1085.3631401062012"/>
        <n v="1303.0161762237549"/>
        <n v="1563.4743094444275"/>
        <n v="1824.0775446891785"/>
        <n v="651.5080881118774"/>
        <n v="781.7371547222137"/>
        <n v="7255.101203918457"/>
        <n v="6531.319324636459"/>
        <n v="8862.537094750403"/>
        <n v="113.36371511936187"/>
        <n v="911.0395466423035"/>
        <n v="626.9763697767258"/>
        <n v="911.1772074985504"/>
        <n v="1297.420495119095"/>
        <n v="1422.5256888866425"/>
        <n v="1326.7180966472627"/>
        <n v="1454.597716436386"/>
        <n v="1563.6249799060822"/>
        <n v="127.94553711891174"/>
        <n v="900.0033020877838"/>
        <n v="214.97283888816835"/>
        <n v="1349.8689804315568"/>
        <n v="394.86472114562986"/>
        <n v="1556.8904175567627"/>
        <n v="839.3705337524415"/>
        <n v="1192.419782409668"/>
        <n v="1620.4852381896974"/>
        <n v="288.5758598327637"/>
        <n v="2209.936912536621"/>
        <n v="55548.96071708679"/>
        <n v="8668.764763641359"/>
        <n v="18540.42454582214"/>
        <n v="5708.463033370971"/>
        <n v="1306.295736465454"/>
        <n v="34866.51933815003"/>
        <n v="14569.161155776977"/>
        <n v="4907.884664382935"/>
        <n v="4047.5434813499446"/>
        <n v="3586.4327669143677"/>
        <n v="1844.4501023292542"/>
        <n v="5123.473311424255"/>
        <n v="3893.8350801467896"/>
        <n v="2255.145736217499"/>
        <n v="714.0047554969788"/>
        <n v="7.477910995483398"/>
        <n v="155620.25890235903"/>
        <n v="300.03099288940433"/>
        <n v="67740.55015993118"/>
        <n v="33870.27507996559"/>
        <n v="34490.16702735424"/>
        <n v="2659.9075696372984"/>
        <n v="16082.458374023438"/>
        <n v="25198.9892578125"/>
        <n v="53559.36720314026"/>
        <n v="612289.9457210541"/>
        <n v="54367.808336257935"/>
        <n v="1169.107060432434"/>
        <n v="14029.284725189209"/>
        <n v="9560.194124221802"/>
        <n v="6768.436546966553"/>
        <n v="2568.110538362503"/>
        <n v="2615.070356615067"/>
        <n v="711.7278785705566"/>
        <n v="256.1846618652344"/>
        <n v="2530.418128967285"/>
        <n v="474.4852523803711"/>
        <n v="31241.617584228516"/>
        <n v="71260.27797698975"/>
        <n v="476.07774901390076"/>
        <n v="190.4310996055603"/>
        <n v="1142.5865976333616"/>
        <n v="460.93554043293"/>
        <n v="553.122648519516"/>
        <n v="1327.495195350361"/>
        <n v="1548.7442547581672"/>
        <n v="230.467770216465"/>
        <n v="230.46800068423522"/>
        <n v="460.9360013693093"/>
        <n v="921.8720027377798"/>
        <n v="38.87478923225403"/>
        <n v="63.37252076997469"/>
        <n v="368.20763410749146"/>
        <n v="265.6103343996162"/>
        <n v="234.1019115893509"/>
        <n v="341.4476606991062"/>
        <n v="393.7196087553458"/>
        <n v="356.13564610286045"/>
        <n v="341.4236607229905"/>
        <n v="389.3276131203084"/>
        <n v="341.9276602222582"/>
        <n v="243.85413294186526"/>
        <n v="256.44130236362935"/>
        <n v="226.74724631617383"/>
        <n v="21.26049053836696"/>
        <n v="22.14634431072901"/>
        <n v="63.140929497376824"/>
        <n v="345.51294069384466"/>
        <n v="260.31149768139767"/>
        <n v="237.46980809515114"/>
        <n v="229.86665048979762"/>
        <n v="353.65079901477606"/>
        <n v="352.6007527799525"/>
        <n v="380.9042717512558"/>
        <n v="342.74463698278754"/>
        <n v="369.04352223237754"/>
        <n v="234.45754014525437"/>
        <n v="244.76690639002896"/>
        <n v="62.90353704752927"/>
        <n v="231.8751913199376"/>
        <n v="231.93932939932796"/>
        <n v="249.43299053774112"/>
        <n v="341.6480881571466"/>
        <n v="349.1785042291779"/>
        <n v="352.59926105680904"/>
        <n v="373.36135457969766"/>
        <n v="348.98846218366447"/>
        <n v="389.277375930668"/>
        <n v="237.43916970180896"/>
        <n v="231.34605216559626"/>
        <n v="14.173660358631672"/>
        <n v="663.7488560304641"/>
        <n v="663.7478419714363"/>
        <n v="1327.4956839428726"/>
        <n v="361.9860310515404"/>
        <n v="211454.51572322845"/>
        <n v="121.64473632812499"/>
        <n v="144.74476833343508"/>
        <n v="192.38228702545166"/>
        <n v="18914.843239116668"/>
        <n v="8630.635838413238"/>
        <n v="503.8583707809448"/>
        <n v="3727.635837650299"/>
        <n v="108718.8948225975"/>
        <n v="1387.459293039322"/>
        <n v="1411.3183219337463"/>
        <n v="1547.488900489807"/>
        <n v="1411.3586261219023"/>
        <n v="1663.387432026863"/>
        <n v="1547.4543540428162"/>
        <n v="361904.142288208"/>
        <n v="99859.58149337769"/>
        <n v="641799.043426094"/>
        <n v="217230.0397567749"/>
        <n v="6131.545888137817"/>
        <n v="163.89352216720582"/>
        <n v="1185.8178368568422"/>
        <n v="2539.034939670563"/>
        <n v="42550.08881120681"/>
        <n v="60172.58640594483"/>
        <n v="76450.6312573433"/>
        <n v="2415.457471084595"/>
        <n v="4459.306100463868"/>
        <n v="327934.88121032715"/>
        <n v="92247.58671455384"/>
        <n v="552.5260681915283"/>
        <n v="276.26303409576417"/>
        <n v="1473.5321397399903"/>
        <n v="736.7660698699951"/>
        <n v="1086.725104637146"/>
        <n v="85.9382456231322"/>
        <n v="492.35306290729056"/>
        <n v="491.9605411987279"/>
        <n v="484.4372084540367"/>
        <n v="491.60072963282136"/>
        <n v="491.2409180669149"/>
        <n v="489.7362515179767"/>
        <n v="335.487615285939"/>
        <n v="335.77752082891334"/>
        <n v="335.8667225354626"/>
        <n v="335.933623814271"/>
        <n v="335.1085080364153"/>
        <n v="490.88110649990483"/>
        <n v="17.916459936731687"/>
        <n v="27.994468651557128"/>
        <n v="85.93414610683472"/>
        <n v="492.2223265443445"/>
        <n v="491.6009575847728"/>
        <n v="492.7455846147495"/>
        <n v="488.853852713491"/>
        <n v="485.3545643644844"/>
        <n v="490.1619978906072"/>
        <n v="335.71066395276034"/>
        <n v="335.443112117844"/>
        <n v="335.59918402145325"/>
        <n v="335.57688803475037"/>
        <n v="334.9080084502185"/>
        <n v="491.960697509142"/>
        <n v="85.93200313047986"/>
        <n v="492.38598789068226"/>
        <n v="491.4052695510127"/>
        <n v="492.091772388671"/>
        <n v="491.6667944414441"/>
        <n v="491.14374465947765"/>
        <n v="491.4379601614889"/>
        <n v="334.46267448952585"/>
        <n v="333.1923091638103"/>
        <n v="330.42870740210105"/>
        <n v="335.5993171499575"/>
        <n v="490.26109815454765"/>
        <n v="200642.43682861328"/>
        <n v="112348.35167977716"/>
        <n v="395247.64291744237"/>
        <n v="3009.0101924604005"/>
        <n v="3014.6626849954155"/>
        <n v="9203.38834445408"/>
        <n v="9209.040836989096"/>
        <n v="3286.796400320013"/>
        <n v="270.02143072128297"/>
        <n v="540.0428614425659"/>
        <n v="270.0307611093521"/>
        <n v="540.0708526067734"/>
        <n v="810.1109441041947"/>
        <n v="4253.517773651123"/>
        <n v="2881.3954436798094"/>
        <n v="7812.421041778564"/>
        <n v="587.160553741455"/>
        <n v="704.6318542480469"/>
        <n v="1409.165734100342"/>
        <n v="469.68925323486326"/>
        <n v="845.5190353393555"/>
        <n v="1691.038070678711"/>
        <n v="939.4568859863282"/>
        <n v="845.5092378997804"/>
        <n v="1972.8712174987795"/>
        <n v="1409.1951264190673"/>
        <n v="1691.0282732391356"/>
        <n v="31829.855757522582"/>
        <n v="51563.9579873085"/>
        <n v="48126.3607881546"/>
        <n v="1497.750378704071"/>
        <n v="1765.2147419929504"/>
        <n v="1642.244538784027"/>
        <n v="330.3677101135254"/>
        <n v="9559.807045936584"/>
        <n v="61605.235317230225"/>
        <n v="9918.539660453796"/>
        <n v="143380.55047988892"/>
        <n v="174330.55979118348"/>
        <n v="51642.34830093384"/>
        <n v="2869.01935005188"/>
        <n v="7346.545505523682"/>
        <n v="6160.27173652649"/>
        <n v="5942.968653678894"/>
        <n v="1808.0235149383545"/>
        <n v="1496.3753213882446"/>
        <n v="707.5883302688599"/>
        <n v="1026.9697296142579"/>
        <n v="325.56796398162845"/>
        <n v="46461.10041809082"/>
        <n v="70256.17465019226"/>
        <n v="147415.28171539307"/>
        <n v="128795.67178630829"/>
        <n v="168674.1841666317"/>
        <n v="255.89798440933225"/>
        <n v="249.16218943977356"/>
        <n v="1875.433010816574"/>
        <n v="67.52329482308828"/>
        <n v="477.4941039085388"/>
        <n v="78.16235958153786"/>
        <n v="434.94647846993377"/>
        <n v="435.91222907236073"/>
        <n v="435.0292570931458"/>
        <n v="434.3670281089183"/>
        <n v="435.3051858366964"/>
        <n v="436.07778631878494"/>
        <n v="434.86369984745625"/>
        <n v="323.15617137834556"/>
        <n v="323.52502433193456"/>
        <n v="323.64797531719876"/>
        <n v="323.2791223628753"/>
        <n v="322.6438756088599"/>
        <n v="26.987741135477304"/>
        <n v="78.15315320798345"/>
        <n v="323.85289362499304"/>
        <n v="323.16576636525144"/>
        <n v="323.10686974261006"/>
        <n v="323.40135285434764"/>
        <n v="434.67671195675354"/>
        <n v="435.81343266554376"/>
        <n v="434.9939363407899"/>
        <n v="435.9720448571946"/>
        <n v="435.628385108128"/>
        <n v="435.0732424366153"/>
        <n v="320.88843030374284"/>
        <n v="323.5190246625953"/>
        <n v="78.1825216429885"/>
        <n v="323.3422705055997"/>
        <n v="323.71541816971524"/>
        <n v="323.2833524537575"/>
        <n v="435.2315468304246"/>
        <n v="432.983723189697"/>
        <n v="435.8133364783969"/>
        <n v="435.9984513668889"/>
        <n v="435.7604465104662"/>
        <n v="434.94065200607116"/>
        <n v="435.522441654778"/>
        <n v="298967.6533510065"/>
        <n v="5612.57462430954"/>
        <n v="3322.5667356777194"/>
        <n v="7259.057046718597"/>
        <n v="4527.54090801239"/>
        <n v="2261.931372566223"/>
        <n v="6156.4118694305425"/>
        <n v="2550.589983153447"/>
        <n v="1859.1465570925175"/>
        <n v="2551.6098112155423"/>
        <n v="564.9847463680753"/>
        <n v="6995.449401855469"/>
        <n v="35165.08795452118"/>
        <n v="493.39254250956657"/>
        <n v="710.4852605141768"/>
        <n v="1657.7989456843552"/>
        <n v="47.020627034902574"/>
        <n v="95.65272313103677"/>
        <n v="392.82534817415603"/>
        <n v="504.64216924190526"/>
        <n v="605.543277130127"/>
        <n v="726.665595536232"/>
        <n v="1211.086554260254"/>
        <n v="1453.2628761720657"/>
        <n v="242.24463681221008"/>
        <n v="504.6148432817459"/>
        <n v="5465.9994169759"/>
        <n v="3235.798990383348"/>
        <n v="7069.46689451699"/>
        <n v="1211.0728912801742"/>
        <n v="1453.2902021322252"/>
        <n v="201.84320471668244"/>
        <n v="55402.346210479736"/>
        <n v="141720.3910150528"/>
        <n v="1418.7615534782408"/>
        <n v="1555.5683210468292"/>
        <n v="1672.0975374984741"/>
        <n v="43241.21082687378"/>
        <n v="30607.025765419006"/>
        <n v="430.068926076889"/>
        <n v="359.01350934028625"/>
        <n v="199.04382781028747"/>
        <n v="135.94815826416016"/>
        <n v="1223.5334243774414"/>
        <n v="1872.4406127929688"/>
        <n v="2061.646812438965"/>
        <n v="163179.83573913574"/>
        <n v="12398.612186431885"/>
        <n v="98057.86487579346"/>
        <n v="114702.16233444214"/>
        <n v="8750.272315979004"/>
        <n v="150004.66827392578"/>
        <n v="421.6907553577423"/>
        <n v="1012.1434788322449"/>
        <n v="373.52966448520647"/>
        <n v="2559.8245658254623"/>
        <n v="2504.890678625107"/>
        <n v="6522.157772583962"/>
        <n v="451.4309318267517"/>
        <n v="1083.4342394409332"/>
        <n v="148.97220047235106"/>
        <n v="650.0605421361954"/>
        <n v="1300.1210827440264"/>
        <n v="541.7171120786438"/>
        <n v="1516.807933688942"/>
        <n v="51139.237480163574"/>
        <n v="81626.09059333801"/>
        <n v="1523.5636100125992"/>
        <n v="1670.4786724066398"/>
        <n v="1795.6285403726852"/>
        <n v="19942.19518661499"/>
        <n v="2200.8343596458435"/>
        <n v="1014.3277600765227"/>
        <n v="76883.40598964691"/>
        <n v="6494.891304254532"/>
        <n v="8138.921513605117"/>
        <n v="1999.4962005615234"/>
        <n v="5168.836532354355"/>
        <n v="1923.1265540122986"/>
        <n v="13795.135244846344"/>
        <n v="48989.04545278549"/>
        <n v="3009.658343553543"/>
        <n v="978.8021949833021"/>
        <n v="18739.99786376953"/>
        <n v="3681.5993137583437"/>
        <n v="4502.687509356656"/>
        <n v="7655.306707780159"/>
        <n v="1783.9817738253632"/>
        <n v="1529.1272347077727"/>
        <n v="530.9469564958628"/>
        <n v="1274.2726955896246"/>
        <n v="424.75756519635576"/>
        <n v="637.1363477948123"/>
        <n v="764.5636173538863"/>
        <n v="181256.6728811264"/>
        <n v="1402.0424208078036"/>
        <n v="1652.4071388094608"/>
        <n v="1402.8420647741318"/>
        <n v="1537.2393685286352"/>
        <n v="20408.309844970703"/>
        <n v="9495.693592071533"/>
        <n v="425.23118600341303"/>
        <n v="511.2835107118813"/>
        <n v="806.9777943455632"/>
        <n v="7553.537601736708"/>
        <n v="4601.050732670907"/>
        <n v="2150.280920857089"/>
        <n v="541.3433936680995"/>
        <n v="649.6120724015348"/>
        <n v="38.95507060814748"/>
        <n v="1559.0689737640525"/>
        <n v="779.5344868820263"/>
        <n v="94991.47737121582"/>
        <n v="46.20907208367904"/>
        <n v="1818.9138027245742"/>
        <n v="27092.948455810547"/>
        <n v="2609.6124197572967"/>
        <n v="543.6692471630788"/>
        <n v="1439.0623122490622"/>
        <n v="1696.037725150488"/>
        <n v="1577.8290352160973"/>
        <n v="124801.7025232315"/>
        <n v="53759.99022960663"/>
        <n v="29501.037145614624"/>
        <n v="8911.009856700897"/>
        <n v="108145.9004073143"/>
        <n v="2242.9013258557607"/>
        <n v="2728.3778033137523"/>
        <n v="2505.0586236828995"/>
        <n v="1659.6543445587158"/>
        <n v="19011.601000785828"/>
        <n v="126731.75266599655"/>
        <n v="33723.62135410309"/>
        <n v="277158.31709861755"/>
        <n v="36713.72064828873"/>
        <n v="334.00181196284433"/>
        <n v="648.3564585158715"/>
        <n v="4.047316074371338"/>
        <n v="5973.372283476566"/>
        <n v="6956.694310826126"/>
        <n v="6956.096183072517"/>
        <n v="457.1798371106217"/>
        <n v="507.9775967894422"/>
        <n v="609.5731161474956"/>
        <n v="731.4877393767473"/>
        <n v="406.3820774318012"/>
        <n v="853.4023626064114"/>
        <n v="30807.791103363037"/>
        <n v="64522.6699590683"/>
        <n v="31880.110989570618"/>
        <n v="49898.25168514252"/>
        <n v="26971.46849155426"/>
        <n v="35334.91242980957"/>
        <n v="688.6070342063904"/>
        <n v="2812.7291564941406"/>
        <n v="3591.9070098876955"/>
        <n v="4992.3034121513365"/>
        <n v="69.99911031723022"/>
        <n v="2698.486412525177"/>
        <n v="274.61189432144164"/>
        <n v="486.3424536765478"/>
        <n v="335.24576903941374"/>
        <n v="9122.840076694154"/>
        <n v="12258.096282920014"/>
        <n v="283.30628369515915"/>
        <n v="463.88999047411306"/>
        <n v="371.1119923793747"/>
        <n v="556.6679885688513"/>
        <n v="668.0015862829588"/>
        <n v="779.3351839966448"/>
        <n v="81222.0203704834"/>
        <n v="39684.539494514465"/>
        <n v="7102.748870849609"/>
        <n v="82700.29573440552"/>
        <n v="48667.848348617554"/>
        <n v="21775.06543636322"/>
        <n v="603.6475519012785"/>
        <n v="724.3770724026919"/>
        <n v="503.03960128150464"/>
        <n v="9889.487788851757"/>
        <n v="7183.73814017016"/>
        <n v="340.88308039482274"/>
        <n v="5251.3523521001525"/>
        <n v="7768.661109627199"/>
        <n v="5157.162027456465"/>
        <n v="385.56151459013836"/>
        <n v="578.3422718877016"/>
        <n v="694.0107262652419"/>
        <n v="481.9518932501434"/>
        <n v="694.0107262522727"/>
        <n v="809.6791806442787"/>
        <n v="1349.4653012400713"/>
        <n v="1927.8075732001018"/>
        <n v="722.927839700628"/>
        <n v="240.9759466001307"/>
        <n v="867.5134079400458"/>
        <n v="25189.683395385742"/>
        <n v="5572.2947998046875"/>
        <n v="10791.123138427734"/>
        <n v="53628.13941192627"/>
        <n v="295.2484558105469"/>
        <n v="1378.5191986083985"/>
        <n v="2972.2370956420896"/>
        <n v="11476.902770996094"/>
        <n v="153.31397652626038"/>
        <n v="559.7259414196014"/>
        <n v="881.4254379272461"/>
        <n v="42288.77604317665"/>
        <n v="51830.07041835785"/>
        <n v="398.9364825600255"/>
        <n v="463.7636609766091"/>
        <n v="543.550957488406"/>
        <n v="749.1726716637455"/>
        <n v="874.0347836077922"/>
        <n v="520.2587997802293"/>
        <n v="624.3105597196989"/>
        <n v="437.01739181111486"/>
        <n v="1625.4965937856223"/>
        <n v="4517.927417312472"/>
        <n v="802.4471725698746"/>
        <n v="104587.17438031292"/>
        <n v="24730.277342748643"/>
        <n v="16608.198688459397"/>
        <n v="37971.63562774658"/>
        <n v="3141.9426136016846"/>
        <n v="4631.936017990112"/>
        <n v="3853.6727180480957"/>
        <n v="3983.237361907959"/>
        <n v="3427.3350048065186"/>
        <n v="4263.3771324157715"/>
        <n v="3987.6145458221436"/>
        <n v="3357.3000621795654"/>
        <n v="4193.342189788818"/>
        <n v="24682.940092086792"/>
        <n v="3689.966039657593"/>
        <n v="4495.367879867554"/>
        <n v="3186.589889526367"/>
        <n v="4604.797477722168"/>
        <n v="4709.518292527199"/>
        <n v="4144.374086689949"/>
        <n v="2984.8934734201434"/>
        <n v="2157.3341654491423"/>
        <n v="4763.337595925332"/>
        <n v="4648.063090977669"/>
        <n v="4620.436959619522"/>
        <n v="4491.827773566246"/>
        <n v="4434.056480970383"/>
        <n v="3844.01186378479"/>
        <n v="3810.6682279109955"/>
        <n v="3715.4026777315144"/>
        <n v="3482.9539957618713"/>
        <n v="3028.530249633789"/>
        <n v="2850.913221721649"/>
        <n v="2848.4773891592026"/>
        <n v="2399.766525473595"/>
        <n v="2349.5523225164416"/>
        <n v="2169.735187773704"/>
        <n v="2000.5996641349793"/>
        <n v="1595.5257932806014"/>
        <n v="3025.8217147541045"/>
        <n v="40448.65747082663"/>
        <n v="57124.81338787079"/>
        <n v="2325.148300027847"/>
        <n v="5396.51625374794"/>
        <n v="5306.93800983429"/>
        <n v="10086.27112364769"/>
        <n v="76547.05065555572"/>
        <n v="770.0639560855357"/>
        <n v="399.2765405199608"/>
        <n v="499.0956756500843"/>
        <n v="495.9380386652421"/>
        <n v="598.9148107802077"/>
        <n v="718.6977729365691"/>
        <n v="8038.155458450317"/>
        <n v="206705.32528066635"/>
        <n v="591.0303062152863"/>
        <n v="709.1941283798218"/>
        <n v="492.5076555633545"/>
        <n v="825.2890295464822"/>
        <n v="491.2434699677922"/>
        <n v="707.3905968132623"/>
        <n v="1560.975250033751"/>
        <n v="3448.332661819402"/>
        <n v="1338.1472120322937"/>
        <n v="39370.35437321663"/>
        <n v="26929.631994771957"/>
        <n v="42328.66911711693"/>
        <n v="47492.10804128647"/>
        <n v="155383.58693647385"/>
        <n v="48020.569173812866"/>
        <n v="157113.09609746933"/>
        <n v="37392.62861967087"/>
        <n v="1972.9215614318848"/>
        <n v="4907.749143886566"/>
        <n v="671.5192976951599"/>
        <n v="196641.11420822144"/>
        <n v="1542.6133007049561"/>
        <n v="149.02670044898986"/>
        <n v="298.5875467777252"/>
        <n v="681.0141052288994"/>
        <n v="472.92646203498583"/>
        <n v="756.6823393194024"/>
        <n v="454.0094035387872"/>
        <n v="227.00470179582072"/>
        <n v="233.51266095330476"/>
        <n v="566.2828897094727"/>
        <n v="471.92125403404236"/>
        <n v="401.7674112938772"/>
        <n v="602.6511169411086"/>
        <n v="723.1813403295645"/>
        <n v="843.7115637180203"/>
        <n v="502.20939888899176"/>
        <n v="1088.521839686712"/>
        <n v="6173.290196899655"/>
        <n v="1746.8177428720514"/>
        <n v="114213.99798297882"/>
        <n v="17801.645669937134"/>
        <n v="68031.76689147949"/>
        <n v="53444.622207164764"/>
        <n v="1940.6319379806519"/>
        <n v="25459.21571445465"/>
        <n v="87099.86713838577"/>
        <n v="5243.9491306304935"/>
        <n v="11624.131876516341"/>
        <n v="5959.033102989197"/>
        <n v="697.5385268061257"/>
        <n v="394.30479754022207"/>
        <n v="1673.6196692760732"/>
        <n v="525.4387333768152"/>
        <n v="1284.4057927003134"/>
        <n v="1401.1699556727344"/>
        <n v="2160.137014996233"/>
        <n v="487.8356302927649"/>
        <n v="1348.2820663452148"/>
        <n v="11509.875804901123"/>
        <n v="175.62082690504903"/>
        <n v="495.4074794026536"/>
        <n v="7643.406476564323"/>
        <n v="8612.45759308041"/>
        <n v="498.790980319513"/>
        <n v="453.89979203988247"/>
        <n v="15145.540735721588"/>
        <n v="37863.85183930397"/>
        <n v="98446.01478219032"/>
        <n v="1521.2219429016113"/>
        <n v="3803.0548572540283"/>
        <n v="9887.942628860474"/>
        <n v="17510.79992866516"/>
        <n v="4182.850671100617"/>
        <n v="289.88056306838985"/>
        <n v="869.6416892051698"/>
        <n v="192.8494122505188"/>
        <n v="747.7463059902191"/>
        <n v="4621.657369804382"/>
        <n v="38558.93712377548"/>
        <n v="814.5944682560133"/>
        <n v="794.4258180455101"/>
        <n v="938.8668758717163"/>
        <n v="24642.081489658358"/>
        <n v="186199.42534160614"/>
        <n v="18619.942534160615"/>
        <n v="4091.1329944610593"/>
        <n v="13986.29930820465"/>
        <n v="1365.6702183871716"/>
        <n v="728.3574498066768"/>
        <n v="220.4854063290596"/>
        <n v="1322.9124379743575"/>
        <n v="261.5032768249512"/>
        <n v="130.7516384124756"/>
        <n v="174.33551788330078"/>
        <n v="522.4684810638428"/>
        <n v="5804.188985824585"/>
        <n v="10567.745590209961"/>
        <n v="3383.1313848495483"/>
        <n v="24808.428208827972"/>
        <n v="47793.99616408348"/>
        <n v="929.5085329055787"/>
        <n v="22085.525002098082"/>
        <n v="5350.857751464843"/>
        <n v="3669.213891363144"/>
        <n v="299.53277022361755"/>
        <n v="43384.21857833862"/>
        <n v="308.20695533752445"/>
        <n v="69320.03954601288"/>
        <n v="1470.832740020752"/>
        <n v="682.886629295349"/>
        <n v="2824.0504264831543"/>
        <n v="1212.953713295548"/>
        <n v="676.8415754476147"/>
        <n v="735.4688740957932"/>
        <n v="1300.3089694023665"/>
        <n v="1704.2459686197158"/>
        <n v="3922.010693825701"/>
        <n v="910.5196459145441"/>
        <n v="413.7507083954343"/>
        <n v="501.60132261350486"/>
        <n v="21246.4195605278"/>
        <n v="78818.67565860748"/>
        <n v="65419.104813575745"/>
        <n v="397.0724243094223"/>
        <n v="493.403675312677"/>
        <n v="788.2998872638004"/>
        <n v="19940.431915283203"/>
        <n v="394.14994363217176"/>
        <n v="481.4771140768982"/>
        <n v="3621.9248890824165"/>
        <n v="5595.058594030842"/>
        <n v="2029.2692290253487"/>
        <n v="379.57162714004517"/>
        <n v="359.8779108333588"/>
        <n v="4285.077207756042"/>
        <n v="28237.927122974394"/>
        <n v="19216.617959976196"/>
        <n v="195.60231971740723"/>
        <n v="27576.66704149246"/>
        <n v="8889.038751602173"/>
        <n v="2570.6398051272563"/>
        <n v="1461.5840001106262"/>
        <n v="292.3168000221252"/>
        <n v="1119.2799406051636"/>
        <n v="146.1584000110626"/>
        <n v="194.5156401634216"/>
        <n v="6142.290253744126"/>
        <n v="8777.649079170227"/>
        <n v="142.89934673309327"/>
        <n v="762.1298492431641"/>
        <n v="271.1313934326172"/>
        <n v="1634.1105122138379"/>
        <n v="593.687218699891"/>
        <n v="558.4190599298795"/>
        <n v="279.35682439804077"/>
        <n v="370.0940847819602"/>
        <n v="542.6291853243346"/>
        <n v="3888.5249534818117"/>
        <n v="6733.192788510867"/>
        <n v="1510.8079331724477"/>
        <n v="546.1110992052758"/>
        <n v="436.88887946481896"/>
        <n v="1239.6387981164023"/>
        <n v="763.6174988013313"/>
        <n v="9801.825889587402"/>
        <n v="11363.333951950073"/>
        <n v="18469.072887420654"/>
        <n v="666.418890285492"/>
        <n v="511.88280861854554"/>
        <n v="405.88078157494226"/>
        <n v="507.3509769686778"/>
        <n v="2886.0119894599916"/>
        <n v="5812.9521039962765"/>
        <n v="3330.558354282379"/>
        <n v="8015.2887716293335"/>
        <n v="390.03071641921997"/>
        <n v="141039.06595420837"/>
        <n v="39399.83112504006"/>
        <n v="925.1298399106504"/>
        <n v="127.1799490841706"/>
        <n v="508.71979633594594"/>
        <n v="406.02876031473886"/>
        <n v="4984.99970055868"/>
        <n v="6823.412610471743"/>
        <n v="4268.867388117808"/>
        <n v="4579.842257083992"/>
        <n v="7623.987674743409"/>
        <n v="4534.350019097456"/>
        <n v="28991.929790496826"/>
        <n v="81560.93978881836"/>
        <n v="393.84800085587915"/>
        <n v="492.31000060700575"/>
        <n v="216.17872683048247"/>
        <n v="1190.3077181625365"/>
        <n v="6191.023391599655"/>
        <n v="8795.220908465386"/>
        <n v="488.8251615260304"/>
        <n v="390.7255084472549"/>
        <n v="742.1105630779266"/>
        <n v="140.1749610900879"/>
        <n v="2074.8246640491484"/>
        <n v="4184.825438261032"/>
        <n v="234.42325592041016"/>
        <n v="147.99872875213623"/>
        <n v="1855.3516045331955"/>
        <n v="6118.221773546935"/>
        <n v="5456.167616289854"/>
        <n v="5120.244095456601"/>
        <n v="306.4683952331543"/>
        <n v="283.31911182403564"/>
        <n v="5138.318881988525"/>
        <n v="3278.605613708496"/>
        <n v="2003.8342475891113"/>
      </sharedItems>
    </cacheField>
    <cacheField name="beneficiary" numFmtId="0">
      <sharedItems containsBlank="1">
        <s v="1FgdNoPRwo8oUsGVxWyivf3eyAvCF1NsBecZhbYU1Kb5HGx"/>
        <m/>
        <s v="157syWyZt7yPWbSPpjmVhzeYHA8pc3kk8eV1qUnHrAXeWJCU"/>
        <s v="13gzrNGhMUZpVsuH3rBTt9g3CJrs7iRVHagKicb3GD6RbppB"/>
        <s v="1qAsfc59XsRLiy3DZfc4buS4umW6Q4xaJcWALj1eguZTi75"/>
        <s v="15akZwzufEzFzfh18y4Q81Ci8TXyvH6hyUkRrxJED2MjEYhe"/>
        <s v="1HomBzZwkpQjhm3e9hQJ2AVFPmV4Ppon9ycCo91bh88xmGn"/>
        <s v="12WQMLv8itdKJ83R4y3qNGYCRrsU6bFjyd4ZvcE4tmJoSiPv"/>
        <s v="12wnTQnY3qUTCofi792fTdf9HpQQ6jmyxrVdwyT6X2Jed4Yg"/>
        <s v="16Hw2qwttttQ8tMCPLwnX3wegtsaTYD9gGakKbAHDb9PW3g5"/>
        <s v="14jHouxT1VbhBDw93VW8Z89p139Qgu7ECHz3zxM2CpQEDJDB"/>
        <s v="15Fyr14f5Eq9xxioo2JoNw53eZnCJNZBrob8ZYuXz4DTTouP"/>
        <s v="1pHpxvp2CYscDreozYQdBkJkUkLFQftxQTAwMs5M1a6GRBf"/>
        <s v="13YWynHAu8F8uKZFbQwvPgJ67xizvo21HCEQU3Ke8z1XHoyT"/>
        <s v="12owmS8Sobqxfx6KK9vk9e67FqnGpZdmxCFCRFptzZdsoujC"/>
        <s v="14EQvBy9h8xGbh2R3ustnkfkF514E7wpmHtg27gDaTLM2str"/>
        <s v="15MV2nX6BEoiBz8Ua2xNta19sVBKT7kiw2MEHdu2Jd9a4VaC"/>
        <s v="16WWmr2Xqgy5fna35GsNHXMU7vDBM12gzHCFGibQjSmKpAN"/>
        <s v="13Jpq4n3PXXaSAbJTMmFD78mXAzs8PzgUUQd5ve8saw7HQS5"/>
        <s v="13xAUHVDyG1v9LLHYtMm7XZFyKNVxoj47oWV431XQ9kjXN38"/>
        <s v="13TUNfEBCi6xw5ZQgxYAwbCsALSuDfqDWMfbHigZNgncuV6v"/>
        <s v="13JsTxizvEUEeewFagowtFQaWpHbADWCoSkTGAY7QTSkvtWF"/>
        <s v="12ELL9BzwsGGM948o3cBduLgxuBwpC6eUmgExTGnXqSfikqq"/>
        <s v="15V2eerTdn7GwAudPkLiWWq7PJdZinx7Lx7qSq9nTNTBHi2j"/>
        <s v="13pgVrB53DyS7wLeGWkDYUSBYBTageJDjEqXLqxsqJBismsV"/>
        <s v="15XF37GkxgRJakURR4jycdrJnqWQctT5yUPzqLn81TZmwBDF"/>
        <s v="15vvAhHcmop8PjP5QNr3mXzX1oesv6vjun25iSgMe9YpDezv"/>
        <s v="14Gn7SEmCgMX7Ukuppnw5TRjA7pao2HFpuJo39frB42tYLEh"/>
        <s v="16Lcg6kZiDywR3YEHDdi6nHQhGnCYTiE2gxQ92DDQq2SZ1PQ"/>
        <s v="14aGNTNA9RMbuy73V8LJRCNszmBtiiKEmYZjdXp4GFNo1fpt"/>
        <s v="16dApD2ox2qV2mA3u2xiR72kyAGE7MLbDxepZUFkcSJz3Gmw"/>
        <s v="12jNpcKMqYbiDhucsr6TDrto3MdRtrBLbuDvTh3FprZeVbpb"/>
        <s v="14dfHJDm27ep5eAtgXqr1wjUYnK3p5LhgzLcYVX3tHRFsVo9"/>
        <s v="14gL78nk3rVZamwGg33VuEa1koYC3rcoymFcPGXKbJ7JKyHZ"/>
        <s v="167xwLzY4z3uNBMQSdDJmPnLgPKBY1SRsvQXbyaeHcnwd4um"/>
        <s v="14tcZ9ibPGdMwb7XXE4QChgVuJU1xXTvDFpV3E1HpMajbBsH"/>
        <s v="14icei1ZMoG9QtKBFDk4y1eMR756q2TREuRAi2BanJ9MJVPL"/>
        <s v="14xSXydBVvuMMaNduDXwWcckt3BziSB8Sa7o34Jt9z2aMGxX"/>
        <s v="14wQoaBqk718MgNxp3qdpqHnEgmTTmTkcVnYuxMWWvYr3DXb"/>
        <s v="14fbxKv81FF9wxyidiD4jrYokbF428KJBrB5DsgipQp6Yrmm"/>
        <s v="15wepZh1jWNqxBjsgErm8HmYiE21n79c5krQJeTsYAjHddeM"/>
        <s v="14AakQ4jAmr2ytcrhfmaiHMpj5F9cR6wK1jRrdfC3N1oTbUz"/>
        <s v="1ArdZJtNUrZsfidfn1t69xHaSWwzf6PQNdLEUpcnVmbkZc5"/>
        <s v="13GtCixw3EZARj52CVbKLrsAzyc7dmmYhDV6quS5yeVCfnh1"/>
        <s v="1MrurrNb4VTrRJUXT6fGxHFdmwwscqHZUFkMistMsP8k5Nk"/>
        <s v="15XG22uwqzdqWuBV91zBEfdgZ9UK9eCff4sTBHH6hTvLQKAi"/>
        <s v="14d2kv44xf9nFnYdms32dYPKQsr5C9urbDzTz7iwU8iHb9az"/>
        <s v="1y6CPLgccsysCEii3M7jQF834GZsz9A3HMcZz3w7RjGPpBL"/>
        <s v="15iA5hpjUecWBbf38Nfegwmtyux25o3LrGaNodfZDxq5nXXE"/>
        <s v="123kFHVth2udmM79sn3RPQ81HukrQWCxA1vmTWkGHSvkR4k1"/>
        <s v="16ce9zrmiuAtdi9qv1tuiQ1RC1xR6y6NgnBcRtMoQeAobqpZ"/>
        <s v="1EHRUR7YL8aeqeCT4LGFq9qrTpEiH1dCikh3n2j1CSbL2c8"/>
        <s v="1333zsMafds2sKAr8nG3zwXTCHPYv2Nm6CRgakpu6YVGt7nM"/>
        <s v="15JNnCt8g2ZmHHs1UMNxx6YUUMf6zvK6DwtN8ds4Lu1NWWER"/>
        <s v="12e7u2ZtFo9Fxp3ZQhTqJHV619AyntdXwghKzkyWk4XFU4Sj"/>
        <s v="1U9NbBVpku7VYWtGE5CFTyyaTVTNBrfyXDNETK89uGDD6wm"/>
        <s v="1TtCbdG7LjYwry8bYK6zV3xq2XAnXod4jf2htxH2NE1Wf2Q"/>
        <s v="12upgS3u7rhcWSFCXuv2GFzvXvW6Qf2YKajZUnMBxz3LPjEi"/>
        <s v="12itHPhSz9YKzydpCBPSxewfAJYZuReRPTP5qSuD5LPSeA41"/>
        <s v="15PvcMShyUasPpKKTpgJckBbcdDNz1k52NWGfahVXP5ZSSh1"/>
        <s v="13dLY5aynbYDCy1DxQYQGjd4yy5uSeVtA4pLdR7SrcxZyvT1"/>
        <s v="15LpomjmegxcrVwT7zDPvScWtx6FVYoTLxEkSzqwr3po9TCc"/>
        <s v="12uRdiaA7utebXJBBgDNCPswvTxzTdHLd8hZDUJWL1rwcvzz"/>
        <s v="146ZZqm2cMHLf3ju7oc8M9JnPaAktuADAKThagKnXqzjPJbZ"/>
        <s v="14oK8ctVWT9D1xdaN3hcHz5RBMDFfzQ6vXBpNaZj8v83TnWA"/>
        <s v="13DxmMjYqto1AWsMUSkN8JYNHX6d2vBhuSmapB5iYnEiYaxX"/>
        <s v="15WPvoetNGCk6EyQbCodKAZFqrs2Q4Dk9d3k3Lk2F9nsiYUK"/>
        <s v="13eEKEbD3hvRJy1THBopwV3MrLjyGyND1gSb8H5UuXxDYTRV"/>
        <s v="14zKb5ZByuhLHEiwQFSDHmXovf3mUi8aeC5dHLZFqUo5rpef"/>
        <s v="14ay13nhw4QcqrHqWM75gXhVaZTZ5Qe7GUXiv8iueBzeHAwP"/>
        <s v="14R3uMgjsv4sZ6B5mp1HTL2it1EmJbBST7P7DjSiqwrYbnmr"/>
        <s v="12rgvnVZa3ci6hD9xMSn2qQZV6xkdc4Fb2ja2MPVQEodH3Cz"/>
        <s v="12oRVrKXBq1S4T1onxBEzqdpR5V1Uf8yE31dbuDZfQ8sGLWo"/>
        <s v="12mDFyhRGnP9LsL56GjP65QxFNgCUxFuNZQQG4DSxtR3Tgm7"/>
        <s v="12cnYWf4NvJVmuPFM8kQzc9CAM8Qtey1PvvxGDFd5aJ799XN"/>
        <s v="12WSnw6ocUpUFLGVvJwXoXRK9Gk7AC8AZ7cXkRakUgAjzLyx"/>
        <s v="12P1AJysFNNjDtTuXndBydMkcHZRjJxbw6zz1AgLhvA3JySd"/>
        <s v="12EhX2KXrzWqTtU5pENPyFrFrZfUgj7DouvTMU4FQ9Tfe6m3"/>
        <s v="1EvYZwJ25wgUzMqJ61AadwTtaHr6BVosPcyK4goohUDqmjY"/>
        <s v="13B5zGLfXBhRpiQ1xcnsNeqbHHcRRRpBCL41xCJxdYmYoHdW"/>
        <s v="11Ft2vZgZGuLyn9pZGSVDzYFkYQq2E23ywzRcJ6t2EdzkMA"/>
        <s v="1249Qsh72ZcXFjLEDKAp879SfmFpzQMqb1qQKcfkdZgqbt3a"/>
        <s v="12dR4JYh1iPkaJXLSTbqz9iUpm6diRces6wJ6SAjkhmnwixN"/>
        <s v="1emX4nsNHZwbbCej7UMC8gKNpXoy1K3ABwRmnVJLg5Z2PU6"/>
        <s v="12bprALAt9PYJ5gqcLpLfevnGH1Lfwnkk5CyZYaWqatGJ37i"/>
        <s v="1BqHUUwZ6kuRhFZTdbhPwSmwxVnGdCVJTsUf1FU2DXWtEwc"/>
        <s v="14zUPG9wpRdfNGLJqU2xcABBxXStd5d4TP8GHz2CFFZSbD4A"/>
        <s v="15cZn8K1DaE7qiBWK6mGFJMKYKjFrALTVwe5urpD9PzKSsPY"/>
        <s v="15D2JM548bqRuE45aDmeF2WqiKC56WtNnRmCxVSree9YKwVb"/>
        <s v="1yCg8NSCgjS4K5KDK5DZGhxUCxmgVyhyG6vBPn5wqUmLuYo"/>
        <s v="1vfmouKGWQEJSpUWRqYrYLZ865ps6M7TDSu5kgfSV6tPxLf"/>
        <s v="14BA8G99RW6xxgu4q3Ks5GVQaA5g4wApn4JPeXbLiEU2Pent"/>
        <s v="14DjaZJk7hXERyrvdoguLiuXeoagHPJFqiRiHNfeTNRohHVx"/>
        <s v="12aj1nedSqMsVhAH5LyYJtjKPNrFWYoEh4FeGmWW2aS4DQQh"/>
        <s v="1WgB9o954mkQi97f36azSwDt7SfRUQuJ1kCyb7Sv1WAUcSe"/>
        <s v="1qr2Xp6Yp94NRvTm4HbVDVZSRBFUnDkVxUjCvRfCyA2JYhh"/>
        <s v="1R9CkkELVZMhVjEMnMoxYAwyEo2riFgBWdt5BLk6BB6rN68"/>
        <s v="1gkGXWr2wr1CqYCKqGHRRsBhL9iCmTy7ubwVgeys4m4tJwQ"/>
        <s v="1n4GEdMsCriWRc4PqcQ2DFTRuufRk7J6kRrPZ9Ym4eRCWqM"/>
        <s v="14btqGNtzVpfwW9y5xYrcK7uSfgjGZKxcYAG3fJo6ujHUVS"/>
        <s v="1wzZiegQfdppPw7Ag3vhhXbYuw47uJLJ5G6eXcKc6feTS5x"/>
        <s v="15Y5pEv8Uk1mFPeFS6aSmExsbwCVv4R3T6vnZKm7sZZTmExp"/>
        <s v="14wDEEnVKZDXVXq2arAmkf1QmnTcwN4fzNJRFoM77YvFxa8T"/>
        <s v="16iEYsszKAiWj8vu5Qor5XC5DY48gkJeytviFGYuy17Uj8xg"/>
        <s v="13RBN6UF43sxkxUrd2H4QSJccvLNGr6HY4v3mN2WtW59WaNk"/>
        <s v="19C7X2ayEGaHbRb7obTd7u2crJhYm6W47XpyLC2jQBGdpif"/>
        <s v="16DFsCgUtntqaz6wiYEMwcco3RBCwo4Dz7doLTTeeudxZWhE"/>
        <s v="13343zPsd3yZhwpAphFysoVQA3De2vDMELVMxbgExpHB5UCg"/>
        <s v="12xRcHjvStkUYgzTh9vyqinN3tUpddgcPnSUcLXZ3ty44Mq1"/>
        <s v="15AZxmt271W7YBo41JrxCYJHqdXhyrXsHhm5paFkd5GpreGP"/>
        <s v="16fZxnwnnzArZ7SRhSWUcEhGCFk2XDUxD54VqtaKRmr6FhNR"/>
        <s v="145pagyyifxGeH1VjbrHf1cPsKasjNNLeAKrFynEfijJAu73"/>
        <s v="14x5RbyJxD6KvNyncbJQuJJJ3zHinXg57YKwhJ7q9T9aJq4n"/>
        <s v="12soSZUb7UbsC8iLrTy6dUVkKCfNvQxMMSRtvZJkfQL1BPRX"/>
        <s v="13UVJyLnbVp9RBZYFwFGyDvVd1y27Tt8tkntv6Q7JVPhFsTB"/>
        <s v="15wbv2fXuFoeRcrWK4Q1Y5oM9LfsJyGmMXaUWDoAWXpZzWSp"/>
        <s v="1t3rUtnBQYeEWjwyivvVgTAdnt3Ndm7rPoMtsXxqbN9zery"/>
        <s v="15FsX8EdUftorgXBjtgbdD1NesqVPwfJPL79V5JDvk2CCc9x"/>
        <s v="14WBgUYr1scUwR5rvx7DwgMUhHtdtRyHMkurkU4AZ7wRgFxC"/>
        <s v="13jMGskc98pqSG4xf7KLNRzyjtr26jUxbJnQerrqD4dKyvsh"/>
        <s v="16He6v8w7FYToooNkPudf7YtaEiceLfaXJ3hJwJRGcSPGTgo"/>
        <s v="12mRyiCp9zdh1wEVW5gLLiFBxDPKks72rRXmSupyEK3VAMLf"/>
        <s v="15qz4ZLeyXp1i4Jbx7AXiUQVCCLWVXu3dLjcTPHY3v9KGAvL"/>
        <s v="12sMWVvgGNnRrhor2aUskxNq42EiTs4b2AMoCs5RrkVtNs2e"/>
        <s v="1316cTZeHz8HtEjaJRHu8sHbp9brtUmy2LiP74KZXgXhifry"/>
        <s v="1xtra1x2rXfWUxvFqscvUfjuDSx8AdEGhzADsYayZyicWsS"/>
        <s v="112FKz5UNxjXqe3Wowe73a8FHnR5B4R9qi2pbMaXJczGNJsx"/>
        <s v="12Qn3skJCjfbfeU6PCeAA9oV2NFe1xWMoHcEe9LVvFBHA2ei"/>
        <s v="14T3MFxNa4d7pyjRAdKU6tLC8sfde1HBLGNMHKCMFqjWRrrM"/>
        <s v="13ianMHbMJ3J1A7Ft769X2zXgppQzheRMRUFG7AQ77soJVk1"/>
        <s v="16X3CtQVwBvHGJCquvLw1ayG5SWk4qKUHudBDpQVGXBdvqdg"/>
        <s v="15PUkSRWuefDSLbEYp39MJ1zxShrratU4SXaLZanL8Zkren3"/>
        <s v="14oR2K2srg1jTZFxgJ39RttTpWanAmV27qqvxEL5YUeNZv3x"/>
        <s v="138jUztFkrSSYHpBs1EoNNjVLG7hYr7UZYAy4NRQGPhbb6VY"/>
        <s v="15DCme2GJxLz5yBeD3tkz5JFVtRyrBT7pham9aMGGT62yh3c"/>
        <s v="14wyzJLVcCvjXcBnB4DTYvtbobmri5fjAQQKwaRA3JeCxLos"/>
        <s v="13WVhKkqxEzCGqzn7yAT595oDeyRCHEDdW2rUUva5UYaKe3C"/>
        <s v="13cLXqkmiEn983QXBoF4Z8KAxyB2ryinm2p43r3qzWrVYwrv"/>
        <s v="12QHu3wumQWxYWXvZJyYuvLSR7H9tJs3jmgdQvL4jkRdG2pn"/>
        <s v="157HbMDJzgicoMvkTGfUQaw1XhknX8iyMU6iqwkZG7eutNJQ"/>
        <s v="15V3YDhibKoqFgQwZtyGNMDPyNtf8XUH2GU7BgRUqCQ1V9ku"/>
        <s v="1eeBEsvYXfjHzwTPYojFnf7XxmJkcTrdTzGfd6zm9fThpC5"/>
        <s v="13uwV8CBHjv25W3GACLPzzvTu2v9USc2yCQdhrqPhyM3vx6w"/>
        <s v="1gatoakSkH4be8KD9Ekj5xCXMdAiGxieg2NfTg41s2UME5J"/>
        <s v="1srcFWVcPn2oXEKuddMMTGCLQMDdRqxKKo9qpFTi8PA7NW1"/>
        <s v="15AVkixLRA3U7DJbLkmWSzAT4HTbpVeTBqPmsYZThmp2ykBL"/>
        <s v="12pUXtKj7jD3yaxnK6TWKBsxS1JpLUceBKZKMPMH6RiZvjr4"/>
        <s v="13nvTTfbnrxtHsKNqyXK4aWbwmSa4iGYq3UbrEwirZaG4Tmp"/>
        <s v="1Z6t6PFDNHdjGgfud2YDyE1eyxxbP7EvwYfy3QpHTcEmLp5"/>
        <s v="12QRC12udxzxSyFj9Sqs8tE6fzYtuWEjzuRN93CZk85GaSxr"/>
        <s v="163DJtcT4jwNgaMuUkBev8u9FLTP9YGZ4Ari6iBYGXs2RviA"/>
        <s v="15ho9b7DHy1gBxrHCEdi3h38rsJ3A6cSyFzWY1q7JoptW1Jn"/>
        <s v="13jTmeDrv75yy8DVrmTQ5fFs4Dqdo3STF8uRG2DVqAJMgYxe"/>
        <s v="15nKYvAm8Yu9QVK65JWrhfyabhHkWywg21X9gX4GFJo3v4cT"/>
        <s v="14MVAs6jPc7bPW33fC7eTwz4Zf1pD3KWW4tQtrHWUd9w1Phx"/>
        <s v="1fN87Fgj5BUhezFgbLiGbXTMrBVggnmYBX9anzMBky8KaJ5"/>
        <s v="17Mhc2sYRBswwpYiTQp2u1C1DoLQtCs9eDdrAqM1DAHvwee"/>
        <s v="16LjHWJ51bki8X654uCW65ZV7kiAMBDXkay3fWuhxnKLZX99"/>
        <s v="1eAL59EPokQFG4putYKwBjygGu3ewoHtyK3BSrgCMhM9ijf"/>
        <s v="12QzxRyL6ctkHHX8v92f2YUkgy9MGg6SUPCAwk5xUFsXhT1m"/>
        <s v="15tUgqVfVJTMTXGUSGXtV7GwbSDXm73Mga5SnEanbTqELqCi"/>
        <s v="16RgupyxyQJU7UDHX1FF5cjaSjceJ4iVK1nzePMzbsx1nxM4"/>
        <s v="14Uypo3euFeeVJYnUpExxSLbPrc57NTTKzbYHUA6Y5CmUKmr"/>
        <s v="1LXianUEPnzmJiL9Kb4hg56zKyJztqbwh5x8QdUknYuLbQN"/>
        <s v="1C42oGF3s8ztCsc22MA4LKd8BogMJNdVmCgtTXGfxqwjrSb"/>
        <s v="1A3CAKernZo3hGaQYNmfuhK1wLG51VPhV95VH7NrHPVAk8M"/>
        <s v="1KYJX482SpWZXLwtmspF3HiK3TQjms1jH67i4PqENfzYsoC"/>
        <s v="1gvSXTysfJ5F9tjMtuACQyp1dxbLDoYNr7HEQNE2N4dfUXH"/>
        <s v="126uimsLf3xV4BdPWFVntD49ANsN4vJvV8o5SCdRXiUwYS9f"/>
        <s v="16G7wZerqxib8YMDn3FKVfSMp1hky159JdhcGqHzy65F6RXE"/>
        <s v="1t67YMM4myXZ745px9a8PNWhU8FMyYJf5uXGowuwSAnp4x8"/>
        <s v="13B5YyS8u93FKbZYRFGh1BFwYjn5a8zhAJqEXtAWNmY7HzEu"/>
        <s v="1659xQWWCox1Kvems1aSi7sVbECLmyHT4Q5i39pZHMJb8tVc"/>
        <s v="13C9eaMNJPpEqEKRsEJ9P4DKxkb7XWQzeugEfdJkGdVFQPYh"/>
        <s v="15Sn8yJMmGEBMwZYLyr9bV49CPg3apGLNpCT1EdbtYgrnKhr"/>
        <s v="1rv96b4irpdH1dZE767TWzjwWxjH3ctSJRiF6juPVbW5udE"/>
        <s v="13mhGhH1XusScBGqv6GDy7okBTA28hErQgzdibiM1cUgzNgM"/>
        <s v="12aTyHELXwh9jD18FdvsPoNXJsf5cg49Ne7sD2BX6QvuP3GE"/>
        <s v="16DNbAdyy6QsTPdDDHL5gt7FaeAQ1UioJA6Pj7aUGJERveFd"/>
        <s v="158sHoKeq7ZesHMLcp2MkxFQpd7caEW6Rcy1md3AK1fuX8ak"/>
        <s v="14rQsJw6kiCEELTTeJ3yTaHWSFRhivuikAb82qKXJ7igeB6v"/>
        <s v="1NFfEH3yspdEgLnhZ5QWgb7B2z5LNCAE3HUo5nDxF5MqTcj"/>
        <s v="15UQ1nhCRRJoWf1C4LBraqCVXS91qPiWLiWQfnS3k8Dk4R79"/>
        <s v="14YXgiAqian6PWkABXGVhKB43tmbqMwscHLdhHi1qQVBeVQM"/>
        <s v="13g68Lsiu9PvD3Ro8HrM2rmhUPE38rCf4QhyA1FqiYhiEtgB"/>
        <s v="19bsWyxxQs5o2bpAABJD3cRtkRUBqUHZJiyq2zv31jQFRzG"/>
        <s v="12kSJsUGe6eMLqnibadLBJProwwNJBhfC3grB4yoGgkzff2U"/>
        <s v="13u3eUBZyVL1yvFjXXhDizT9wtsyFMPuvgqXXExLJvDnZSP4"/>
        <s v="123xYo8RqXR6mmCE7pxUh2YG5RnkJi4uj6C3vn4MpDvoyJQT"/>
        <s v="14zU4FXuYU2wmi2PfXLADZW92NRYEw8nfUEvi7sqiJLafJ3A"/>
        <s v="149BsxLw1jXeDnbh9WHd7Pezxyfnpwo3oYnJWWUEPQhsJkDm"/>
        <s v="13jNQeBeocjcKobMqBL9FpvSkQr2oQswFJrn2sy4tNNe8E5f"/>
        <s v="1ABthvYadBjA3vVKZ5caTPvc8qb8WMSng79mf7kxQnzfAij"/>
        <s v="15rox1e8G2SWg6EpyfiGVoH8q63shGXpXSmp7Sz8LYsUTfuN"/>
        <s v="15VRHQD9B2bhzjRxadArYu92uWPrE3GmvFb4NjqUNMqfhgUs"/>
        <s v="16chRF6zGohwhrCvotxt3sB1sLz3pgewC5th123mLoThhQAo"/>
        <s v="15ofDV8nx95Mrfq9rgLfe48GAf8Xcu12WG7cG5HTHFm7AR14"/>
        <s v="15g8f9DZoEjJnneMUREZ1JgGgtmqEmhxAGCJ4JtZNjT8SiZ2"/>
        <s v="13Ec62Cvw9jmPxA23EidSwASPs9X2Vohqv9RCogCfDvXC4c8"/>
        <s v="14xeAxD7LSJQmNXn2RQcm6WTJiByv6HKn6T8fTjqX1HeCMwR"/>
        <s v="125hDLmQApLutC9S1VQSnvFxk52iMCgyBfQtvk3hA57kzCPc"/>
        <s v="133VgJJgp1s9wxLqgCFxYx6T873hZQNchJM9tmbU6NkYaaqW"/>
        <s v="165n5jnbbkjZNyWaGMDaPzFARr3R89wb7eNtaG9erz2HUyey"/>
        <s v="16jLz2P4i3zorb3tTxk2HR6LKMCkRbo11DfVgjckzjHkPeui"/>
        <s v="13tGJdtNavQZEovGV2ovNtq5ckfyCLS4RiPVwaVfvXq2Jub3"/>
        <s v="14ogWEsaFHYk1rDcRMLVApekUd3np4e1ker81tBF6odd39Q9"/>
        <s v="16S4PEmaYJkP6M8LHqWc7gSg5YVXNPbiGZbsicrgDkmdyf2w"/>
        <s v="12zgSMDwF5xpzcksvEdDzcSFouFNroXGRffgnhogSk1kR7iS"/>
        <s v="14z9caBTF58zah1R7HZbUjMc8Lc5H4tz3sJ5JTaxBYkjWxnU"/>
        <s v="15uvBEdyLUCH4ZEjaQCcWv2afVxLRsdpRaSgMGvdHaDTiPWn"/>
        <s v="13EoVLNYDR7YCEkzX1rGEGEutE1mpCuu7UDmca4BfjRmGCit"/>
        <s v="14RuJvWbTGjC17QnyeXULBVdaRQpYgPcqz6EL5PgNX9jM4KU"/>
        <s v="167dwA1UDmWSBRrFd9dXqXjdk1NRhqVjenT2FbHGDyy44GjS"/>
        <s v="15reUHgnkE9QeH9zUoduCVYAbksTmQXvpMd6L95rBhTNFuGw"/>
        <s v="121Rs6fKm8nguHnvPfG1Cq3ctFuNAVZGRmghwkJwHpKxKjbx"/>
        <s v="13NevqvUKVA8VbQEksjkrT2W7p8wKDyAdZd4CjpsaiPDu1vT"/>
        <s v="166LkcArPr1fxYkWYFYfCnsB3HA8QY5vPTAzkxJCBDDKTMGv"/>
        <s v="1HrXYRi3stRzgPYNGaGMSxngbNAcPr4MLSVQY9PLCBVwvnw"/>
        <s v="14PiQ7uar36zPMgEckA7qWUahYheavRL6NHCbUCkXXRNrFSc"/>
        <s v="16JWPEVHTt1Xeyhw6WaYeXSKkWZCxhBDXX4LM3EwaBH4uSR1"/>
        <s v="14mZzbymFLQputQuxw2ern4BRKQ2igwMjbtrUz6m5BbVRBrc"/>
        <s v="1569WNv839m4iubJNkcp8wocAhXvdPsmLwms6fKXehTiQrkt"/>
        <s v="16Jbt5zru6XdUx1jYRV8AZtGk76ujtUNdd1UVWVVkVvGZ31L"/>
        <s v="14Z3KThT7jK4LtEwq8yshGWkx18BZy5eaW3mmAZKPePH95Xk"/>
        <s v="14H1xWm7LFz8u9FJ2roq9DDymUMyARz5gY736i5TMaSwvKC3"/>
        <s v="13msbKcRkxBR4uypvpnNhF5uarJ8Vqkr1ffrn9eko25QRgo1"/>
        <s v="15jVYrjFWz1aqkJhuzdBGeF1nKcfnVhUUWxyYxiC4tSezMm9"/>
        <s v="136t5kE5YfC1n64Y9Ta6eLYSHaSzTthgHSevmyAPjmJ65V1L"/>
        <s v="15G4hfDNtNhRc82As8Ep2YfvpM5xVdX7De3P9qSdHerGA6wC"/>
        <s v="1st63Adu7W4cB268CvKHfMwq5rJQkzTitBnWsvGrAx83iiT"/>
        <s v="14swtaH1B1rNc4aNHGnW1NC9r7rox11cvqXD7LGjuiujVM6"/>
        <s v="13rR4nr2HvzqQjDMVSmkYverHBxoMKsSr2WriGxwKxG69FcA"/>
        <s v="1Gta7cam3qzcmZkrzwea7ZDgzty1EgP8cCAwWpayw64GtYN"/>
        <s v="13hAqNjMMmvEhk3bEeAB2pHePpc4FfiQQviZefm4G9rvKyfT"/>
        <s v="12Sv81DXeah1B8edXhy7EFgqc68mj9V6zYYoayjGYxSQuebA"/>
        <s v="1eMGwHEaertoHK4GFvY7X4y3qZzEQ13nTdz8G7SAzXnDH2G"/>
        <s v="13H9Z6R1GaWnx7nvX1hgFXPCpzFb76kKEJ3jvy741yJkrz8g"/>
        <s v="123LuJKS65HaBbLSdDS46ByeC7bvQwA1iUhTpmjigQAfUKpK"/>
        <s v="12CHAK3YxJG5pGW6JAGp6Daj8ruRfPwCNbPM7jU8mC2zh2qD"/>
        <s v="13pbJnmDtgzcmjWSkpsazznFzsFNbMvKwsktxqgHtyJqXRhu"/>
        <s v="157CJLc4aa5zV7gij54DJCHGactsWcxbpnbRhY4p82dCW2KQ"/>
        <s v="12mvRSJUwpf6VfWLmgEJjcQgzzh2bCTSvFDwrykmijdzqS5m"/>
        <s v="13us6Meuo1u7hi7jers7Mh5LTfNEiFDA5g6qEUNeCc2FPEpy"/>
        <s v="14zeBBNT5poHFQwQXFYHoUhgLbsHrpscu2QGRiCNSqH1gf73"/>
        <s v="14m6YPTpa64jusibkvvCov4XsxW2ig7Hy3n23GpN9YVTqhUd"/>
        <s v="13R6AmmjuipkFoR75m9w57ngGed2p5vqCZjT1K3kjf5D28mU"/>
        <s v="13wTKVf96CDX36uBedQ6yiksz4GUQuqo2gfKoTX5EqY5yoDZ"/>
        <s v="13ug3JKbtky4qcZ2SR7kbCrk9tyZMymHxLhPBGLacPmonmEW"/>
        <s v="1ndvErzA6F2gHFXwEqjcPd7qtGnsZDiStpSj4A8LytDJRhf"/>
        <s v="15ibGdxo2BMnfHTafuu9MMS9cGt8WneGeWcpwkrG32Zcn8gV"/>
        <s v="13wmvijsjiRRinbf6g3yp6ZcktsqsjAfQfztGPqy8ipNtAEj"/>
        <s v="14PAhG3VayzwH7B38mWP7GqjaMVjzPqGUKA23Xk5hLMuRWeK"/>
        <s v="12okq3NN2F9SfwrY6MGApoUDQnJY9dijkyXPtLzzbdNcV5du"/>
        <s v="1VhpWfsZ9zamjxnJQWJ6SVZRrhzAbyp11udmB9VM1ZVtPzt"/>
        <s v="14V4wQA94N6fddsvCxRFLmvgd9ioueJpxgVogyV8FCfCnPsu"/>
        <s v="15EAQHGMubtYTvXtQJtM8sVznqTjNHPoms1RYq8g6C5oHBoe"/>
        <s v="1NffySg1JFijUrJhbYwox4XjD5qdLmUjaD5pQm2BwsLQcP3"/>
        <s v="1EKRJey3fBmXVZS5CpLkRrEN9HxxYrXKrm7rYTxuTDKKZTz"/>
        <s v="1g7gWHPydxLk71dwAzWF82dPCjrpJRbiTBYcJiNxTY8hZFi"/>
        <s v="1ZP6xigiPXU7hHoj3ywHF1jQ4cAv4Jpw4Q4wy7aBHem6erj"/>
        <s v="12F6yq8qJAULFKvrkVFTXnXfMhtHK7vf73ZKzugNqec7pTx9"/>
        <s v="16akMyoCUJdMiLfSLAendRrm4XFcdG3h4bjvDCWgeSMwD6gT"/>
        <s v="13gkjA3996REhFthyyPu596nzDdSbb1RXEEFwWaY2yLYL2Uk"/>
        <s v="15DPQskycLALmFjGnsB212D1oxDJC2NscHeC65kaWnK62Pcm"/>
        <s v="16FTioT9KiA7hEzDWz8eePdWhLLDEeJZyqXykiHSusNfY8kx"/>
        <s v="12GXLTbzNvXP51scYwZWi1KDdAygsS8TS8Mm8zGdvgV1RpEN"/>
        <s v="15ttNeS1nfEUKKw71UADWxKFBPuzuusDyL633iTySG1SHBub"/>
        <s v="13m5rH4tYcuEj6SM2AmDVmgZo4PFQNmm8qohaSAr73jrqWuU"/>
        <s v="15KRgf9qoRWodsws7REF1WXpsaJDys1igLf7rEaHWndTDasF"/>
        <s v="14gkEwCgG9AbaNPMLBgAh4V9YEdy8LbtS76ER2GVATF3qSr6"/>
        <s v="12nVpyJNX4UyVAx9wYPVA7FaB2MDJnEPSXuNknJyoWvQXD3B"/>
        <s v="1HPKZzzd9nyr2DdvtPxytNMZm3Ld5nh3BBY4Ecgg9JxgL7G"/>
        <s v="12auQ2MnukZEZcjQcKQcygRXerebcUuG5kvy2R95rYaUCcuR"/>
        <s v="16HqymHVxdLtK8jtbur7DusQrfLAVEJZfsQijfxVwhQHiTgU"/>
        <s v="15kFaHsh7qgnzBzAgyjDrxB9fhySEXGCRNDG4UK4gAZTD2TN"/>
        <s v="14j7N612MVBzLDw5rctvExdkF6P73uCoSdkFzdLDFJUYeb9n"/>
        <s v="14EFjQ2iut5WMgYDXNo9pSbMVEczwMuta1SddJ6KhTvGHU7F"/>
        <s v="12EaHwLhfcYrU4vHtiKpp4VgVHtBEMQa1yzUpe1BJi4VD3Kp"/>
        <s v="1c733KazWsgMkCNSft7DPKYFv3zhs9PTbXksXxND46R9TS6"/>
        <s v="151fSxLtpjaBRLGoo1DQB8n8ERLNR6ZduBnmjyzpypegJQp9"/>
        <s v="16NsH1tTBATkX82ZKRjQ6LB7nnePDoAupR3ZxPvDpcp6VWWa"/>
        <s v="15yPxY4HBSp6oS765bKGSDUF8wnsoG5soLhw3EC1gKe5GJWa"/>
        <s v="16YTH2eUZNH3ASDvHqyADyGhjcyxGfGXeo5q8z8DgVSn9xvZ"/>
        <s v="13p7Fnvg9aYFpumyBF7GRhA1HH1oMZArAc3XX7dQCpX5qMTW"/>
        <s v="13iWJcXHfxLuX1dum8N9LPJY5Uhr5aVEE491hofUVtkgHDaB"/>
        <s v="14wSnALBUv51KjbnFhb4wBMLcqzh5kAsAM9XXFvLZQAE6NPG"/>
        <s v="13CeHxBVttt4oeLNxbuhULNWfwnF4ykgPu69ejDKgdVUHg6w"/>
        <s v="14hBwSVmH7MKfbcGDW6D79zPaFKfRUAn6sAuz9UY8ZDCm4rt"/>
        <s v="1C5wY8SubUnURiDQUbQ5U4V9sL3hzjwiLiveGp1X4idptRq"/>
        <s v="13kyP9tRzQkShbY2cNUuwrpAfDTCksyHsGzkZ646WiX54xwJ"/>
        <s v="16AnoF5NQY3xZ6ovcsTWBhQDxWKB7AcExbj9u3a1juGtmTJ3"/>
        <s v="157gLBq5hiLsG1LYZzDw5xTWpgKrEK4bBPnfwwJgK7BCtyZa"/>
        <s v="13RRFsP5dqAZpm8PmnLXQn8QvsYPyTdEW9FiE3UbkaTEGaem"/>
        <s v="13L1z3C2TWR1Q6LB4JNrH9zsW59FcjqK2uKXaqVqdy4XmD6f"/>
        <s v="13Sj951PJzxMYMcrdmkkh6TGpnMA4VTwmDqvrBCiY1jEVQ6X"/>
        <s v="15iZD84rHAjuvaiKXBj2YAEPRJ8Tt4VS1M79HsYhieTvtJR4"/>
        <s v="14fhQS5myHCh3AQZZoELKpQuy2AfNe5am3PzTDvKi7i172n5"/>
      </sharedItems>
    </cacheField>
    <cacheField name="proposal_time" numFmtId="168">
      <sharedItems containsSemiMixedTypes="0" containsDate="1" containsString="0">
        <d v="2024-06-18T00:00:00Z"/>
        <d v="2024-06-17T00:00:00Z"/>
        <d v="2024-06-16T00:00:00Z"/>
        <d v="2024-06-14T00:00:00Z"/>
        <d v="2024-06-12T00:00:00Z"/>
        <d v="2024-06-11T00:00:00Z"/>
        <d v="2024-06-10T00:00:00Z"/>
        <d v="2024-06-09T00:00:00Z"/>
        <d v="2024-06-08T00:00:00Z"/>
        <d v="2024-06-06T00:00:00Z"/>
        <d v="2024-06-05T00:00:00Z"/>
        <d v="2024-06-04T00:00:00Z"/>
        <d v="2024-06-03T00:00:00Z"/>
        <d v="2024-06-02T00:00:00Z"/>
        <d v="2024-06-01T00:00:00Z"/>
        <d v="2024-05-31T00:00:00Z"/>
        <d v="2024-05-29T00:00:00Z"/>
        <d v="2024-05-28T00:00:00Z"/>
        <d v="2024-05-27T00:00:00Z"/>
        <d v="2024-05-26T00:00:00Z"/>
        <d v="2024-05-25T00:00:00Z"/>
        <d v="2024-05-22T00:00:00Z"/>
        <d v="2024-05-21T00:00:00Z"/>
        <d v="2024-05-20T00:00:00Z"/>
        <d v="2024-05-19T00:00:00Z"/>
        <d v="2024-05-16T00:00:00Z"/>
        <d v="2024-05-15T00:00:00Z"/>
        <d v="2024-05-14T00:00:00Z"/>
        <d v="2024-05-13T00:00:00Z"/>
        <d v="2024-05-12T00:00:00Z"/>
        <d v="2024-05-09T00:00:00Z"/>
        <d v="2024-05-07T00:00:00Z"/>
        <d v="2024-05-05T00:00:00Z"/>
        <d v="2024-05-02T00:00:00Z"/>
        <d v="2024-05-01T00:00:00Z"/>
        <d v="2024-04-30T00:00:00Z"/>
        <d v="2024-04-29T00:00:00Z"/>
        <d v="2024-04-28T00:00:00Z"/>
        <d v="2024-04-27T00:00:00Z"/>
        <d v="2024-04-26T00:00:00Z"/>
        <d v="2024-04-24T00:00:00Z"/>
        <d v="2024-04-20T00:00:00Z"/>
        <d v="2024-04-19T00:00:00Z"/>
        <d v="2024-04-18T00:00:00Z"/>
        <d v="2024-04-14T00:00:00Z"/>
        <d v="2024-04-13T00:00:00Z"/>
        <d v="2024-04-09T00:00:00Z"/>
        <d v="2024-04-08T00:00:00Z"/>
        <d v="2024-04-06T00:00:00Z"/>
        <d v="2024-04-05T00:00:00Z"/>
        <d v="2024-04-03T00:00:00Z"/>
        <d v="2024-04-02T00:00:00Z"/>
        <d v="2024-03-31T00:00:00Z"/>
        <d v="2024-03-30T00:00:00Z"/>
        <d v="2024-03-29T00:00:00Z"/>
        <d v="2024-03-27T00:00:00Z"/>
        <d v="2024-03-26T00:00:00Z"/>
        <d v="2024-03-16T00:00:00Z"/>
        <d v="2024-03-15T00:00:00Z"/>
        <d v="2024-03-14T00:00:00Z"/>
        <d v="2024-03-08T00:00:00Z"/>
        <d v="2024-03-06T00:00:00Z"/>
        <d v="2024-03-05T00:00:00Z"/>
        <d v="2024-03-04T00:00:00Z"/>
        <d v="2024-03-03T00:00:00Z"/>
        <d v="2024-03-01T00:00:00Z"/>
        <d v="2024-02-29T00:00:00Z"/>
        <d v="2024-02-28T00:00:00Z"/>
        <d v="2024-02-25T00:00:00Z"/>
        <d v="2024-02-21T00:00:00Z"/>
        <d v="2024-02-19T00:00:00Z"/>
        <d v="2024-02-18T00:00:00Z"/>
        <d v="2024-02-17T00:00:00Z"/>
        <d v="2024-02-12T00:00:00Z"/>
        <d v="2024-02-11T00:00:00Z"/>
        <d v="2024-02-09T00:00:00Z"/>
        <d v="2024-02-05T00:00:00Z"/>
        <d v="2024-02-04T00:00:00Z"/>
        <d v="2024-02-02T00:00:00Z"/>
        <d v="2024-02-01T00:00:00Z"/>
        <d v="2024-01-31T00:00:00Z"/>
        <d v="2024-01-28T00:00:00Z"/>
        <d v="2024-01-25T00:00:00Z"/>
        <d v="2024-01-24T00:00:00Z"/>
        <d v="2024-01-20T00:00:00Z"/>
        <d v="2024-01-19T00:00:00Z"/>
        <d v="2024-01-15T00:00:00Z"/>
        <d v="2024-01-09T00:00:00Z"/>
        <d v="2024-01-08T00:00:00Z"/>
        <d v="2024-01-04T00:00:00Z"/>
        <d v="2024-01-02T00:00:00Z"/>
        <d v="2024-01-01T00:00:00Z"/>
        <d v="2023-12-31T00:00:00Z"/>
        <d v="2023-12-25T00:00:00Z"/>
        <d v="2023-12-24T00:00:00Z"/>
        <d v="2023-12-19T00:00:00Z"/>
        <d v="2023-12-17T00:00:00Z"/>
        <d v="2023-12-05T00:00:00Z"/>
        <d v="2023-12-02T00:00:00Z"/>
        <d v="2023-11-29T00:00:00Z"/>
        <d v="2023-11-25T00:00:00Z"/>
        <d v="2023-11-18T00:00:00Z"/>
        <d v="2023-11-12T00:00:00Z"/>
        <d v="2023-11-03T00:00:00Z"/>
        <d v="2023-11-02T00:00:00Z"/>
        <d v="2023-11-01T00:00:00Z"/>
        <d v="2023-10-31T00:00:00Z"/>
        <d v="2023-10-30T00:00:00Z"/>
        <d v="2023-10-24T00:00:00Z"/>
        <d v="2023-10-23T00:00:00Z"/>
        <d v="2023-10-15T00:00:00Z"/>
        <d v="2023-10-14T00:00:00Z"/>
        <d v="2023-10-11T00:00:00Z"/>
        <d v="2023-10-09T00:00:00Z"/>
        <d v="2023-10-08T00:00:00Z"/>
        <d v="2023-10-07T00:00:00Z"/>
        <d v="2023-10-01T00:00:00Z"/>
        <d v="2023-09-30T00:00:00Z"/>
        <d v="2023-09-29T00:00:00Z"/>
        <d v="2023-09-26T00:00:00Z"/>
        <d v="2023-09-17T00:00:00Z"/>
        <d v="2023-09-14T00:00:00Z"/>
        <d v="2023-09-13T00:00:00Z"/>
        <d v="2023-09-12T00:00:00Z"/>
        <d v="2023-08-30T00:00:00Z"/>
        <d v="2023-08-29T00:00:00Z"/>
        <d v="2023-08-28T00:00:00Z"/>
        <d v="2023-08-26T00:00:00Z"/>
        <d v="2023-08-05T00:00:00Z"/>
        <d v="2023-08-02T00:00:00Z"/>
        <d v="2023-08-01T00:00:00Z"/>
        <d v="2023-07-29T00:00:00Z"/>
        <d v="2023-07-25T00:00:00Z"/>
        <d v="2023-07-16T00:00:00Z"/>
        <d v="2023-07-05T00:00:00Z"/>
        <d v="2023-07-02T00:00:00Z"/>
        <d v="2023-07-01T00:00:00Z"/>
        <d v="2023-06-25T00:00:00Z"/>
        <d v="2023-06-21T00:00:00Z"/>
        <d v="2023-06-14T00:00:00Z"/>
        <d v="2023-06-12T00:00:00Z"/>
        <d v="2023-06-11T00:00:00Z"/>
        <d v="2023-06-10T00:00:00Z"/>
        <d v="2023-06-06T00:00:00Z"/>
        <d v="2023-06-01T00:00:00Z"/>
        <d v="2023-05-31T00:00:00Z"/>
        <d v="2023-05-30T00:00:00Z"/>
        <d v="2023-05-24T00:00:00Z"/>
        <d v="2023-05-22T00:00:00Z"/>
        <d v="2023-05-15T00:00:00Z"/>
        <d v="2023-05-08T00:00:00Z"/>
        <d v="2023-05-04T00:00:00Z"/>
        <d v="2023-05-03T00:00:00Z"/>
        <d v="2023-05-02T00:00:00Z"/>
        <d v="2023-04-25T00:00:00Z"/>
        <d v="2023-04-16T00:00:00Z"/>
        <d v="2023-04-14T00:00:00Z"/>
        <d v="2023-04-12T00:00:00Z"/>
        <d v="2023-04-06T00:00:00Z"/>
        <d v="2023-04-04T00:00:00Z"/>
        <d v="2023-04-03T00:00:00Z"/>
        <d v="2023-04-02T00:00:00Z"/>
        <d v="2023-04-01T00:00:00Z"/>
        <d v="2023-03-29T00:00:00Z"/>
        <d v="2023-03-25T00:00:00Z"/>
        <d v="2023-03-12T00:00:00Z"/>
        <d v="2023-03-09T00:00:00Z"/>
        <d v="2023-03-08T00:00:00Z"/>
        <d v="2023-03-07T00:00:00Z"/>
        <d v="2023-03-06T00:00:00Z"/>
        <d v="2023-02-22T00:00:00Z"/>
        <d v="2023-02-20T00:00:00Z"/>
        <d v="2023-02-13T00:00:00Z"/>
        <d v="2023-02-05T00:00:00Z"/>
        <d v="2023-02-01T00:00:00Z"/>
        <d v="2023-01-28T00:00:00Z"/>
        <d v="2023-01-23T00:00:00Z"/>
        <d v="2023-01-22T00:00:00Z"/>
        <d v="2023-01-15T00:00:00Z"/>
        <d v="2023-01-09T00:00:00Z"/>
        <d v="2022-12-31T00:00:00Z"/>
        <d v="2022-12-29T00:00:00Z"/>
        <d v="2022-12-20T00:00:00Z"/>
        <d v="2022-12-18T00:00:00Z"/>
        <d v="2022-12-08T00:00:00Z"/>
        <d v="2022-12-06T00:00:00Z"/>
        <d v="2022-12-05T00:00:00Z"/>
        <d v="2022-12-04T00:00:00Z"/>
        <d v="2022-12-01T00:00:00Z"/>
        <d v="2022-11-30T00:00:00Z"/>
        <d v="2022-11-23T00:00:00Z"/>
        <d v="2022-11-21T00:00:00Z"/>
        <d v="2022-11-20T00:00:00Z"/>
        <d v="2022-11-14T00:00:00Z"/>
        <d v="2022-11-09T00:00:00Z"/>
        <d v="2022-11-07T00:00:00Z"/>
        <d v="2022-11-05T00:00:00Z"/>
        <d v="2022-11-02T00:00:00Z"/>
        <d v="2022-11-01T00:00:00Z"/>
        <d v="2022-10-19T00:00:00Z"/>
        <d v="2022-10-12T00:00:00Z"/>
        <d v="2022-10-02T00:00:00Z"/>
        <d v="2022-09-26T00:00:00Z"/>
        <d v="2022-09-25T00:00:00Z"/>
        <d v="2022-09-19T00:00:00Z"/>
        <d v="2022-09-13T00:00:00Z"/>
        <d v="2022-09-03T00:00:00Z"/>
        <d v="2022-08-31T00:00:00Z"/>
        <d v="2022-08-28T00:00:00Z"/>
        <d v="2022-08-14T00:00:00Z"/>
        <d v="2022-08-06T00:00:00Z"/>
        <d v="2022-07-31T00:00:00Z"/>
        <d v="2022-07-07T00:00:00Z"/>
        <d v="2022-07-03T00:00:00Z"/>
        <d v="2022-07-02T00:00:00Z"/>
        <d v="2022-06-20T00:00:00Z"/>
        <d v="2022-06-02T00:00:00Z"/>
        <d v="2022-05-31T00:00:00Z"/>
        <d v="2022-05-22T00:00:00Z"/>
        <d v="2022-05-14T00:00:00Z"/>
        <d v="2022-05-11T00:00:00Z"/>
        <d v="2022-05-04T00:00:00Z"/>
        <d v="2022-05-03T00:00:00Z"/>
      </sharedItems>
    </cacheField>
    <cacheField name="last_status_change" numFmtId="168">
      <sharedItems containsSemiMixedTypes="0" containsDate="1" containsString="0">
        <d v="2024-06-26T00:00:00Z"/>
        <d v="2024-06-17T00:00:00Z"/>
        <d v="2024-06-25T00:00:00Z"/>
        <d v="2024-06-16T00:00:00Z"/>
        <d v="2024-06-14T00:00:00Z"/>
        <d v="2024-06-23T00:00:00Z"/>
        <d v="2024-06-12T00:00:00Z"/>
        <d v="2024-06-22T00:00:00Z"/>
        <d v="2024-06-18T00:00:00Z"/>
        <d v="2024-06-19T00:00:00Z"/>
        <d v="2024-06-20T00:00:00Z"/>
        <d v="2024-06-09T00:00:00Z"/>
        <d v="2024-06-08T00:00:00Z"/>
        <d v="2024-06-24T00:00:00Z"/>
        <d v="2024-06-21T00:00:00Z"/>
        <d v="2024-06-13T00:00:00Z"/>
        <d v="2024-06-15T00:00:00Z"/>
        <d v="2024-06-04T00:00:00Z"/>
        <d v="2024-06-05T00:00:00Z"/>
        <d v="2024-06-11T00:00:00Z"/>
        <d v="2024-06-10T00:00:00Z"/>
        <d v="2024-06-01T00:00:00Z"/>
        <d v="2024-05-29T00:00:00Z"/>
        <d v="2024-06-07T00:00:00Z"/>
        <d v="2024-06-06T00:00:00Z"/>
        <d v="2024-05-26T00:00:00Z"/>
        <d v="2024-06-03T00:00:00Z"/>
        <d v="2024-06-02T00:00:00Z"/>
        <d v="2024-05-31T00:00:00Z"/>
        <d v="2024-05-30T00:00:00Z"/>
        <d v="2024-05-28T00:00:00Z"/>
        <d v="2024-05-27T00:00:00Z"/>
        <d v="2024-05-19T00:00:00Z"/>
        <d v="2024-05-22T00:00:00Z"/>
        <d v="2024-05-18T00:00:00Z"/>
        <d v="2024-05-21T00:00:00Z"/>
        <d v="2024-05-20T00:00:00Z"/>
        <d v="2024-05-24T00:00:00Z"/>
        <d v="2024-05-17T00:00:00Z"/>
        <d v="2024-05-16T00:00:00Z"/>
        <d v="2024-05-08T00:00:00Z"/>
        <d v="2024-05-11T00:00:00Z"/>
        <d v="2024-05-10T00:00:00Z"/>
        <d v="2024-05-15T00:00:00Z"/>
        <d v="2024-05-09T00:00:00Z"/>
        <d v="2024-05-13T00:00:00Z"/>
        <d v="2024-04-28T00:00:00Z"/>
        <d v="2024-05-07T00:00:00Z"/>
        <d v="2024-05-05T00:00:00Z"/>
        <d v="2024-05-04T00:00:00Z"/>
        <d v="2024-05-03T00:00:00Z"/>
        <d v="2024-05-06T00:00:00Z"/>
        <d v="2024-05-23T00:00:00Z"/>
        <d v="2024-05-02T00:00:00Z"/>
        <d v="2024-05-01T00:00:00Z"/>
        <d v="2024-04-29T00:00:00Z"/>
        <d v="2024-04-21T00:00:00Z"/>
        <d v="2024-04-27T00:00:00Z"/>
        <d v="2024-04-23T00:00:00Z"/>
        <d v="2024-04-24T00:00:00Z"/>
        <d v="2024-04-19T00:00:00Z"/>
        <d v="2024-04-15T00:00:00Z"/>
        <d v="2024-04-18T00:00:00Z"/>
        <d v="2024-04-16T00:00:00Z"/>
        <d v="2024-05-14T00:00:00Z"/>
        <d v="2024-04-14T00:00:00Z"/>
        <d v="2024-04-13T00:00:00Z"/>
        <d v="2024-04-11T00:00:00Z"/>
        <d v="2024-04-10T00:00:00Z"/>
        <d v="2024-04-08T00:00:00Z"/>
        <d v="2024-04-20T00:00:00Z"/>
        <d v="2024-04-22T00:00:00Z"/>
        <d v="2024-04-03T00:00:00Z"/>
        <d v="2024-04-05T00:00:00Z"/>
        <d v="2024-03-28T00:00:00Z"/>
        <d v="2024-04-04T00:00:00Z"/>
        <d v="2024-04-02T00:00:00Z"/>
        <d v="2024-04-06T00:00:00Z"/>
        <d v="2024-04-07T00:00:00Z"/>
        <d v="2024-03-24T00:00:00Z"/>
        <d v="2024-03-26T00:00:00Z"/>
        <d v="2024-03-27T00:00:00Z"/>
        <d v="2024-03-29T00:00:00Z"/>
        <d v="2024-03-16T00:00:00Z"/>
        <d v="2024-05-12T00:00:00Z"/>
        <d v="2024-03-14T00:00:00Z"/>
        <d v="2024-03-15T00:00:00Z"/>
        <d v="2024-03-04T00:00:00Z"/>
        <d v="2024-03-13T00:00:00Z"/>
        <d v="2024-03-12T00:00:00Z"/>
        <d v="2024-03-10T00:00:00Z"/>
        <d v="2024-03-09T00:00:00Z"/>
        <d v="2024-03-20T00:00:00Z"/>
        <d v="2024-03-11T00:00:00Z"/>
        <d v="2024-03-19T00:00:00Z"/>
        <d v="2024-03-07T00:00:00Z"/>
        <d v="2024-03-05T00:00:00Z"/>
        <d v="2024-03-06T00:00:00Z"/>
        <d v="2024-03-21T00:00:00Z"/>
        <d v="2024-03-18T00:00:00Z"/>
        <d v="2024-02-27T00:00:00Z"/>
        <d v="2024-02-26T00:00:00Z"/>
        <d v="2024-02-28T00:00:00Z"/>
        <d v="2024-02-29T00:00:00Z"/>
        <d v="2024-03-01T00:00:00Z"/>
        <d v="2024-02-20T00:00:00Z"/>
        <d v="2024-03-23T00:00:00Z"/>
        <d v="2024-03-02T00:00:00Z"/>
        <d v="2024-02-21T00:00:00Z"/>
        <d v="2024-02-23T00:00:00Z"/>
        <d v="2024-02-25T00:00:00Z"/>
        <d v="2024-02-17T00:00:00Z"/>
        <d v="2024-02-14T00:00:00Z"/>
        <d v="2024-02-05T00:00:00Z"/>
        <d v="2024-02-18T00:00:00Z"/>
        <d v="2024-02-19T00:00:00Z"/>
        <d v="2024-02-22T00:00:00Z"/>
        <d v="2024-02-13T00:00:00Z"/>
        <d v="2024-02-12T00:00:00Z"/>
        <d v="2024-02-11T00:00:00Z"/>
        <d v="2024-02-15T00:00:00Z"/>
        <d v="2024-02-10T00:00:00Z"/>
        <d v="2024-02-09T00:00:00Z"/>
        <d v="2024-02-06T00:00:00Z"/>
        <d v="2024-02-02T00:00:00Z"/>
        <d v="2024-02-01T00:00:00Z"/>
        <d v="2024-01-30T00:00:00Z"/>
        <d v="2024-01-28T00:00:00Z"/>
        <d v="2024-01-29T00:00:00Z"/>
        <d v="2024-01-16T00:00:00Z"/>
        <d v="2024-01-24T00:00:00Z"/>
        <d v="2024-03-31T00:00:00Z"/>
        <d v="2024-01-27T00:00:00Z"/>
        <d v="2024-01-17T00:00:00Z"/>
        <d v="2024-01-15T00:00:00Z"/>
        <d v="2024-01-13T00:00:00Z"/>
        <d v="2024-01-11T00:00:00Z"/>
        <d v="2024-01-09T00:00:00Z"/>
        <d v="2024-01-10T00:00:00Z"/>
        <d v="2024-01-05T00:00:00Z"/>
        <d v="2024-01-02T00:00:00Z"/>
        <d v="2024-01-03T00:00:00Z"/>
        <d v="2023-12-27T00:00:00Z"/>
        <d v="2024-01-06T00:00:00Z"/>
        <d v="2023-12-30T00:00:00Z"/>
        <d v="2024-01-18T00:00:00Z"/>
        <d v="2023-12-17T00:00:00Z"/>
        <d v="2023-12-13T00:00:00Z"/>
        <d v="2023-12-19T00:00:00Z"/>
        <d v="2023-12-08T00:00:00Z"/>
        <d v="2023-12-12T00:00:00Z"/>
        <d v="2023-12-09T00:00:00Z"/>
        <d v="2023-12-04T00:00:00Z"/>
        <d v="2023-12-05T00:00:00Z"/>
        <d v="2023-12-03T00:00:00Z"/>
        <d v="2023-12-20T00:00:00Z"/>
        <d v="2023-11-20T00:00:00Z"/>
        <d v="2023-11-11T00:00:00Z"/>
        <d v="2023-11-12T00:00:00Z"/>
        <d v="2023-11-10T00:00:00Z"/>
        <d v="2023-11-09T00:00:00Z"/>
        <d v="2023-11-08T00:00:00Z"/>
        <d v="2023-11-01T00:00:00Z"/>
        <d v="2023-11-06T00:00:00Z"/>
        <d v="2023-11-02T00:00:00Z"/>
        <d v="2023-11-04T00:00:00Z"/>
        <d v="2023-11-19T00:00:00Z"/>
        <d v="2023-10-23T00:00:00Z"/>
        <d v="2023-10-24T00:00:00Z"/>
        <d v="2023-10-29T00:00:00Z"/>
        <d v="2023-10-22T00:00:00Z"/>
        <d v="2023-12-25T00:00:00Z"/>
        <d v="2023-10-18T00:00:00Z"/>
        <d v="2023-10-16T00:00:00Z"/>
        <d v="2023-10-15T00:00:00Z"/>
        <d v="2023-10-10T00:00:00Z"/>
        <d v="2023-10-11T00:00:00Z"/>
        <d v="2023-10-13T00:00:00Z"/>
        <d v="2023-10-08T00:00:00Z"/>
        <d v="2023-10-09T00:00:00Z"/>
        <d v="2023-10-07T00:00:00Z"/>
        <d v="2023-10-14T00:00:00Z"/>
        <d v="2023-09-27T00:00:00Z"/>
        <d v="2023-09-26T00:00:00Z"/>
        <d v="2023-09-14T00:00:00Z"/>
        <d v="2023-09-17T00:00:00Z"/>
        <d v="2023-09-13T00:00:00Z"/>
        <d v="2023-09-08T00:00:00Z"/>
        <d v="2023-09-07T00:00:00Z"/>
        <d v="2023-08-30T00:00:00Z"/>
        <d v="2023-09-06T00:00:00Z"/>
        <d v="2023-09-09T00:00:00Z"/>
        <d v="2023-09-28T00:00:00Z"/>
        <d v="2023-09-23T00:00:00Z"/>
        <d v="2023-10-12T00:00:00Z"/>
        <d v="2023-08-14T00:00:00Z"/>
        <d v="2023-08-17T00:00:00Z"/>
        <d v="2023-08-15T00:00:00Z"/>
        <d v="2023-08-10T00:00:00Z"/>
        <d v="2023-08-02T00:00:00Z"/>
        <d v="2023-08-11T00:00:00Z"/>
        <d v="2023-08-09T00:00:00Z"/>
        <d v="2023-08-20T00:00:00Z"/>
        <d v="2023-08-12T00:00:00Z"/>
        <d v="2023-08-08T00:00:00Z"/>
        <d v="2023-10-30T00:00:00Z"/>
        <d v="2023-08-19T00:00:00Z"/>
        <d v="2023-08-04T00:00:00Z"/>
        <d v="2023-09-16T00:00:00Z"/>
        <d v="2023-08-06T00:00:00Z"/>
        <d v="2023-07-15T00:00:00Z"/>
        <d v="2023-07-10T00:00:00Z"/>
        <d v="2023-07-11T00:00:00Z"/>
        <d v="2023-07-12T00:00:00Z"/>
        <d v="2023-07-14T00:00:00Z"/>
        <d v="2023-07-09T00:00:00Z"/>
        <d v="2023-07-13T00:00:00Z"/>
        <d v="2023-07-04T00:00:00Z"/>
        <d v="2023-06-26T00:00:00Z"/>
        <d v="2023-06-23T00:00:00Z"/>
        <d v="2023-06-21T00:00:00Z"/>
        <d v="2023-06-22T00:00:00Z"/>
        <d v="2023-06-20T00:00:00Z"/>
        <d v="2023-06-24T00:00:00Z"/>
        <d v="2023-06-11T00:00:00Z"/>
        <d v="2023-06-19T00:00:00Z"/>
        <d v="2023-06-15T00:00:00Z"/>
        <d v="2023-07-01T00:00:00Z"/>
        <d v="2023-06-17T00:00:00Z"/>
        <d v="2023-06-10T00:00:00Z"/>
        <d v="2023-06-09T00:00:00Z"/>
        <d v="2023-06-08T00:00:00Z"/>
        <d v="2023-06-16T00:00:00Z"/>
        <d v="2023-06-14T00:00:00Z"/>
        <d v="2023-06-07T00:00:00Z"/>
        <d v="2023-06-03T00:00:00Z"/>
        <d v="2023-05-24T00:00:00Z"/>
        <d v="2023-05-30T00:00:00Z"/>
        <d v="2023-06-01T00:00:00Z"/>
        <d v="2023-05-31T00:00:00Z"/>
        <d v="2023-06-05T00:00:00Z"/>
        <d v="2023-06-02T00:00:00Z"/>
        <d v="2023-05-16T00:00:00Z"/>
        <d v="2023-05-13T00:00:00Z"/>
        <d v="2023-05-12T00:00:00Z"/>
        <d v="2023-05-11T00:00:00Z"/>
        <d v="2023-05-14T00:00:00Z"/>
        <d v="2023-05-10T00:00:00Z"/>
        <d v="2023-05-20T00:00:00Z"/>
        <d v="2023-04-24T00:00:00Z"/>
        <d v="2023-04-29T00:00:00Z"/>
        <d v="2023-04-26T00:00:00Z"/>
        <d v="2023-04-22T00:00:00Z"/>
        <d v="2023-04-15T00:00:00Z"/>
        <d v="2023-04-27T00:00:00Z"/>
        <d v="2023-04-16T00:00:00Z"/>
        <d v="2023-04-17T00:00:00Z"/>
        <d v="2023-04-12T00:00:00Z"/>
        <d v="2023-04-13T00:00:00Z"/>
        <d v="2023-04-11T00:00:00Z"/>
        <d v="2023-07-03T00:00:00Z"/>
        <d v="2023-04-02T00:00:00Z"/>
        <d v="2023-04-14T00:00:00Z"/>
        <d v="2023-04-07T00:00:00Z"/>
        <d v="2023-04-09T00:00:00Z"/>
        <d v="2023-03-23T00:00:00Z"/>
        <d v="2023-03-22T00:00:00Z"/>
        <d v="2023-03-18T00:00:00Z"/>
        <d v="2023-03-20T00:00:00Z"/>
        <d v="2023-03-08T00:00:00Z"/>
        <d v="2023-03-17T00:00:00Z"/>
        <d v="2023-03-19T00:00:00Z"/>
        <d v="2023-03-16T00:00:00Z"/>
        <d v="2023-03-15T00:00:00Z"/>
        <d v="2023-03-24T00:00:00Z"/>
        <d v="2023-04-04T00:00:00Z"/>
        <d v="2023-03-05T00:00:00Z"/>
        <d v="2023-03-03T00:00:00Z"/>
        <d v="2023-02-21T00:00:00Z"/>
        <d v="2023-02-26T00:00:00Z"/>
        <d v="2023-03-12T00:00:00Z"/>
        <d v="2023-02-15T00:00:00Z"/>
        <d v="2023-02-11T00:00:00Z"/>
        <d v="2023-02-07T00:00:00Z"/>
        <d v="2023-02-03T00:00:00Z"/>
        <d v="2023-02-06T00:00:00Z"/>
        <d v="2023-02-05T00:00:00Z"/>
        <d v="2023-01-23T00:00:00Z"/>
        <d v="2023-01-25T00:00:00Z"/>
        <d v="2023-01-14T00:00:00Z"/>
        <d v="2023-01-09T00:00:00Z"/>
        <d v="2023-01-08T00:00:00Z"/>
        <d v="2023-01-15T00:00:00Z"/>
        <d v="2023-01-07T00:00:00Z"/>
        <d v="2022-12-31T00:00:00Z"/>
        <d v="2023-01-01T00:00:00Z"/>
        <d v="2022-12-17T00:00:00Z"/>
        <d v="2022-12-14T00:00:00Z"/>
        <d v="2022-12-19T00:00:00Z"/>
        <d v="2022-12-13T00:00:00Z"/>
        <d v="2022-12-10T00:00:00Z"/>
        <d v="2022-12-02T00:00:00Z"/>
        <d v="2022-12-01T00:00:00Z"/>
        <d v="2022-11-29T00:00:00Z"/>
        <d v="2022-12-03T00:00:00Z"/>
        <d v="2022-12-16T00:00:00Z"/>
        <d v="2022-11-23T00:00:00Z"/>
        <d v="2023-01-04T00:00:00Z"/>
        <d v="2022-12-12T00:00:00Z"/>
        <d v="2023-06-04T00:00:00Z"/>
        <d v="2022-11-24T00:00:00Z"/>
        <d v="2022-12-07T00:00:00Z"/>
        <d v="2022-11-17T00:00:00Z"/>
        <d v="2022-11-15T00:00:00Z"/>
        <d v="2022-11-16T00:00:00Z"/>
        <d v="2022-11-14T00:00:00Z"/>
        <d v="2022-11-11T00:00:00Z"/>
        <d v="2022-11-10T00:00:00Z"/>
        <d v="2022-11-12T00:00:00Z"/>
        <d v="2022-11-09T00:00:00Z"/>
        <d v="2022-11-21T00:00:00Z"/>
        <d v="2022-10-27T00:00:00Z"/>
        <d v="2022-11-01T00:00:00Z"/>
        <d v="2022-10-23T00:00:00Z"/>
        <d v="2022-10-11T00:00:00Z"/>
        <d v="2022-10-12T00:00:00Z"/>
        <d v="2022-10-10T00:00:00Z"/>
        <d v="2022-10-09T00:00:00Z"/>
        <d v="2022-10-04T00:00:00Z"/>
        <d v="2022-10-02T00:00:00Z"/>
        <d v="2022-09-28T00:00:00Z"/>
        <d v="2022-09-23T00:00:00Z"/>
        <d v="2022-09-13T00:00:00Z"/>
        <d v="2022-09-11T00:00:00Z"/>
        <d v="2022-09-08T00:00:00Z"/>
        <d v="2022-09-10T00:00:00Z"/>
        <d v="2022-09-09T00:00:00Z"/>
        <d v="2022-09-12T00:00:00Z"/>
        <d v="2022-09-05T00:00:00Z"/>
        <d v="2022-09-06T00:00:00Z"/>
        <d v="2022-08-23T00:00:00Z"/>
        <d v="2022-08-15T00:00:00Z"/>
        <d v="2022-08-08T00:00:00Z"/>
        <d v="2022-08-09T00:00:00Z"/>
        <d v="2022-07-17T00:00:00Z"/>
        <d v="2022-07-18T00:00:00Z"/>
        <d v="2022-07-11T00:00:00Z"/>
        <d v="2022-07-30T00:00:00Z"/>
        <d v="2022-08-07T00:00:00Z"/>
        <d v="2022-07-03T00:00:00Z"/>
        <d v="2022-06-13T00:00:00Z"/>
        <d v="2022-06-11T00:00:00Z"/>
        <d v="2022-06-12T00:00:00Z"/>
        <d v="2022-06-09T00:00:00Z"/>
        <d v="2022-06-02T00:00:00Z"/>
        <d v="2022-05-30T00:00:00Z"/>
        <d v="2022-06-22T00:00:00Z"/>
        <d v="2023-03-29T00:00:00Z"/>
        <d v="2022-05-26T00:00:00Z"/>
        <d v="2022-05-27T00:00:00Z"/>
        <d v="2022-05-25T00:00:00Z"/>
        <d v="2022-05-20T00:00:00Z"/>
        <d v="2022-05-22T00:00:00Z"/>
        <d v="2022-05-14T00:00:00Z"/>
        <d v="2022-05-13T00:00:00Z"/>
      </sharedItems>
    </cacheField>
    <cacheField name="USD latest" numFmtId="164">
      <sharedItems containsSemiMixedTypes="0" containsString="0" containsNumber="1">
        <n v="35232.61980390549"/>
        <n v="1661.539273376465"/>
        <n v="799.1253149318695"/>
        <n v="7621.086978607178"/>
        <n v="70.22654473304749"/>
        <n v="41.526930532455445"/>
        <n v="89.69902135848999"/>
        <n v="377.5776032114029"/>
        <n v="242.2124834442139"/>
        <n v="4644.316464500427"/>
        <n v="55731.566547966"/>
        <n v="58518.20263187408"/>
        <n v="124003.2264995575"/>
        <n v="1060.1193161535264"/>
        <n v="668.1306505203247"/>
        <n v="694.6138867378235"/>
        <n v="113148.29584121704"/>
        <n v="1762.4470310211184"/>
        <n v="2994.8044939041138"/>
        <n v="119066.73669815063"/>
        <n v="126.7980115032196"/>
        <n v="61.677723101390264"/>
        <n v="257.5258483399199"/>
        <n v="328.54677208475346"/>
        <n v="357.99055459884687"/>
        <n v="315.64095103942986"/>
        <n v="320.8054135333235"/>
        <n v="236.02251081537813"/>
        <n v="236.23973609798864"/>
        <n v="30.860841274261475"/>
        <n v="49.948990025520324"/>
        <n v="45.44960260391235"/>
        <n v="37.59411573410034"/>
        <n v="27.589775848388673"/>
        <n v="35.34709453582764"/>
        <n v="125.85612177848816"/>
        <n v="901.6976714134215"/>
        <n v="176.74845457077026"/>
        <n v="62.82421875476837"/>
        <n v="182.80840158462524"/>
        <n v="190.66388845443723"/>
        <n v="170.96906065940857"/>
        <n v="206.82374715805054"/>
        <n v="95.5002760887146"/>
        <n v="43.971205258369444"/>
        <n v="71.38854500770569"/>
        <n v="50.52377702236175"/>
        <n v="119.55569534301758"/>
        <n v="182.3224353981018"/>
        <n v="62.23945409005628"/>
        <n v="320.2345503686874"/>
        <n v="236.0791935027304"/>
        <n v="242.30956272636146"/>
        <n v="328.6272341609642"/>
        <n v="320.2083292414322"/>
        <n v="383.7699204645901"/>
        <n v="319.78179682430147"/>
        <n v="320.3329750523227"/>
        <n v="33.23488213479967"/>
        <n v="62.401174347006304"/>
        <n v="66.97362014468268"/>
        <n v="337.9352293522467"/>
        <n v="319.2386709719507"/>
        <n v="376.68030641632043"/>
        <n v="236.20781226202232"/>
        <n v="283.13605350633713"/>
        <n v="277.9695937417626"/>
        <n v="260.0099955115321"/>
        <n v="235.91450873898427"/>
        <n v="385.44917994659824"/>
        <n v="338.6500831724007"/>
        <n v="320.07162271351103"/>
        <n v="320.2302801877466"/>
        <n v="106.61017894744873"/>
        <n v="10100.397920722962"/>
        <n v="10729.66358850956"/>
        <n v="9413.879392147064"/>
        <n v="9668.399629497528"/>
        <n v="11325.772105126382"/>
        <n v="10100.461719694138"/>
        <n v="1770.9429142570496"/>
        <n v="9063.149855589867"/>
        <n v="11327.162715973855"/>
        <n v="10001.09938867092"/>
        <n v="9173.222397475243"/>
        <n v="9704.435741209983"/>
        <n v="115327.31317520142"/>
        <n v="10490.011601448059"/>
        <n v="184.95071189403532"/>
        <n v="183.00705909252167"/>
        <n v="23.117575645446777"/>
        <n v="100.93517067909242"/>
        <n v="123.30082847595216"/>
        <n v="446.0788023471832"/>
        <n v="41.65930455207825"/>
        <n v="1400.280365190506"/>
        <n v="2257.4312506580354"/>
        <n v="2156.050510120392"/>
        <n v="2162.979289007187"/>
        <n v="9232.350807189941"/>
        <n v="1031.754123940468"/>
        <n v="1248.3312785625458"/>
        <n v="1033.6294545030594"/>
        <n v="3729.383812904358"/>
        <n v="3481.6910362243652"/>
        <n v="3184.159755706787"/>
        <n v="3310.2836775779724"/>
        <n v="4076.401873011589"/>
        <n v="118581.3500902472"/>
        <n v="48916.94271182947"/>
        <n v="51362.78985002833"/>
        <n v="225.33529389953614"/>
        <n v="4048.9341158866882"/>
        <n v="986.0417938232422"/>
        <n v="1756.3869452476501"/>
        <n v="1096.971495628357"/>
        <n v="1109.2970180511475"/>
        <n v="2465.1044845581055"/>
        <n v="1220.2267198562622"/>
        <n v="1084.6459732055664"/>
        <n v="3136.845456600189"/>
        <n v="1158.5991077423096"/>
        <n v="215.75273811064858"/>
        <n v="431.50547622129716"/>
        <n v="647.2582137169022"/>
        <n v="890.6416658629116"/>
        <n v="433.6046109199524"/>
        <n v="25890.31449758053"/>
        <n v="1851.8953415203093"/>
        <n v="2202.2520452928543"/>
        <n v="5765.491135425091"/>
        <n v="222.62417674064636"/>
        <n v="248.04281330108643"/>
        <n v="443.29702787399293"/>
        <n v="574.5294058799743"/>
        <n v="1276.4664776802063"/>
        <n v="469.8976652622223"/>
        <n v="902.1765504360199"/>
        <n v="150.34028601646423"/>
        <n v="429.5444564342499"/>
        <n v="1030.8450678300858"/>
        <n v="254.011125497818"/>
        <n v="242.31394017219543"/>
        <n v="281.9385991573334"/>
        <n v="531.8928327274323"/>
        <n v="1063.8492661762239"/>
        <n v="211.67593791484833"/>
        <n v="250.4810680627823"/>
        <n v="354.63762229919433"/>
        <n v="319.2084463119507"/>
        <n v="579.6443321609497"/>
        <n v="1353.062574148178"/>
        <n v="1489.4016927909852"/>
        <n v="819.240891828537"/>
        <n v="19.12883816719055"/>
        <n v="131.3032146692276"/>
        <n v="13.241208434104918"/>
        <n v="129.89470531463624"/>
        <n v="50.551411509513855"/>
        <n v="20.469974422454833"/>
        <n v="33.26317727088929"/>
        <n v="151.65423452854156"/>
        <n v="100.9304993391037"/>
        <n v="20.288630113601684"/>
        <n v="72.27221155166626"/>
        <n v="117.08359181880951"/>
        <n v="23.286624479293824"/>
        <n v="444.1349173784256"/>
        <n v="252.9655091342926"/>
        <n v="41919.99544620514"/>
        <n v="444.0031868457794"/>
        <n v="1220.3167371368409"/>
        <n v="1103.2648498344422"/>
        <n v="1287.8027549266817"/>
        <n v="1160.2392442035675"/>
        <n v="1337.9915057373046"/>
        <n v="75537.58044419289"/>
        <n v="6726.159330368042"/>
        <n v="15.027559327122018"/>
        <n v="12.045348277473536"/>
        <n v="13.692362123324825"/>
        <n v="97.25330212478637"/>
        <n v="98.17256304168701"/>
        <n v="113.18655602798461"/>
        <n v="100.36702636260986"/>
        <n v="1093.5293653964998"/>
        <n v="1495.823417739868"/>
        <n v="1364.2675193691255"/>
        <n v="1271.7666177654266"/>
        <n v="1384.651984062195"/>
        <n v="1631.9060892677307"/>
        <n v="106.72938254356386"/>
        <n v="247840.3480205536"/>
        <n v="4417.702824840546"/>
        <n v="111193.39516560556"/>
        <n v="1009.370979309082"/>
        <n v="1366.4064388465881"/>
        <n v="487.98233631134036"/>
        <n v="28.856916508674622"/>
        <n v="22.358869934082033"/>
        <n v="26.55115804672241"/>
        <n v="20.68195468902588"/>
        <n v="107.74180449485779"/>
        <n v="92.30020994663239"/>
        <n v="14.141985233306885"/>
        <n v="207.72787598133087"/>
        <n v="122.69429876327514"/>
        <n v="143.096767578125"/>
        <n v="5131.1506503105165"/>
        <n v="82224.64503097534"/>
        <n v="10727.649428367615"/>
        <n v="700064.2426943779"/>
        <n v="2493.086895465851"/>
        <n v="15965.617486953735"/>
        <n v="175.18899734497072"/>
        <n v="261.0761583328247"/>
        <n v="59.64794636726379"/>
        <n v="186.00056999206544"/>
        <n v="119.37017411231994"/>
        <n v="4209.637880458831"/>
        <n v="3730.0897500705714"/>
        <n v="2026.0174836826322"/>
        <n v="4746.215666885377"/>
        <n v="4049.83631980896"/>
        <n v="2477.1105112504956"/>
        <n v="724.5584197235108"/>
        <n v="24726.648113985062"/>
        <n v="1470.156380777359"/>
        <n v="226.96363166332245"/>
        <n v="24.413260092735293"/>
        <n v="24.920360450744628"/>
        <n v="233.83777729034423"/>
        <n v="919618.0729379654"/>
        <n v="129180.1940574646"/>
        <n v="566873.001636982"/>
        <n v="175550.89965200424"/>
        <n v="160924.67646884918"/>
        <n v="65.45032043893697"/>
        <n v="252.76935914229549"/>
        <n v="361.60025791350654"/>
        <n v="356.33793694999883"/>
        <n v="363.43063042264663"/>
        <n v="269.6168712402383"/>
        <n v="282.94508370199213"/>
        <n v="412.9777973710427"/>
        <n v="98.40794420577453"/>
        <n v="371.05718254466376"/>
        <n v="262.918901380946"/>
        <n v="286.08821683783776"/>
        <n v="265.27734147162744"/>
        <n v="297.6162720044068"/>
        <n v="45.975431140600556"/>
        <n v="68.18053680002535"/>
        <n v="126.7498216790012"/>
        <n v="254.76450644379332"/>
        <n v="280.86318130236094"/>
        <n v="109.33160294132931"/>
        <n v="379.2744664095732"/>
        <n v="395.16430891906117"/>
        <n v="372.792043097055"/>
        <n v="224.6713055380053"/>
        <n v="381.1454097230122"/>
        <n v="276.8539234396462"/>
        <n v="276.01295715569245"/>
        <n v="275.03508938482554"/>
        <n v="279.2203634464404"/>
        <n v="68.24621187365523"/>
        <n v="116.73576040605629"/>
        <n v="373.48588926679747"/>
        <n v="372.06228243235773"/>
        <n v="283.1409571360072"/>
        <n v="249.71118395768255"/>
        <n v="370.5859494187313"/>
        <n v="394.15455145252656"/>
        <n v="377.75670976939654"/>
        <n v="281.65393393510294"/>
        <n v="274.21881792986176"/>
        <n v="275.0405939093657"/>
        <n v="267.2728542930643"/>
        <n v="10369.899596214294"/>
        <n v="537.3726175594329"/>
        <n v="806.0589263391495"/>
        <n v="94813.20697569847"/>
        <n v="56692.587339019774"/>
        <n v="9057.816326141357"/>
        <n v="40132.50814533234"/>
        <n v="346.87674045562744"/>
        <n v="349.8929977416992"/>
        <n v="12133.753804206848"/>
        <n v="13612.328640460968"/>
        <n v="12814.235840320587"/>
        <n v="11603.184425354004"/>
        <n v="11824.971375465393"/>
        <n v="1030.5573329925537"/>
        <n v="29519.210612773895"/>
        <n v="16166.175353050232"/>
        <n v="43130.653908252716"/>
        <n v="29220.93856859207"/>
        <n v="2518.9582659816742"/>
        <n v="1610.6550031661986"/>
        <n v="6382.495803375245"/>
        <n v="669.8825268745422"/>
        <n v="718.2818030043165"/>
        <n v="1533.4421844839173"/>
        <n v="2267.484438140214"/>
        <n v="538.3173402786255"/>
        <n v="396.5607003688812"/>
        <n v="388.08622159957883"/>
        <n v="247.6021735191345"/>
        <n v="495.204347038269"/>
        <n v="969.2437187194823"/>
        <n v="990.408694076538"/>
        <n v="1189.0200632095336"/>
        <n v="1396.2033514976501"/>
        <n v="1664.495680913925"/>
        <n v="1426.6916682720184"/>
        <n v="625.320503616333"/>
        <n v="698.1016757488251"/>
        <n v="803.2192622423172"/>
        <n v="6665.497779846191"/>
        <n v="6669.936915206909"/>
        <n v="8574.355184874534"/>
        <n v="113.36371511936187"/>
        <n v="933.1538669013978"/>
        <n v="642.1954195833206"/>
        <n v="742.7923941612244"/>
        <n v="1308.8677543830872"/>
        <n v="1548.3113541603088"/>
        <n v="1412.1438364219666"/>
        <n v="1406.9012471866608"/>
        <n v="1332.4836755132676"/>
        <n v="1222.4968730020523"/>
        <n v="1542.5095554065704"/>
        <n v="1408.233640551567"/>
        <n v="1645.6526320695878"/>
        <n v="112.46565228939056"/>
        <n v="893.5599501037598"/>
        <n v="213.43379379272463"/>
        <n v="1414.125120306015"/>
        <n v="413.66097702026366"/>
        <n v="1610.3137095165253"/>
        <n v="868.1727773666382"/>
        <n v="1233.3365929031372"/>
        <n v="1677.6780560016632"/>
        <n v="323.45377459526065"/>
        <n v="2305.389199733734"/>
        <n v="54735.32352023601"/>
        <n v="8966.225616168977"/>
        <n v="20705.006443419454"/>
        <n v="5904.343799180984"/>
        <n v="1351.1200977230071"/>
        <n v="36097.085616230965"/>
        <n v="15198.436926941871"/>
        <n v="5175.742196502686"/>
        <n v="3981.881259475708"/>
        <n v="3606.496772670746"/>
        <n v="1844.4501023292542"/>
        <n v="5152.136165210724"/>
        <n v="3742.7451550636288"/>
        <n v="2255.145736217499"/>
        <n v="656.3135190205575"/>
        <n v="7.454471111297607"/>
        <n v="143770.574150486"/>
        <n v="308.17468872070316"/>
        <n v="68160.11169695854"/>
        <n v="34997.67335188389"/>
        <n v="69579.22166061401"/>
        <n v="2870.7400226593018"/>
        <n v="15992.91948223114"/>
        <n v="23518.594665527344"/>
        <n v="45391.62646865845"/>
        <n v="465198.0544750214"/>
        <n v="41306.89853858948"/>
        <n v="963.2288932800293"/>
        <n v="10992.547159194946"/>
        <n v="7606.97097158432"/>
        <n v="5077.851093162537"/>
        <n v="1902.391249622822"/>
        <n v="1937.1778937306406"/>
        <n v="561.3969394826889"/>
        <n v="202.073418006897"/>
        <n v="1995.9440061092375"/>
        <n v="374.2646263217926"/>
        <n v="24199.868242263794"/>
        <n v="55198.465101909635"/>
        <n v="389.8353935480118"/>
        <n v="155.9341574192047"/>
        <n v="896.1452024459838"/>
        <n v="935.6049445152282"/>
        <n v="368.13408330202105"/>
        <n v="441.76089996242524"/>
        <n v="1073.7526850624563"/>
        <n v="1239.2359408995628"/>
        <n v="184.06704165101053"/>
        <n v="188.71830059912958"/>
        <n v="377.43660119894605"/>
        <n v="723.0359381371152"/>
        <n v="754.8732023972052"/>
        <n v="29.740909171104434"/>
        <n v="48.48274219323568"/>
        <n v="51.89247265948422"/>
        <n v="281.6948983741978"/>
        <n v="217.49453625077962"/>
        <n v="179.0981720251789"/>
        <n v="279.5937921072583"/>
        <n v="322.3965811143757"/>
        <n v="291.62102207580864"/>
        <n v="279.57413977073645"/>
        <n v="318.8002035260672"/>
        <n v="279.98683883838237"/>
        <n v="199.67951050139402"/>
        <n v="209.98649114762802"/>
        <n v="185.6715676938991"/>
        <n v="16.265202474977755"/>
        <n v="16.942919244715014"/>
        <n v="48.30556476953304"/>
        <n v="51.70283456973422"/>
        <n v="282.92263919140436"/>
        <n v="213.15559350104596"/>
        <n v="194.45171778410725"/>
        <n v="188.2258860928975"/>
        <n v="289.58630958505177"/>
        <n v="288.7264811472726"/>
        <n v="311.9027658609055"/>
        <n v="280.65581876365763"/>
        <n v="282.3343892445127"/>
        <n v="179.37024338012793"/>
        <n v="200.4269333690288"/>
        <n v="48.12394919223329"/>
        <n v="51.50844619660959"/>
        <n v="177.3946339072891"/>
        <n v="189.92309542492163"/>
        <n v="190.82711604015506"/>
        <n v="261.37568740649937"/>
        <n v="267.13678411832643"/>
        <n v="288.72525965250645"/>
        <n v="305.72626193866785"/>
        <n v="285.76856360306783"/>
        <n v="318.7590668952652"/>
        <n v="194.4266295917879"/>
        <n v="189.43729144778987"/>
        <n v="10.843468316437905"/>
        <n v="367.45335963964465"/>
        <n v="372.8305578160286"/>
        <n v="530.1144199643135"/>
        <n v="523.8102043069398"/>
        <n v="352.636143401718"/>
        <n v="1015.5920929963833"/>
        <n v="289.6450452710152"/>
        <n v="289.1063587419033"/>
        <n v="276.93510069966317"/>
        <n v="210097.73074436188"/>
        <n v="106.03677791595459"/>
        <n v="110.56618728637696"/>
        <n v="108.42543115615845"/>
        <n v="118.45614910125732"/>
        <n v="113.56100072860718"/>
        <n v="144.1097502708435"/>
        <n v="138.17216777801514"/>
        <n v="106.77982635498047"/>
        <n v="104.60198774337769"/>
        <n v="102.8176589012146"/>
        <n v="142.77133512496948"/>
        <n v="146.95505905151367"/>
        <n v="146.792498588562"/>
        <n v="153.442467212677"/>
        <n v="103.95810718536377"/>
        <n v="112.53173961639405"/>
        <n v="134.86699533462524"/>
        <n v="115.447189617157"/>
        <n v="13259.994536542892"/>
        <n v="5314.168479442596"/>
        <n v="467.1802520751953"/>
        <n v="2947.822427749634"/>
        <n v="79512.80796408653"/>
        <n v="1280.5347719848633"/>
        <n v="952.879308393669"/>
        <n v="967.6657483386992"/>
        <n v="1238.167835292816"/>
        <n v="1458.5401177597046"/>
        <n v="1330.1965466880797"/>
        <n v="1554.9698379135132"/>
        <n v="985.4040548617362"/>
        <n v="1567.776867556572"/>
        <n v="1249.275669631958"/>
        <n v="1369.741920013428"/>
        <n v="331099.3791503906"/>
        <n v="89129.4979095459"/>
        <n v="572836.6336402893"/>
        <n v="193888.29879760742"/>
        <n v="5868.96904335022"/>
        <n v="169.134938621521"/>
        <n v="1149.2634201049805"/>
        <n v="1860.5223118305205"/>
        <n v="40872.924617958066"/>
        <n v="59456.45506744385"/>
        <n v="75947.90087280273"/>
        <n v="2312.0181079864506"/>
        <n v="4601.917474365235"/>
        <n v="320758.0207824707"/>
        <n v="88610.55618919373"/>
        <n v="546.7934859848023"/>
        <n v="271.1330865097046"/>
        <n v="1433.5506443023683"/>
        <n v="732.646708946228"/>
        <n v="1066.5456302261352"/>
        <n v="68.24646171662516"/>
        <n v="390.9941867572985"/>
        <n v="390.6824720188591"/>
        <n v="384.7079395342932"/>
        <n v="390.3967335088419"/>
        <n v="390.1109949988248"/>
        <n v="388.9160885019117"/>
        <n v="266.4220397681795"/>
        <n v="266.65226354569063"/>
        <n v="266.7231016318877"/>
        <n v="266.776230195659"/>
        <n v="266.1209779044713"/>
        <n v="389.82525648793137"/>
        <n v="14.228065610411777"/>
        <n v="22.231352516597063"/>
        <n v="68.24320615235312"/>
        <n v="390.89036459844397"/>
        <n v="390.39691453318113"/>
        <n v="391.30590149486153"/>
        <n v="388.215345825674"/>
        <n v="385.43644282836135"/>
        <n v="389.25418806759444"/>
        <n v="266.59917024356673"/>
        <n v="266.38669830017955"/>
        <n v="266.51064026708235"/>
        <n v="266.49293427143493"/>
        <n v="265.961754415158"/>
        <n v="390.68259615023516"/>
        <n v="68.24150434249302"/>
        <n v="391.02033359800106"/>
        <n v="390.241512060073"/>
        <n v="390.786687136535"/>
        <n v="390.4491978034036"/>
        <n v="390.0338263158659"/>
        <n v="390.26747277733193"/>
        <n v="265.6080996846111"/>
        <n v="264.5992596979563"/>
        <n v="262.40459025290403"/>
        <n v="266.5107459889214"/>
        <n v="389.33288693234414"/>
        <n v="17.6633077389534"/>
        <n v="193392.41333007812"/>
        <n v="92325.28769958306"/>
        <n v="359363.0323265076"/>
        <n v="2920.531482608738"/>
        <n v="2926.017765920468"/>
        <n v="2865.791148390172"/>
        <n v="9203.38834445408"/>
        <n v="9209.040836989096"/>
        <n v="3031.278122372464"/>
        <n v="279.05759090423584"/>
        <n v="558.1151818084717"/>
        <n v="280.63630992507933"/>
        <n v="334.0631265735626"/>
        <n v="507.3074194440842"/>
        <n v="841.9283234596253"/>
        <n v="1002.2124655246735"/>
        <n v="4603.481481407165"/>
        <n v="2547.992115053177"/>
        <n v="8923.775050792694"/>
        <n v="678.4724511623383"/>
        <n v="814.2122257232667"/>
        <n v="1628.3112406253815"/>
        <n v="514.234423713684"/>
        <n v="427.5892341613769"/>
        <n v="642.8466627693176"/>
        <n v="769.7319755554199"/>
        <n v="1851.4155513763428"/>
        <n v="1028.5546604309084"/>
        <n v="691.7661164283752"/>
        <n v="976.9980654573442"/>
        <n v="2159.977658855438"/>
        <n v="1628.3452038717269"/>
        <n v="1851.4048247509002"/>
        <n v="30086.441482543945"/>
        <n v="62551.2565870285"/>
        <n v="58381.17281455993"/>
        <n v="1871.0734613800048"/>
        <n v="1914.7110705661773"/>
        <n v="2205.2048888397217"/>
        <n v="2099.431149339676"/>
        <n v="1889.112136440277"/>
        <n v="2051.5836399078366"/>
        <n v="358.1681053161621"/>
        <n v="10220.577877044678"/>
        <n v="69186.7285205841"/>
        <n v="13723.356179237368"/>
        <n v="174270.53924560547"/>
        <n v="202085.4358316231"/>
        <n v="55127.05634880066"/>
        <n v="3500.7934560775757"/>
        <n v="9307.567596435547"/>
        <n v="7895.238786315918"/>
        <n v="6025.017188930512"/>
        <n v="8196.15361070633"/>
        <n v="7483.360508918762"/>
        <n v="7251.643587589264"/>
        <n v="2206.1604043960574"/>
        <n v="2233.5515356063843"/>
        <n v="1056.1755323410034"/>
        <n v="1253.1142074584961"/>
        <n v="449.00203905105593"/>
        <n v="64076.11046600342"/>
        <n v="85726.9772195816"/>
        <n v="171305.924949646"/>
        <n v="157160.728225708"/>
        <n v="169353.9059617281"/>
        <n v="266.6328983306885"/>
        <n v="267.2474551963806"/>
        <n v="1852.2049452638626"/>
        <n v="56.58760743492509"/>
        <n v="502.6583766937256"/>
        <n v="82.28157052454968"/>
        <n v="457.8684616768096"/>
        <n v="458.88510801052"/>
        <n v="457.95560279128233"/>
        <n v="457.2584738770474"/>
        <n v="458.24607317234245"/>
        <n v="459.0593902394654"/>
        <n v="457.7813205631102"/>
        <n v="340.1867273207471"/>
        <n v="340.5750190826182"/>
        <n v="340.70444967068187"/>
        <n v="340.3161579080375"/>
        <n v="339.64743320639286"/>
        <n v="28.41001394309974"/>
        <n v="82.27187896867869"/>
        <n v="340.9201673164236"/>
        <n v="340.1968279701646"/>
        <n v="340.13482745437324"/>
        <n v="340.4448300317833"/>
        <n v="457.58447827996446"/>
        <n v="458.78110496405867"/>
        <n v="457.9184206106072"/>
        <n v="458.94807612899336"/>
        <n v="458.58630527111933"/>
        <n v="458.00190619307455"/>
        <n v="337.79947470759265"/>
        <n v="340.5687032265143"/>
        <n v="82.30279514072112"/>
        <n v="340.38263400198974"/>
        <n v="340.7754468086319"/>
        <n v="340.3206109276638"/>
        <n v="458.1685533390064"/>
        <n v="455.8022678224038"/>
        <n v="458.78100370778196"/>
        <n v="458.9758742801924"/>
        <n v="458.72532640159994"/>
        <n v="457.86232815423193"/>
        <n v="458.47477852378086"/>
        <n v="314723.45749872207"/>
        <n v="6164.407569942475"/>
        <n v="3803.0894519233707"/>
        <n v="7972.773496074676"/>
        <n v="4527.54090801239"/>
        <n v="2261.931372566223"/>
        <n v="6156.4118694305425"/>
        <n v="2842.1377948592535"/>
        <n v="2000.693128601259"/>
        <n v="2913.078727834608"/>
        <n v="627.2170478152265"/>
        <n v="9405.031173706055"/>
        <n v="39566.725192546844"/>
        <n v="561.7036098106527"/>
        <n v="808.8531973308802"/>
        <n v="1814.5412527624273"/>
        <n v="55.36254132628441"/>
        <n v="105.63379315042496"/>
        <n v="433.8154755555332"/>
        <n v="543.8998724460602"/>
        <n v="651.1550364685058"/>
        <n v="781.4007358884812"/>
        <n v="1302.3100729370117"/>
        <n v="1566.3167708873748"/>
        <n v="261.0896098136902"/>
        <n v="542.6242996816635"/>
        <n v="5552.764170901084"/>
        <n v="3287.1625712648292"/>
        <n v="7181.684351690514"/>
        <n v="1302.2953808107375"/>
        <n v="1562.75739539814"/>
        <n v="217.04678144741058"/>
        <n v="61289.055614471436"/>
        <n v="149022.07913398743"/>
        <n v="1418.119442796707"/>
        <n v="1430.8145926952361"/>
        <n v="1568.7835973787307"/>
        <n v="1476.1231029510498"/>
        <n v="1671.3407706642151"/>
        <n v="1554.864293627739"/>
        <n v="47385.84178161621"/>
        <n v="33540.681507110596"/>
        <n v="463.92648860454557"/>
        <n v="393.2145917034149"/>
        <n v="218.00554978370667"/>
        <n v="129.12127780914307"/>
        <n v="1162.0915002822876"/>
        <n v="1836.8945037841795"/>
        <n v="1962.3866903305052"/>
        <n v="158137.0222120285"/>
        <n v="14921.488241100311"/>
        <n v="95739.64571237564"/>
        <n v="104109.02203559875"/>
        <n v="7388.716316699982"/>
        <n v="141451.93593978882"/>
        <n v="413.9411190032959"/>
        <n v="1061.940685901642"/>
        <n v="356.2932215682201"/>
        <n v="347.25586928748896"/>
        <n v="2458.4244857883455"/>
        <n v="2389.3030578804014"/>
        <n v="6063.394108390808"/>
        <n v="447.14520012408826"/>
        <n v="1073.1484833255215"/>
        <n v="147.5579090772171"/>
        <n v="623.2881818571586"/>
        <n v="1246.5763622488976"/>
        <n v="1390.0132338941576"/>
        <n v="482.6434843314514"/>
        <n v="539.6728530648785"/>
        <n v="639.5092896052214"/>
        <n v="1621.6821102949448"/>
        <n v="40779.0284576416"/>
        <n v="63693.512467861176"/>
        <n v="1191.2840846022743"/>
        <n v="1286.2520533274026"/>
        <n v="1298.7292413059508"/>
        <n v="1410.283501326804"/>
        <n v="1453.4885709168573"/>
        <n v="19777.911643981934"/>
        <n v="2628.7622604370117"/>
        <n v="1211.5525749206543"/>
        <n v="79055.41602897644"/>
        <n v="6678.376530170441"/>
        <n v="8766.398661708832"/>
        <n v="2153.6490783691406"/>
        <n v="5567.332426548004"/>
        <n v="2071.3916482925415"/>
        <n v="15660.492663860321"/>
        <n v="16632.90470314026"/>
        <n v="59361.664701652524"/>
        <n v="2950.972444295883"/>
        <n v="960.9912020519233"/>
        <n v="21998.88038635254"/>
        <n v="4412.949782935081"/>
        <n v="6368.738320501188"/>
        <n v="9176.034977014713"/>
        <n v="2349.7516183673865"/>
        <n v="1839.9016310725438"/>
        <n v="662.6731533169416"/>
        <n v="1533.251359226896"/>
        <n v="638.8547330114302"/>
        <n v="511.0837864087418"/>
        <n v="559.464671039644"/>
        <n v="766.625679613448"/>
        <n v="919.9508155362719"/>
        <n v="699.3308388001058"/>
        <n v="229844.86533260345"/>
        <n v="1607.57291686184"/>
        <n v="1819.4091335892663"/>
        <n v="1661.662993810668"/>
        <n v="1894.6395091588993"/>
        <n v="1608.4897835445615"/>
        <n v="1762.5888767021795"/>
        <n v="33263.15674495697"/>
        <n v="8757.98626613617"/>
        <n v="463.494596139177"/>
        <n v="495.86255732184395"/>
        <n v="585.1082451007977"/>
        <n v="997.9735072581028"/>
        <n v="8785.662521471468"/>
        <n v="5690.028609126491"/>
        <n v="2423.8629298108704"/>
        <n v="610.2189585940738"/>
        <n v="755.5760941312265"/>
        <n v="43.91135626019401"/>
        <n v="669.4686879805435"/>
        <n v="1813.3826259153727"/>
        <n v="878.7153003754246"/>
        <n v="114289.68802022934"/>
        <n v="53.746646162747666"/>
        <n v="651.3212478247763"/>
        <n v="2188.4393926909593"/>
        <n v="1875.8051937352666"/>
        <n v="32597.078309059143"/>
        <n v="3126.3420295419355"/>
        <n v="1630.8509299972297"/>
        <n v="1756.89572224641"/>
        <n v="1922.0743103536602"/>
        <n v="1659.4258969848945"/>
        <n v="1788.1115553900024"/>
        <n v="1714.4482870506806"/>
        <n v="141434.4402551651"/>
        <n v="65643.65575790405"/>
        <n v="34179.32239341736"/>
        <n v="10324.12105512619"/>
        <n v="139216.48340177536"/>
        <n v="2615.1849981028618"/>
        <n v="3181.242356999626"/>
        <n v="2920.8559719069085"/>
        <n v="3768.750955581665"/>
        <n v="21892.34194278717"/>
        <n v="134694.1677274704"/>
        <n v="38890.205698013306"/>
        <n v="270546.06654167175"/>
        <n v="35212.5666475296"/>
        <n v="307.0891621044862"/>
        <n v="596.1142558496662"/>
        <n v="3.721198081970215"/>
        <n v="5455.757130176483"/>
        <n v="6411.549037315922"/>
        <n v="6274.546006983111"/>
        <n v="414.41885700780676"/>
        <n v="452.52489497367634"/>
        <n v="563.5524095647334"/>
        <n v="460.46539667521625"/>
        <n v="660.0794823892523"/>
        <n v="651.8947998857464"/>
        <n v="375.701606376616"/>
        <n v="362.1637777145485"/>
        <n v="366.7108235498327"/>
        <n v="469.62700797048404"/>
        <n v="788.9733733905505"/>
        <n v="676.2628914774514"/>
        <n v="28231.30078601837"/>
        <n v="58887.95964717865"/>
        <n v="29096.04780292511"/>
        <n v="49143.23797893524"/>
        <n v="26563.361439704895"/>
        <n v="35358.01541137695"/>
        <n v="752.2494168281555"/>
        <n v="2758.975296020508"/>
        <n v="3533.4912429809574"/>
        <n v="4989.825168514251"/>
        <n v="68.86070342063903"/>
        <n v="2697.146849155426"/>
        <n v="277.50586767196654"/>
        <n v="473.7989542728289"/>
        <n v="313.63340774468435"/>
        <n v="8887.548384189882"/>
        <n v="8534.715977957594"/>
        <n v="12258.096282920014"/>
        <n v="275.9993908386217"/>
        <n v="466.5158479146316"/>
        <n v="350.97886558995583"/>
        <n v="373.2126783317901"/>
        <n v="438.7235819873451"/>
        <n v="526.4682983847343"/>
        <n v="671.7828209973068"/>
        <n v="456.8607874319353"/>
        <n v="783.7466244967168"/>
        <n v="631.7619580620002"/>
        <n v="80655.97719573975"/>
        <n v="39407.97456026077"/>
        <n v="6476.7340087890625"/>
        <n v="5583.867588043213"/>
        <n v="71041.56000137329"/>
        <n v="42437.59200334549"/>
        <n v="17497.821709656713"/>
        <n v="556.5813371317578"/>
        <n v="667.8976138901235"/>
        <n v="449.30157494097233"/>
        <n v="8672.760952719593"/>
        <n v="8817.084179981002"/>
        <n v="6299.906018071341"/>
        <n v="342.05555800641935"/>
        <n v="5231.359497664084"/>
        <n v="7739.084402464176"/>
        <n v="5137.527772734075"/>
        <n v="389.177663313043"/>
        <n v="385.4147132451247"/>
        <n v="583.766494972082"/>
        <n v="694.0246582030816"/>
        <n v="486.4720791538912"/>
        <n v="700.5197939534074"/>
        <n v="817.2730929624253"/>
        <n v="1349.4923911192075"/>
        <n v="427.12262288150345"/>
        <n v="1945.888316816964"/>
        <n v="697.4614183301268"/>
        <n v="243.23603955177066"/>
        <n v="875.6497425676338"/>
        <n v="21422.804985046387"/>
        <n v="5364.204368591309"/>
        <n v="10388.142042160034"/>
        <n v="51945.95075941086"/>
        <n v="268.715678024292"/>
        <n v="1196.5336097717284"/>
        <n v="2535.156989765167"/>
        <n v="10995.967483520508"/>
        <n v="146.33658576011658"/>
        <n v="535.1840356349945"/>
        <n v="704.8986251831054"/>
        <n v="41126.77585261345"/>
        <n v="52481.555284023285"/>
        <n v="424.695001258844"/>
        <n v="417.582157491743"/>
        <n v="485.43925808475774"/>
        <n v="568.9556895828883"/>
        <n v="776.9464068571069"/>
        <n v="906.4374746667172"/>
        <n v="539.5461158872397"/>
        <n v="500.87772147271755"/>
        <n v="601.0532657513022"/>
        <n v="761.0048471106378"/>
        <n v="647.4553390474968"/>
        <n v="516.0273455391923"/>
        <n v="445.6281745570286"/>
        <n v="1564.9423527308609"/>
        <n v="4685.418470386528"/>
        <n v="832.1959289254995"/>
        <n v="116338.69789567853"/>
        <n v="25261.341041660307"/>
        <n v="16964.846990680693"/>
        <n v="42866.88487958908"/>
        <n v="3608.1875220298766"/>
        <n v="5298.880167675018"/>
        <n v="4299.003604507446"/>
        <n v="4556.776556968689"/>
        <n v="3993.4683122634888"/>
        <n v="4967.609369277954"/>
        <n v="4561.784003734589"/>
        <n v="3855.502687931061"/>
        <n v="4797.134001731873"/>
        <n v="28760.112149238586"/>
        <n v="4299.481209754944"/>
        <n v="5335.064884185791"/>
        <n v="3659.460178375244"/>
        <n v="5365.426136016846"/>
        <n v="5256.092827958108"/>
        <n v="4625.359444508553"/>
        <n v="3331.3125044565204"/>
        <n v="2132.9591931438445"/>
        <n v="4978.266399308682"/>
        <n v="5128.893466900826"/>
        <n v="5098.409482095718"/>
        <n v="4956.496000884056"/>
        <n v="4634.127635785103"/>
        <n v="4164.513207115173"/>
        <n v="4204.872222280503"/>
        <n v="4025.1810008540156"/>
        <n v="3640.110006536484"/>
        <n v="3165.1819921264646"/>
        <n v="2979.550622484207"/>
        <n v="3143.1451737890247"/>
        <n v="2648.01630564785"/>
        <n v="2455.5675815644267"/>
        <n v="2267.6368330330847"/>
        <n v="2090.869665620804"/>
        <n v="1667.5182654938699"/>
        <n v="3162.351244166374"/>
        <n v="36785.932109404566"/>
        <n v="55387.97971057892"/>
        <n v="2529.1915752887726"/>
        <n v="5444.115904340744"/>
        <n v="4973.337690162659"/>
        <n v="9163.152519464493"/>
        <n v="69484.29807014465"/>
        <n v="656.1352413699109"/>
        <n v="339.50905674807586"/>
        <n v="342.31085902251186"/>
        <n v="424.3863209352082"/>
        <n v="420.693992628911"/>
        <n v="508.04706101962694"/>
        <n v="611.1163021470804"/>
        <n v="6891.333751678467"/>
        <n v="175374.99641132355"/>
        <n v="507.361994895935"/>
        <n v="608.7981343078613"/>
        <n v="422.19751396179197"/>
        <n v="706.7658779656028"/>
        <n v="420.69397497922404"/>
        <n v="606.4257251380798"/>
        <n v="1338.1794332420302"/>
        <n v="2956.1569582372913"/>
        <n v="1148.7144260142827"/>
        <n v="34090.10069131851"/>
        <n v="23317.896953105927"/>
        <n v="38305.43020329475"/>
        <n v="46338.305505275726"/>
        <n v="147675.86865520477"/>
        <n v="48020.569173812866"/>
        <n v="157113.09609746933"/>
        <n v="35537.78762340546"/>
        <n v="1674.6439041137696"/>
        <n v="4441.279308032989"/>
        <n v="607.6929921150207"/>
        <n v="197383.21393203735"/>
        <n v="1524.8307346343995"/>
        <n v="148.41242609024047"/>
        <n v="144.32293109893797"/>
        <n v="148.71653666496277"/>
        <n v="297.96610751152036"/>
        <n v="280.74098601341245"/>
        <n v="145.31175942420958"/>
        <n v="685.3969384372765"/>
        <n v="405.00127338088004"/>
        <n v="768.79584631719"/>
        <n v="461.2775077366136"/>
        <n v="230.63875389515698"/>
        <n v="219.35668686744833"/>
        <n v="532.8798254394532"/>
        <n v="444.08425548553464"/>
        <n v="367.32353571731545"/>
        <n v="363.71256606389727"/>
        <n v="367.49548509474835"/>
        <n v="550.9853035762408"/>
        <n v="661.4918731710825"/>
        <n v="771.3794250071653"/>
        <n v="459.15454286419714"/>
        <n v="995.2018994561325"/>
        <n v="5646.690626883273"/>
        <n v="1581.3616183051065"/>
        <n v="106759.53839588165"/>
        <n v="16705.6974029541"/>
        <n v="64252.91061401367"/>
        <n v="49956.42650938034"/>
        <n v="1726.600468158722"/>
        <n v="21961.982362747192"/>
        <n v="75135.29746341705"/>
        <n v="4439.117272949219"/>
        <n v="10327.355861091613"/>
        <n v="4603.849773406982"/>
        <n v="614.9797245618932"/>
        <n v="424.70934423518406"/>
        <n v="383.1406377390198"/>
        <n v="400.8830330631331"/>
        <n v="1826.250180341185"/>
        <n v="573.3576147576716"/>
        <n v="1448.9495379933865"/>
        <n v="1528.9536393551302"/>
        <n v="2357.13686067333"/>
        <n v="498.4951109556101"/>
        <n v="996.2272930145264"/>
        <n v="12881.892453670502"/>
        <n v="536.906679715987"/>
        <n v="194.02926869683313"/>
        <n v="531.1587947950137"/>
        <n v="8283.677908940832"/>
        <n v="9333.90431664681"/>
        <n v="9369.777618248585"/>
        <n v="540.5736090996076"/>
        <n v="486.65568551430295"/>
        <n v="11886.606209278107"/>
        <n v="31643.13189983368"/>
        <n v="82272.14293956757"/>
        <n v="1514.5540735721588"/>
        <n v="3786.385183930397"/>
        <n v="9844.601478219032"/>
        <n v="18292.22296333313"/>
        <n v="4105.14773273468"/>
        <n v="17555.15490913391"/>
        <n v="317.50901193618773"/>
        <n v="952.5270358085633"/>
        <n v="216.45951175689697"/>
        <n v="839.2911257743835"/>
        <n v="4639.478283309937"/>
        <n v="39489.623997211456"/>
        <n v="878.8378311754724"/>
        <n v="920.6872517080632"/>
        <n v="1039.0704945452055"/>
        <n v="27272.08772416115"/>
        <n v="213845.16329956055"/>
        <n v="18619.942534160615"/>
        <n v="5002.038375663757"/>
        <n v="15479.032557773591"/>
        <n v="1590.7608823802368"/>
        <n v="1490.775492714535"/>
        <n v="848.4058039363418"/>
        <n v="829.8425904222557"/>
        <n v="259.32580928802537"/>
        <n v="1631.4957562269717"/>
        <n v="296.2435938835144"/>
        <n v="142.72889728546144"/>
        <n v="196.45677967071532"/>
        <n v="148.1217969417572"/>
        <n v="197.49572925567625"/>
        <n v="628.2520274162292"/>
        <n v="6826.646856451035"/>
        <n v="12707.383953094482"/>
        <n v="3979.0991109609604"/>
        <n v="23458.87099838257"/>
        <n v="46643.1014316082"/>
        <n v="724.0579458236695"/>
        <n v="18386.317708587645"/>
        <n v="5587.86357421875"/>
        <n v="3675.6213634014125"/>
        <n v="3409.737792062759"/>
        <n v="321.43039557456973"/>
        <n v="39252.398112773895"/>
        <n v="304.53275356292727"/>
        <n v="70280.2214627266"/>
        <n v="1430.708094024658"/>
        <n v="719.4725846290588"/>
        <n v="3374.6368885040283"/>
        <n v="1318.5671101135874"/>
        <n v="727.0816804570713"/>
        <n v="837.6752144552495"/>
        <n v="1481.009779158025"/>
        <n v="1932.3702221989936"/>
        <n v="4446.996980155933"/>
        <n v="1052.4224742907818"/>
        <n v="469.1338944252363"/>
        <n v="544.691892741165"/>
        <n v="564.4894461712596"/>
        <n v="21494.800901937484"/>
        <n v="81605.26164264679"/>
        <n v="67610.04678153992"/>
        <n v="354.3573778811342"/>
        <n v="427.97880970887456"/>
        <n v="683.7720599284175"/>
        <n v="423.0289921846619"/>
        <n v="16625.386779785156"/>
        <n v="337.93192423768505"/>
        <n v="3182.2472778059578"/>
        <n v="4915.855663845692"/>
        <n v="1782.9294305540657"/>
        <n v="364.10990381240845"/>
        <n v="308.1501011657715"/>
        <n v="4522.409883785248"/>
        <n v="29801.908933496474"/>
        <n v="20063.619260787964"/>
        <n v="194.47790336608887"/>
        <n v="27857.804944896696"/>
        <n v="7629.792306900024"/>
        <n v="2427.0869019211364"/>
        <n v="1426.238268852234"/>
        <n v="238.52998609542846"/>
        <n v="1152.7053155899048"/>
        <n v="125.51419129371642"/>
        <n v="186.7045166015625"/>
        <n v="5439.946712522507"/>
        <n v="8202.318509674073"/>
        <n v="133.41923389434814"/>
        <n v="739.6236145019532"/>
        <n v="248.64673948287964"/>
        <n v="1547.5103138694037"/>
        <n v="562.2245786215814"/>
        <n v="528.8254669704139"/>
        <n v="251.66162730216982"/>
        <n v="303.33470376419103"/>
        <n v="444.7470790600015"/>
        <n v="3242.8296103040775"/>
        <n v="5615.136126853981"/>
        <n v="1220.4944356163885"/>
        <n v="356.75652771086123"/>
        <n v="1112.971338467397"/>
        <n v="685.5903437432097"/>
        <n v="9106.374662399292"/>
        <n v="12925.754986286163"/>
        <n v="20291.084230422974"/>
        <n v="758.0492952585221"/>
        <n v="546.0268409156799"/>
        <n v="381.21691715529096"/>
        <n v="476.5211464441137"/>
        <n v="482.2507110615395"/>
        <n v="2743.231800527573"/>
        <n v="5525.366881656646"/>
        <n v="3128.172719335556"/>
        <n v="7699.501463890076"/>
        <n v="386.2372975349426"/>
        <n v="140764.43520736694"/>
        <n v="38327.18999235153"/>
        <n v="831.8104734352271"/>
        <n v="119.62126815952548"/>
        <n v="497.5934093187661"/>
        <n v="429.0456241659643"/>
        <n v="427.0221656519108"/>
        <n v="5242.745283010491"/>
        <n v="7176.211921051034"/>
        <n v="4058.727365450228"/>
        <n v="4816.778183403694"/>
        <n v="8431.174553519224"/>
        <n v="4768.932426465491"/>
        <n v="24012.303926467896"/>
        <n v="73566.60385131836"/>
        <n v="456.85094577998433"/>
        <n v="571.0636816880973"/>
        <n v="250.76033290863037"/>
        <n v="1223.5777053451536"/>
        <n v="6364.067106046677"/>
        <n v="9041.05388293743"/>
        <n v="479.48800799462566"/>
        <n v="452.88026637419586"/>
        <n v="425.8118012939957"/>
        <n v="678.138055020363"/>
        <n v="686.106217417717"/>
        <n v="127.6541805267334"/>
        <n v="110.48185586929321"/>
        <n v="1872.3464171791077"/>
        <n v="3776.436173915863"/>
        <n v="200.40442943572998"/>
        <n v="184.13642644882202"/>
        <n v="141.45888805389404"/>
        <n v="148.4652042388916"/>
        <n v="123.0886173248291"/>
        <n v="95.11535882949829"/>
        <n v="1678.2008754825592"/>
        <n v="5796.991513363124"/>
        <n v="4515.508999841213"/>
        <n v="4592.845325732232"/>
        <n v="266.9479465484619"/>
        <n v="266.3977117538452"/>
        <n v="3962.9887590408325"/>
        <n v="2528.6630687713623"/>
        <n v="1487.4488639831543"/>
      </sharedItems>
    </cacheField>
    <cacheField name="Category" numFmtId="0">
      <sharedItems containsBlank="1">
        <m/>
        <s v="Outreach"/>
        <s v="Operations"/>
      </sharedItems>
    </cacheField>
    <cacheField name="Subcategory" numFmtId="0">
      <sharedItems containsBlank="1">
        <m/>
        <s v="Events/Conference Attendance &amp; Side Events"/>
        <s v="Advertising/Digital Ads"/>
        <s v="Advertising/Influencers"/>
        <s v="Advertising/Sponsorships"/>
        <s v="Governance"/>
        <s v="Advertising/Physical Ads"/>
      </sharedItems>
    </cacheField>
    <cacheField name="inherited Category" numFmtId="0">
      <sharedItems containsBlank="1">
        <s v="Development"/>
        <s v="Research"/>
        <s v="Outreach"/>
        <s v="Talent &amp; Education"/>
        <s v="Operations"/>
        <m/>
      </sharedItems>
    </cacheField>
    <cacheField name="inherited Subcategory" numFmtId="0">
      <sharedItems containsBlank="1">
        <s v="Smart Contracts"/>
        <s v="Anti-Scam"/>
        <s v="Media"/>
        <s v="Software Development"/>
        <s v="Incubation"/>
        <s v="Events/Meetups"/>
        <s v="Ecosystem Services"/>
        <s v="Advertising"/>
        <s v="RPCs and Nodes"/>
        <s v="Infrastructure"/>
        <s v="Community Building"/>
        <s v="Games"/>
        <s v="Protocol Subsidies"/>
        <m/>
      </sharedItems>
    </cacheField>
    <cacheField name="evaluated Category" numFmtId="0">
      <sharedItems containsBlank="1">
        <s v="Development"/>
        <s v="Research"/>
        <s v="Outreach"/>
        <s v="Talent &amp; Education"/>
        <s v="Operations"/>
        <m/>
      </sharedItems>
    </cacheField>
    <cacheField name="evaluated Subcategory" numFmtId="0">
      <sharedItems containsBlank="1">
        <s v="Smart Contracts"/>
        <s v="Anti-Scam"/>
        <s v="Media"/>
        <s v="Software Development"/>
        <s v="Incubation"/>
        <s v="Events/Meetups"/>
        <s v="Ecosystem Services"/>
        <s v="Advertising"/>
        <s v="RPCs and Nodes"/>
        <s v="Infrastructure"/>
        <s v="Community Building"/>
        <s v="Events/Conference Attendance &amp; Side Events"/>
        <s v="Advertising/Digital Ads"/>
        <s v="Advertising/Influencers"/>
        <s v="Games"/>
        <s v="Advertising/Sponsorships"/>
        <s v="Governance"/>
        <s v="Advertising/Physical Ads"/>
        <s v="Protocol Subsidies"/>
        <m/>
      </sharedItems>
    </cacheField>
    <cacheField name="year" numFmtId="3">
      <sharedItems>
        <s v="2024"/>
        <s v="2023"/>
        <s v="2022"/>
      </sharedItems>
    </cacheField>
    <cacheField name="month" numFmtId="3">
      <sharedItems containsSemiMixedTypes="0" containsString="0" containsNumber="1" containsInteger="1">
        <n v="6.0"/>
        <n v="5.0"/>
        <n v="4.0"/>
        <n v="3.0"/>
        <n v="2.0"/>
        <n v="1.0"/>
        <n v="12.0"/>
        <n v="11.0"/>
        <n v="10.0"/>
        <n v="9.0"/>
        <n v="8.0"/>
        <n v="7.0"/>
      </sharedItems>
    </cacheField>
    <cacheField name="quarter" numFmtId="3">
      <sharedItems>
        <s v="2024-Q2"/>
        <s v="2024-Q1"/>
        <s v="2023-Q4"/>
        <s v="2023-Q3"/>
        <s v="2023-Q2"/>
        <s v="2023-Q1"/>
        <s v="2022-Q4"/>
        <s v="2022-Q3"/>
        <s v="2022-Q2"/>
      </sharedItems>
    </cacheField>
    <cacheField name="year-month" numFmtId="3">
      <sharedItems>
        <s v="2024-06"/>
        <s v="2024-05"/>
        <s v="2024-04"/>
        <s v="2024-03"/>
        <s v="2024-02"/>
        <s v="2024-01"/>
        <s v="2023-12"/>
        <s v="2023-11"/>
        <s v="2023-10"/>
        <s v="2023-09"/>
        <s v="2023-08"/>
        <s v="2023-07"/>
        <s v="2023-06"/>
        <s v="2023-05"/>
        <s v="2023-04"/>
        <s v="2023-03"/>
        <s v="2023-02"/>
        <s v="2023-01"/>
        <s v="2022-12"/>
        <s v="2022-11"/>
        <s v="2022-10"/>
        <s v="2022-09"/>
        <s v="2022-08"/>
        <s v="2022-07"/>
        <s v="2022-06"/>
        <s v="2022-05"/>
      </sharedItems>
    </cacheField>
    <cacheField name="half-year" numFmtId="0">
      <sharedItems>
        <s v="2024-H1"/>
        <s v="2023-H2"/>
        <s v="2023-H1"/>
        <s v="2022-H2"/>
        <s v="2022-H1"/>
      </sharedItems>
    </cacheField>
    <cacheField name="bounty name" numFmtId="0">
      <sharedItems>
        <s v="Wasm Smart Contracts Bounty"/>
        <s v="Anti-Scam Bounty"/>
        <s v="Spanish Bounty"/>
        <s v="DeFi Infrastructure and Tooling Bounty"/>
        <s v="Polkadot Pioneers Bounty"/>
        <s v="Meetups Bounty"/>
        <s v="Polkadot Assurance Legion Bounty"/>
        <s v="Marketing Bounty"/>
        <s v="System Parachains Collator Bounty"/>
        <s v="Infrastructure Builders Program"/>
        <s v="Paseo Testnet Bounty"/>
        <s v="Events Bounty"/>
        <s v="AMI Bounty"/>
        <s v="Moderation Team Bounty"/>
        <s v="Public RPCs for Relay and System Chains"/>
        <s v="Games Bounty"/>
        <s v="Polkadot Parachain Assets Onramp Bounty"/>
        <s v="Security Bug Bounty for Open Runtime Module Library (ORML)"/>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1394" sheet="Child Bounties"/>
  </cacheSource>
  <cacheFields>
    <cacheField name="#" numFmtId="0">
      <sharedItems containsSemiMixedTypes="0" containsString="0" containsNumber="1" containsInteger="1">
        <n v="1419.0"/>
        <n v="1418.0"/>
        <n v="1417.0"/>
        <n v="1416.0"/>
        <n v="1413.0"/>
        <n v="1412.0"/>
        <n v="1411.0"/>
        <n v="1410.0"/>
        <n v="1406.0"/>
        <n v="1405.0"/>
        <n v="1404.0"/>
        <n v="1403.0"/>
        <n v="1402.0"/>
        <n v="1401.0"/>
        <n v="1400.0"/>
        <n v="1399.0"/>
        <n v="1398.0"/>
        <n v="1397.0"/>
        <n v="1396.0"/>
        <n v="1394.0"/>
        <n v="1393.0"/>
        <n v="1392.0"/>
        <n v="1390.0"/>
        <n v="1389.0"/>
        <n v="1386.0"/>
        <n v="1384.0"/>
        <n v="1383.0"/>
        <n v="1382.0"/>
        <n v="1380.0"/>
        <n v="1379.0"/>
        <n v="1376.0"/>
        <n v="1375.0"/>
        <n v="1374.0"/>
        <n v="1373.0"/>
        <n v="1372.0"/>
        <n v="1371.0"/>
        <n v="1370.0"/>
        <n v="1369.0"/>
        <n v="1368.0"/>
        <n v="1367.0"/>
        <n v="1366.0"/>
        <n v="1365.0"/>
        <n v="1364.0"/>
        <n v="1363.0"/>
        <n v="1362.0"/>
        <n v="1361.0"/>
        <n v="1360.0"/>
        <n v="1359.0"/>
        <n v="1358.0"/>
        <n v="1357.0"/>
        <n v="1356.0"/>
        <n v="1354.0"/>
        <n v="1353.0"/>
        <n v="1348.0"/>
        <n v="1347.0"/>
        <n v="1346.0"/>
        <n v="1345.0"/>
        <n v="1344.0"/>
        <n v="1343.0"/>
        <n v="1342.0"/>
        <n v="1341.0"/>
        <n v="1340.0"/>
        <n v="1339.0"/>
        <n v="1338.0"/>
        <n v="1337.0"/>
        <n v="1336.0"/>
        <n v="1335.0"/>
        <n v="1334.0"/>
        <n v="1333.0"/>
        <n v="1332.0"/>
        <n v="1331.0"/>
        <n v="1330.0"/>
        <n v="1329.0"/>
        <n v="1328.0"/>
        <n v="1327.0"/>
        <n v="1326.0"/>
        <n v="1325.0"/>
        <n v="1324.0"/>
        <n v="1323.0"/>
        <n v="1322.0"/>
        <n v="1321.0"/>
        <n v="1320.0"/>
        <n v="1319.0"/>
        <n v="1318.0"/>
        <n v="1317.0"/>
        <n v="1316.0"/>
        <n v="1315.0"/>
        <n v="1314.0"/>
        <n v="1313.0"/>
        <n v="1312.0"/>
        <n v="1311.0"/>
        <n v="1310.0"/>
        <n v="1309.0"/>
        <n v="1308.0"/>
        <n v="1307.0"/>
        <n v="1306.0"/>
        <n v="1305.0"/>
        <n v="1304.0"/>
        <n v="1303.0"/>
        <n v="1302.0"/>
        <n v="1301.0"/>
        <n v="1300.0"/>
        <n v="1299.0"/>
        <n v="1298.0"/>
        <n v="1297.0"/>
        <n v="1296.0"/>
        <n v="1295.0"/>
        <n v="1294.0"/>
        <n v="1293.0"/>
        <n v="1292.0"/>
        <n v="1291.0"/>
        <n v="1290.0"/>
        <n v="1289.0"/>
        <n v="1288.0"/>
        <n v="1287.0"/>
        <n v="1286.0"/>
        <n v="1285.0"/>
        <n v="1284.0"/>
        <n v="1283.0"/>
        <n v="1282.0"/>
        <n v="1281.0"/>
        <n v="1280.0"/>
        <n v="1279.0"/>
        <n v="1278.0"/>
        <n v="1277.0"/>
        <n v="1276.0"/>
        <n v="1275.0"/>
        <n v="1274.0"/>
        <n v="1273.0"/>
        <n v="1272.0"/>
        <n v="1271.0"/>
        <n v="1270.0"/>
        <n v="1269.0"/>
        <n v="1268.0"/>
        <n v="1267.0"/>
        <n v="1266.0"/>
        <n v="1265.0"/>
        <n v="1264.0"/>
        <n v="1263.0"/>
        <n v="1262.0"/>
        <n v="1261.0"/>
        <n v="1260.0"/>
        <n v="1259.0"/>
        <n v="1258.0"/>
        <n v="1257.0"/>
        <n v="1256.0"/>
        <n v="1255.0"/>
        <n v="1254.0"/>
        <n v="1253.0"/>
        <n v="1252.0"/>
        <n v="1251.0"/>
        <n v="1250.0"/>
        <n v="1249.0"/>
        <n v="1248.0"/>
        <n v="1247.0"/>
        <n v="1246.0"/>
        <n v="1245.0"/>
        <n v="1244.0"/>
        <n v="1243.0"/>
        <n v="1242.0"/>
        <n v="1241.0"/>
        <n v="1240.0"/>
        <n v="1239.0"/>
        <n v="1238.0"/>
        <n v="1237.0"/>
        <n v="1236.0"/>
        <n v="1235.0"/>
        <n v="1234.0"/>
        <n v="1233.0"/>
        <n v="1232.0"/>
        <n v="1231.0"/>
        <n v="1230.0"/>
        <n v="1229.0"/>
        <n v="1228.0"/>
        <n v="1227.0"/>
        <n v="1226.0"/>
        <n v="1225.0"/>
        <n v="1224.0"/>
        <n v="1223.0"/>
        <n v="1222.0"/>
        <n v="1221.0"/>
        <n v="1220.0"/>
        <n v="1219.0"/>
        <n v="1218.0"/>
        <n v="1217.0"/>
        <n v="1216.0"/>
        <n v="1215.0"/>
        <n v="1214.0"/>
        <n v="1213.0"/>
        <n v="1212.0"/>
        <n v="1211.0"/>
        <n v="1210.0"/>
        <n v="1209.0"/>
        <n v="1208.0"/>
        <n v="1207.0"/>
        <n v="1206.0"/>
        <n v="1205.0"/>
        <n v="1204.0"/>
        <n v="1203.0"/>
        <n v="1202.0"/>
        <n v="1201.0"/>
        <n v="1200.0"/>
        <n v="1199.0"/>
        <n v="1198.0"/>
        <n v="1197.0"/>
        <n v="1196.0"/>
        <n v="1195.0"/>
        <n v="1194.0"/>
        <n v="1193.0"/>
        <n v="1192.0"/>
        <n v="1191.0"/>
        <n v="1190.0"/>
        <n v="1189.0"/>
        <n v="1188.0"/>
        <n v="1187.0"/>
        <n v="1186.0"/>
        <n v="1185.0"/>
        <n v="1184.0"/>
        <n v="1183.0"/>
        <n v="1182.0"/>
        <n v="1181.0"/>
        <n v="1180.0"/>
        <n v="1179.0"/>
        <n v="1178.0"/>
        <n v="1177.0"/>
        <n v="1176.0"/>
        <n v="1175.0"/>
        <n v="1174.0"/>
        <n v="1173.0"/>
        <n v="1172.0"/>
        <n v="1171.0"/>
        <n v="1170.0"/>
        <n v="1169.0"/>
        <n v="1168.0"/>
        <n v="1167.0"/>
        <n v="1166.0"/>
        <n v="1165.0"/>
        <n v="1164.0"/>
        <n v="1163.0"/>
        <n v="1162.0"/>
        <n v="1161.0"/>
        <n v="1160.0"/>
        <n v="1159.0"/>
        <n v="1158.0"/>
        <n v="1157.0"/>
        <n v="1156.0"/>
        <n v="1155.0"/>
        <n v="1154.0"/>
        <n v="1153.0"/>
        <n v="1152.0"/>
        <n v="1151.0"/>
        <n v="1150.0"/>
        <n v="1149.0"/>
        <n v="1148.0"/>
        <n v="1147.0"/>
        <n v="1146.0"/>
        <n v="1145.0"/>
        <n v="1144.0"/>
        <n v="1143.0"/>
        <n v="1142.0"/>
        <n v="1141.0"/>
        <n v="1140.0"/>
        <n v="1139.0"/>
        <n v="1138.0"/>
        <n v="1137.0"/>
        <n v="1136.0"/>
        <n v="1135.0"/>
        <n v="1134.0"/>
        <n v="1133.0"/>
        <n v="1132.0"/>
        <n v="1131.0"/>
        <n v="1130.0"/>
        <n v="1129.0"/>
        <n v="1128.0"/>
        <n v="1127.0"/>
        <n v="1126.0"/>
        <n v="1125.0"/>
        <n v="1124.0"/>
        <n v="1123.0"/>
        <n v="1122.0"/>
        <n v="1121.0"/>
        <n v="1120.0"/>
        <n v="1119.0"/>
        <n v="1118.0"/>
        <n v="1117.0"/>
        <n v="1116.0"/>
        <n v="1115.0"/>
        <n v="1114.0"/>
        <n v="1113.0"/>
        <n v="1112.0"/>
        <n v="1111.0"/>
        <n v="1110.0"/>
        <n v="1109.0"/>
        <n v="1108.0"/>
        <n v="1107.0"/>
        <n v="1106.0"/>
        <n v="1105.0"/>
        <n v="1104.0"/>
        <n v="1103.0"/>
        <n v="1102.0"/>
        <n v="1101.0"/>
        <n v="1100.0"/>
        <n v="1099.0"/>
        <n v="1098.0"/>
        <n v="1097.0"/>
        <n v="1096.0"/>
        <n v="1095.0"/>
        <n v="1094.0"/>
        <n v="1093.0"/>
        <n v="1092.0"/>
        <n v="1091.0"/>
        <n v="1090.0"/>
        <n v="1089.0"/>
        <n v="1088.0"/>
        <n v="1087.0"/>
        <n v="1086.0"/>
        <n v="1085.0"/>
        <n v="1084.0"/>
        <n v="1083.0"/>
        <n v="1082.0"/>
        <n v="1081.0"/>
        <n v="1080.0"/>
        <n v="1079.0"/>
        <n v="1078.0"/>
        <n v="1077.0"/>
        <n v="1076.0"/>
        <n v="1075.0"/>
        <n v="1074.0"/>
        <n v="1073.0"/>
        <n v="1072.0"/>
        <n v="1071.0"/>
        <n v="1070.0"/>
        <n v="1069.0"/>
        <n v="1068.0"/>
        <n v="1067.0"/>
        <n v="1066.0"/>
        <n v="1065.0"/>
        <n v="1064.0"/>
        <n v="1063.0"/>
        <n v="1062.0"/>
        <n v="1061.0"/>
        <n v="1060.0"/>
        <n v="1059.0"/>
        <n v="1058.0"/>
        <n v="1057.0"/>
        <n v="1056.0"/>
        <n v="1055.0"/>
        <n v="1054.0"/>
        <n v="1053.0"/>
        <n v="1052.0"/>
        <n v="1051.0"/>
        <n v="1050.0"/>
        <n v="1049.0"/>
        <n v="1048.0"/>
        <n v="1047.0"/>
        <n v="1046.0"/>
        <n v="1045.0"/>
        <n v="1044.0"/>
        <n v="1043.0"/>
        <n v="1042.0"/>
        <n v="1041.0"/>
        <n v="1040.0"/>
        <n v="1039.0"/>
        <n v="1038.0"/>
        <n v="1037.0"/>
        <n v="1036.0"/>
        <n v="1035.0"/>
        <n v="1034.0"/>
        <n v="1033.0"/>
        <n v="1032.0"/>
        <n v="1031.0"/>
        <n v="1030.0"/>
        <n v="1029.0"/>
        <n v="1028.0"/>
        <n v="1027.0"/>
        <n v="1026.0"/>
        <n v="1025.0"/>
        <n v="1024.0"/>
        <n v="1023.0"/>
        <n v="1022.0"/>
        <n v="1021.0"/>
        <n v="1020.0"/>
        <n v="1019.0"/>
        <n v="1018.0"/>
        <n v="1017.0"/>
        <n v="1016.0"/>
        <n v="1015.0"/>
        <n v="1014.0"/>
        <n v="1013.0"/>
        <n v="1012.0"/>
        <n v="1011.0"/>
        <n v="1010.0"/>
        <n v="1009.0"/>
        <n v="1008.0"/>
        <n v="1007.0"/>
        <n v="1006.0"/>
        <n v="1005.0"/>
        <n v="1004.0"/>
        <n v="1003.0"/>
        <n v="1002.0"/>
        <n v="1001.0"/>
        <n v="1000.0"/>
        <n v="999.0"/>
        <n v="998.0"/>
        <n v="997.0"/>
        <n v="996.0"/>
        <n v="995.0"/>
        <n v="994.0"/>
        <n v="993.0"/>
        <n v="992.0"/>
        <n v="991.0"/>
        <n v="990.0"/>
        <n v="989.0"/>
        <n v="988.0"/>
        <n v="987.0"/>
        <n v="986.0"/>
        <n v="985.0"/>
        <n v="984.0"/>
        <n v="983.0"/>
        <n v="982.0"/>
        <n v="981.0"/>
        <n v="980.0"/>
        <n v="979.0"/>
        <n v="978.0"/>
        <n v="977.0"/>
        <n v="976.0"/>
        <n v="975.0"/>
        <n v="974.0"/>
        <n v="973.0"/>
        <n v="972.0"/>
        <n v="971.0"/>
        <n v="970.0"/>
        <n v="969.0"/>
        <n v="968.0"/>
        <n v="967.0"/>
        <n v="966.0"/>
        <n v="965.0"/>
        <n v="964.0"/>
        <n v="963.0"/>
        <n v="962.0"/>
        <n v="961.0"/>
        <n v="960.0"/>
        <n v="959.0"/>
        <n v="958.0"/>
        <n v="957.0"/>
        <n v="956.0"/>
        <n v="955.0"/>
        <n v="954.0"/>
        <n v="953.0"/>
        <n v="952.0"/>
        <n v="951.0"/>
        <n v="950.0"/>
        <n v="949.0"/>
        <n v="948.0"/>
        <n v="947.0"/>
        <n v="946.0"/>
        <n v="945.0"/>
        <n v="944.0"/>
        <n v="943.0"/>
        <n v="942.0"/>
        <n v="941.0"/>
        <n v="940.0"/>
        <n v="939.0"/>
        <n v="938.0"/>
        <n v="937.0"/>
        <n v="936.0"/>
        <n v="935.0"/>
        <n v="934.0"/>
        <n v="933.0"/>
        <n v="932.0"/>
        <n v="931.0"/>
        <n v="930.0"/>
        <n v="929.0"/>
        <n v="928.0"/>
        <n v="927.0"/>
        <n v="926.0"/>
        <n v="925.0"/>
        <n v="924.0"/>
        <n v="923.0"/>
        <n v="922.0"/>
        <n v="921.0"/>
        <n v="920.0"/>
        <n v="919.0"/>
        <n v="918.0"/>
        <n v="917.0"/>
        <n v="916.0"/>
        <n v="915.0"/>
        <n v="914.0"/>
        <n v="913.0"/>
        <n v="912.0"/>
        <n v="911.0"/>
        <n v="910.0"/>
        <n v="909.0"/>
        <n v="908.0"/>
        <n v="907.0"/>
        <n v="906.0"/>
        <n v="905.0"/>
        <n v="904.0"/>
        <n v="903.0"/>
        <n v="902.0"/>
        <n v="901.0"/>
        <n v="900.0"/>
        <n v="899.0"/>
        <n v="898.0"/>
        <n v="897.0"/>
        <n v="896.0"/>
        <n v="895.0"/>
        <n v="894.0"/>
        <n v="893.0"/>
        <n v="892.0"/>
        <n v="891.0"/>
        <n v="890.0"/>
        <n v="889.0"/>
        <n v="888.0"/>
        <n v="887.0"/>
        <n v="886.0"/>
        <n v="885.0"/>
        <n v="884.0"/>
        <n v="883.0"/>
        <n v="882.0"/>
        <n v="881.0"/>
        <n v="880.0"/>
        <n v="879.0"/>
        <n v="878.0"/>
        <n v="877.0"/>
        <n v="876.0"/>
        <n v="875.0"/>
        <n v="874.0"/>
        <n v="873.0"/>
        <n v="872.0"/>
        <n v="871.0"/>
        <n v="870.0"/>
        <n v="869.0"/>
        <n v="868.0"/>
        <n v="867.0"/>
        <n v="866.0"/>
        <n v="865.0"/>
        <n v="864.0"/>
        <n v="863.0"/>
        <n v="862.0"/>
        <n v="861.0"/>
        <n v="860.0"/>
        <n v="859.0"/>
        <n v="858.0"/>
        <n v="857.0"/>
        <n v="856.0"/>
        <n v="855.0"/>
        <n v="854.0"/>
        <n v="853.0"/>
        <n v="852.0"/>
        <n v="851.0"/>
        <n v="850.0"/>
        <n v="849.0"/>
        <n v="848.0"/>
        <n v="847.0"/>
        <n v="846.0"/>
        <n v="845.0"/>
        <n v="844.0"/>
        <n v="843.0"/>
        <n v="842.0"/>
        <n v="841.0"/>
        <n v="840.0"/>
        <n v="839.0"/>
        <n v="838.0"/>
        <n v="837.0"/>
        <n v="836.0"/>
        <n v="835.0"/>
        <n v="834.0"/>
        <n v="833.0"/>
        <n v="832.0"/>
        <n v="831.0"/>
        <n v="830.0"/>
        <n v="829.0"/>
        <n v="828.0"/>
        <n v="827.0"/>
        <n v="826.0"/>
        <n v="825.0"/>
        <n v="824.0"/>
        <n v="823.0"/>
        <n v="822.0"/>
        <n v="821.0"/>
        <n v="820.0"/>
        <n v="819.0"/>
        <n v="818.0"/>
        <n v="817.0"/>
        <n v="816.0"/>
        <n v="815.0"/>
        <n v="814.0"/>
        <n v="813.0"/>
        <n v="812.0"/>
        <n v="811.0"/>
        <n v="810.0"/>
        <n v="809.0"/>
        <n v="808.0"/>
        <n v="807.0"/>
        <n v="806.0"/>
        <n v="805.0"/>
        <n v="804.0"/>
        <n v="803.0"/>
        <n v="802.0"/>
        <n v="801.0"/>
        <n v="800.0"/>
        <n v="799.0"/>
        <n v="798.0"/>
        <n v="797.0"/>
        <n v="796.0"/>
        <n v="795.0"/>
        <n v="794.0"/>
        <n v="793.0"/>
        <n v="792.0"/>
        <n v="791.0"/>
        <n v="790.0"/>
        <n v="789.0"/>
        <n v="788.0"/>
        <n v="787.0"/>
        <n v="786.0"/>
        <n v="785.0"/>
        <n v="784.0"/>
        <n v="783.0"/>
        <n v="782.0"/>
        <n v="781.0"/>
        <n v="780.0"/>
        <n v="779.0"/>
        <n v="778.0"/>
        <n v="777.0"/>
        <n v="776.0"/>
        <n v="775.0"/>
        <n v="774.0"/>
        <n v="773.0"/>
        <n v="772.0"/>
        <n v="771.0"/>
        <n v="770.0"/>
        <n v="769.0"/>
        <n v="768.0"/>
        <n v="767.0"/>
        <n v="766.0"/>
        <n v="765.0"/>
        <n v="764.0"/>
        <n v="763.0"/>
        <n v="762.0"/>
        <n v="761.0"/>
        <n v="760.0"/>
        <n v="759.0"/>
        <n v="758.0"/>
        <n v="757.0"/>
        <n v="756.0"/>
        <n v="755.0"/>
        <n v="754.0"/>
        <n v="753.0"/>
        <n v="752.0"/>
        <n v="751.0"/>
        <n v="750.0"/>
        <n v="749.0"/>
        <n v="748.0"/>
        <n v="747.0"/>
        <n v="746.0"/>
        <n v="745.0"/>
        <n v="744.0"/>
        <n v="743.0"/>
        <n v="742.0"/>
        <n v="741.0"/>
        <n v="740.0"/>
        <n v="739.0"/>
        <n v="738.0"/>
        <n v="737.0"/>
        <n v="736.0"/>
        <n v="735.0"/>
        <n v="734.0"/>
        <n v="733.0"/>
        <n v="732.0"/>
        <n v="731.0"/>
        <n v="730.0"/>
        <n v="729.0"/>
        <n v="728.0"/>
        <n v="727.0"/>
        <n v="726.0"/>
        <n v="725.0"/>
        <n v="724.0"/>
        <n v="723.0"/>
        <n v="722.0"/>
        <n v="721.0"/>
        <n v="720.0"/>
        <n v="719.0"/>
        <n v="718.0"/>
        <n v="717.0"/>
        <n v="716.0"/>
        <n v="715.0"/>
        <n v="714.0"/>
        <n v="713.0"/>
        <n v="712.0"/>
        <n v="711.0"/>
        <n v="710.0"/>
        <n v="709.0"/>
        <n v="708.0"/>
        <n v="707.0"/>
        <n v="706.0"/>
        <n v="705.0"/>
        <n v="704.0"/>
        <n v="703.0"/>
        <n v="702.0"/>
        <n v="701.0"/>
        <n v="700.0"/>
        <n v="699.0"/>
        <n v="698.0"/>
        <n v="697.0"/>
        <n v="696.0"/>
        <n v="695.0"/>
        <n v="694.0"/>
        <n v="693.0"/>
        <n v="692.0"/>
        <n v="691.0"/>
        <n v="690.0"/>
        <n v="689.0"/>
        <n v="688.0"/>
        <n v="687.0"/>
        <n v="686.0"/>
        <n v="685.0"/>
        <n v="684.0"/>
        <n v="683.0"/>
        <n v="682.0"/>
        <n v="681.0"/>
        <n v="680.0"/>
        <n v="679.0"/>
        <n v="678.0"/>
        <n v="677.0"/>
        <n v="676.0"/>
        <n v="675.0"/>
        <n v="674.0"/>
        <n v="673.0"/>
        <n v="672.0"/>
        <n v="671.0"/>
        <n v="670.0"/>
        <n v="669.0"/>
        <n v="668.0"/>
        <n v="667.0"/>
        <n v="666.0"/>
        <n v="665.0"/>
        <n v="664.0"/>
        <n v="663.0"/>
        <n v="662.0"/>
        <n v="661.0"/>
        <n v="660.0"/>
        <n v="659.0"/>
        <n v="658.0"/>
        <n v="657.0"/>
        <n v="656.0"/>
        <n v="655.0"/>
        <n v="654.0"/>
        <n v="644.0"/>
        <n v="643.0"/>
        <n v="642.0"/>
        <n v="641.0"/>
        <n v="640.0"/>
        <n v="639.0"/>
        <n v="638.0"/>
        <n v="637.0"/>
        <n v="636.0"/>
        <n v="635.0"/>
        <n v="634.0"/>
        <n v="633.0"/>
        <n v="632.0"/>
        <n v="631.0"/>
        <n v="630.0"/>
        <n v="629.0"/>
        <n v="628.0"/>
        <n v="627.0"/>
        <n v="626.0"/>
        <n v="625.0"/>
        <n v="624.0"/>
        <n v="623.0"/>
        <n v="622.0"/>
        <n v="621.0"/>
        <n v="620.0"/>
        <n v="619.0"/>
        <n v="618.0"/>
        <n v="617.0"/>
        <n v="616.0"/>
        <n v="615.0"/>
        <n v="614.0"/>
        <n v="613.0"/>
        <n v="612.0"/>
        <n v="611.0"/>
        <n v="610.0"/>
        <n v="609.0"/>
        <n v="608.0"/>
        <n v="607.0"/>
        <n v="606.0"/>
        <n v="605.0"/>
        <n v="604.0"/>
        <n v="603.0"/>
        <n v="602.0"/>
        <n v="601.0"/>
        <n v="600.0"/>
        <n v="599.0"/>
        <n v="598.0"/>
        <n v="597.0"/>
        <n v="596.0"/>
        <n v="595.0"/>
        <n v="594.0"/>
        <n v="593.0"/>
        <n v="592.0"/>
        <n v="591.0"/>
        <n v="590.0"/>
        <n v="589.0"/>
        <n v="588.0"/>
        <n v="587.0"/>
        <n v="586.0"/>
        <n v="585.0"/>
        <n v="584.0"/>
        <n v="583.0"/>
        <n v="582.0"/>
        <n v="581.0"/>
        <n v="580.0"/>
        <n v="579.0"/>
        <n v="578.0"/>
        <n v="577.0"/>
        <n v="576.0"/>
        <n v="575.0"/>
        <n v="574.0"/>
        <n v="573.0"/>
        <n v="572.0"/>
        <n v="571.0"/>
        <n v="570.0"/>
        <n v="569.0"/>
        <n v="568.0"/>
        <n v="567.0"/>
        <n v="566.0"/>
        <n v="565.0"/>
        <n v="564.0"/>
        <n v="563.0"/>
        <n v="562.0"/>
        <n v="561.0"/>
        <n v="560.0"/>
        <n v="559.0"/>
        <n v="558.0"/>
        <n v="557.0"/>
        <n v="556.0"/>
        <n v="555.0"/>
        <n v="554.0"/>
        <n v="553.0"/>
        <n v="552.0"/>
        <n v="551.0"/>
        <n v="550.0"/>
        <n v="549.0"/>
        <n v="548.0"/>
        <n v="547.0"/>
        <n v="546.0"/>
        <n v="545.0"/>
        <n v="544.0"/>
        <n v="543.0"/>
        <n v="542.0"/>
        <n v="541.0"/>
        <n v="540.0"/>
        <n v="539.0"/>
        <n v="538.0"/>
        <n v="537.0"/>
        <n v="536.0"/>
        <n v="535.0"/>
        <n v="534.0"/>
        <n v="533.0"/>
        <n v="532.0"/>
        <n v="531.0"/>
        <n v="530.0"/>
        <n v="529.0"/>
        <n v="528.0"/>
        <n v="527.0"/>
        <n v="526.0"/>
        <n v="525.0"/>
        <n v="524.0"/>
        <n v="523.0"/>
        <n v="522.0"/>
        <n v="521.0"/>
        <n v="520.0"/>
        <n v="519.0"/>
        <n v="518.0"/>
        <n v="517.0"/>
        <n v="516.0"/>
        <n v="515.0"/>
        <n v="514.0"/>
        <n v="513.0"/>
        <n v="512.0"/>
        <n v="511.0"/>
        <n v="510.0"/>
        <n v="509.0"/>
        <n v="508.0"/>
        <n v="507.0"/>
        <n v="506.0"/>
        <n v="505.0"/>
        <n v="504.0"/>
        <n v="503.0"/>
        <n v="502.0"/>
        <n v="501.0"/>
        <n v="500.0"/>
        <n v="499.0"/>
        <n v="498.0"/>
        <n v="497.0"/>
        <n v="496.0"/>
        <n v="495.0"/>
        <n v="494.0"/>
        <n v="493.0"/>
        <n v="492.0"/>
        <n v="491.0"/>
        <n v="490.0"/>
        <n v="489.0"/>
        <n v="488.0"/>
        <n v="487.0"/>
        <n v="486.0"/>
        <n v="485.0"/>
        <n v="484.0"/>
        <n v="483.0"/>
        <n v="482.0"/>
        <n v="481.0"/>
        <n v="480.0"/>
        <n v="479.0"/>
        <n v="478.0"/>
        <n v="477.0"/>
        <n v="476.0"/>
        <n v="475.0"/>
        <n v="474.0"/>
        <n v="473.0"/>
        <n v="472.0"/>
        <n v="471.0"/>
        <n v="470.0"/>
        <n v="469.0"/>
        <n v="468.0"/>
        <n v="467.0"/>
        <n v="466.0"/>
        <n v="465.0"/>
        <n v="464.0"/>
        <n v="463.0"/>
        <n v="462.0"/>
        <n v="461.0"/>
        <n v="460.0"/>
        <n v="459.0"/>
        <n v="458.0"/>
        <n v="457.0"/>
        <n v="456.0"/>
        <n v="455.0"/>
        <n v="454.0"/>
        <n v="453.0"/>
        <n v="452.0"/>
        <n v="451.0"/>
        <n v="450.0"/>
        <n v="449.0"/>
        <n v="448.0"/>
        <n v="447.0"/>
        <n v="446.0"/>
        <n v="445.0"/>
        <n v="444.0"/>
        <n v="443.0"/>
        <n v="442.0"/>
        <n v="441.0"/>
        <n v="440.0"/>
        <n v="439.0"/>
        <n v="438.0"/>
        <n v="437.0"/>
        <n v="436.0"/>
        <n v="435.0"/>
        <n v="434.0"/>
        <n v="433.0"/>
        <n v="432.0"/>
        <n v="431.0"/>
        <n v="430.0"/>
        <n v="429.0"/>
        <n v="428.0"/>
        <n v="427.0"/>
        <n v="426.0"/>
        <n v="425.0"/>
        <n v="424.0"/>
        <n v="423.0"/>
        <n v="422.0"/>
        <n v="421.0"/>
        <n v="420.0"/>
        <n v="419.0"/>
        <n v="418.0"/>
        <n v="417.0"/>
        <n v="416.0"/>
        <n v="415.0"/>
        <n v="414.0"/>
        <n v="413.0"/>
        <n v="412.0"/>
        <n v="411.0"/>
        <n v="410.0"/>
        <n v="409.0"/>
        <n v="408.0"/>
        <n v="407.0"/>
        <n v="406.0"/>
        <n v="405.0"/>
        <n v="404.0"/>
        <n v="403.0"/>
        <n v="402.0"/>
        <n v="401.0"/>
        <n v="400.0"/>
        <n v="399.0"/>
        <n v="398.0"/>
        <n v="397.0"/>
        <n v="396.0"/>
        <n v="395.0"/>
        <n v="394.0"/>
        <n v="393.0"/>
        <n v="392.0"/>
        <n v="391.0"/>
        <n v="390.0"/>
        <n v="389.0"/>
        <n v="388.0"/>
        <n v="387.0"/>
        <n v="386.0"/>
        <n v="385.0"/>
        <n v="384.0"/>
        <n v="383.0"/>
        <n v="382.0"/>
        <n v="381.0"/>
        <n v="380.0"/>
        <n v="379.0"/>
        <n v="378.0"/>
        <n v="377.0"/>
        <n v="376.0"/>
        <n v="375.0"/>
        <n v="374.0"/>
        <n v="373.0"/>
        <n v="372.0"/>
        <n v="371.0"/>
        <n v="370.0"/>
        <n v="369.0"/>
        <n v="368.0"/>
        <n v="367.0"/>
        <n v="366.0"/>
        <n v="365.0"/>
        <n v="364.0"/>
        <n v="363.0"/>
        <n v="362.0"/>
        <n v="361.0"/>
        <n v="360.0"/>
        <n v="359.0"/>
        <n v="358.0"/>
        <n v="357.0"/>
        <n v="356.0"/>
        <n v="355.0"/>
        <n v="354.0"/>
        <n v="353.0"/>
        <n v="352.0"/>
        <n v="351.0"/>
        <n v="350.0"/>
        <n v="349.0"/>
        <n v="348.0"/>
        <n v="347.0"/>
        <n v="346.0"/>
        <n v="345.0"/>
        <n v="344.0"/>
        <n v="343.0"/>
        <n v="342.0"/>
        <n v="341.0"/>
        <n v="340.0"/>
        <n v="339.0"/>
        <n v="338.0"/>
        <n v="337.0"/>
        <n v="336.0"/>
        <n v="335.0"/>
        <n v="334.0"/>
        <n v="333.0"/>
        <n v="332.0"/>
        <n v="331.0"/>
        <n v="330.0"/>
        <n v="329.0"/>
        <n v="328.0"/>
        <n v="327.0"/>
        <n v="326.0"/>
        <n v="325.0"/>
        <n v="324.0"/>
        <n v="323.0"/>
        <n v="322.0"/>
        <n v="321.0"/>
        <n v="320.0"/>
        <n v="319.0"/>
        <n v="318.0"/>
        <n v="317.0"/>
        <n v="316.0"/>
        <n v="315.0"/>
        <n v="314.0"/>
        <n v="313.0"/>
        <n v="312.0"/>
        <n v="311.0"/>
        <n v="310.0"/>
        <n v="309.0"/>
        <n v="308.0"/>
        <n v="307.0"/>
        <n v="306.0"/>
        <n v="305.0"/>
        <n v="304.0"/>
        <n v="303.0"/>
        <n v="302.0"/>
        <n v="301.0"/>
        <n v="300.0"/>
        <n v="299.0"/>
        <n v="298.0"/>
        <n v="297.0"/>
        <n v="296.0"/>
        <n v="295.0"/>
        <n v="294.0"/>
        <n v="293.0"/>
        <n v="292.0"/>
        <n v="291.0"/>
        <n v="290.0"/>
        <n v="289.0"/>
        <n v="288.0"/>
        <n v="287.0"/>
        <n v="286.0"/>
        <n v="285.0"/>
        <n v="284.0"/>
        <n v="283.0"/>
        <n v="282.0"/>
        <n v="281.0"/>
        <n v="280.0"/>
        <n v="279.0"/>
        <n v="278.0"/>
        <n v="277.0"/>
        <n v="276.0"/>
        <n v="275.0"/>
        <n v="274.0"/>
        <n v="273.0"/>
        <n v="272.0"/>
        <n v="271.0"/>
        <n v="270.0"/>
        <n v="269.0"/>
        <n v="268.0"/>
        <n v="267.0"/>
        <n v="266.0"/>
        <n v="265.0"/>
        <n v="264.0"/>
        <n v="263.0"/>
        <n v="262.0"/>
        <n v="261.0"/>
        <n v="260.0"/>
        <n v="259.0"/>
        <n v="258.0"/>
        <n v="257.0"/>
        <n v="256.0"/>
        <n v="255.0"/>
        <n v="254.0"/>
        <n v="253.0"/>
        <n v="252.0"/>
        <n v="251.0"/>
        <n v="250.0"/>
        <n v="249.0"/>
        <n v="248.0"/>
        <n v="247.0"/>
        <n v="246.0"/>
        <n v="245.0"/>
        <n v="244.0"/>
        <n v="243.0"/>
        <n v="242.0"/>
        <n v="241.0"/>
        <n v="240.0"/>
        <n v="239.0"/>
        <n v="238.0"/>
        <n v="237.0"/>
        <n v="236.0"/>
        <n v="235.0"/>
        <n v="234.0"/>
        <n v="233.0"/>
        <n v="232.0"/>
        <n v="231.0"/>
        <n v="230.0"/>
        <n v="229.0"/>
        <n v="228.0"/>
        <n v="227.0"/>
        <n v="226.0"/>
        <n v="225.0"/>
        <n v="224.0"/>
        <n v="223.0"/>
        <n v="222.0"/>
        <n v="221.0"/>
        <n v="220.0"/>
        <n v="219.0"/>
        <n v="218.0"/>
        <n v="217.0"/>
        <n v="216.0"/>
        <n v="215.0"/>
        <n v="214.0"/>
        <n v="213.0"/>
        <n v="212.0"/>
        <n v="211.0"/>
        <n v="210.0"/>
        <n v="209.0"/>
        <n v="208.0"/>
        <n v="207.0"/>
        <n v="206.0"/>
        <n v="205.0"/>
        <n v="204.0"/>
        <n v="203.0"/>
        <n v="202.0"/>
        <n v="201.0"/>
        <n v="200.0"/>
        <n v="199.0"/>
        <n v="198.0"/>
        <n v="197.0"/>
        <n v="196.0"/>
        <n v="195.0"/>
        <n v="194.0"/>
        <n v="193.0"/>
        <n v="192.0"/>
        <n v="191.0"/>
        <n v="190.0"/>
        <n v="189.0"/>
        <n v="188.0"/>
        <n v="187.0"/>
        <n v="186.0"/>
        <n v="185.0"/>
        <n v="184.0"/>
        <n v="183.0"/>
        <n v="182.0"/>
        <n v="181.0"/>
        <n v="180.0"/>
        <n v="179.0"/>
        <n v="178.0"/>
        <n v="177.0"/>
        <n v="176.0"/>
        <n v="175.0"/>
        <n v="174.0"/>
        <n v="173.0"/>
        <n v="172.0"/>
        <n v="171.0"/>
        <n v="170.0"/>
        <n v="169.0"/>
        <n v="168.0"/>
        <n v="167.0"/>
        <n v="166.0"/>
        <n v="165.0"/>
        <n v="164.0"/>
        <n v="163.0"/>
        <n v="162.0"/>
        <n v="161.0"/>
        <n v="160.0"/>
        <n v="159.0"/>
        <n v="158.0"/>
        <n v="157.0"/>
        <n v="156.0"/>
        <n v="155.0"/>
        <n v="154.0"/>
        <n v="153.0"/>
        <n v="152.0"/>
        <n v="151.0"/>
        <n v="150.0"/>
        <n v="149.0"/>
        <n v="148.0"/>
        <n v="147.0"/>
        <n v="146.0"/>
        <n v="145.0"/>
        <n v="144.0"/>
        <n v="143.0"/>
        <n v="142.0"/>
        <n v="141.0"/>
        <n v="140.0"/>
        <n v="139.0"/>
        <n v="138.0"/>
        <n v="137.0"/>
        <n v="136.0"/>
        <n v="135.0"/>
        <n v="134.0"/>
        <n v="133.0"/>
        <n v="132.0"/>
        <n v="131.0"/>
        <n v="130.0"/>
        <n v="129.0"/>
        <n v="128.0"/>
        <n v="127.0"/>
        <n v="126.0"/>
        <n v="125.0"/>
        <n v="124.0"/>
        <n v="123.0"/>
        <n v="122.0"/>
        <n v="121.0"/>
        <n v="120.0"/>
        <n v="119.0"/>
        <n v="118.0"/>
        <n v="117.0"/>
        <n v="116.0"/>
        <n v="115.0"/>
        <n v="114.0"/>
        <n v="113.0"/>
        <n v="112.0"/>
        <n v="111.0"/>
        <n v="110.0"/>
        <n v="109.0"/>
        <n v="108.0"/>
        <n v="107.0"/>
        <n v="106.0"/>
        <n v="105.0"/>
        <n v="104.0"/>
        <n v="103.0"/>
        <n v="102.0"/>
        <n v="101.0"/>
        <n v="100.0"/>
        <n v="99.0"/>
        <n v="98.0"/>
        <n v="97.0"/>
        <n v="96.0"/>
        <n v="95.0"/>
        <n v="94.0"/>
        <n v="93.0"/>
        <n v="92.0"/>
        <n v="91.0"/>
        <n v="90.0"/>
        <n v="89.0"/>
        <n v="88.0"/>
        <n v="87.0"/>
        <n v="86.0"/>
        <n v="85.0"/>
        <n v="84.0"/>
        <n v="83.0"/>
        <n v="82.0"/>
        <n v="81.0"/>
        <n v="80.0"/>
        <n v="79.0"/>
        <n v="78.0"/>
        <n v="77.0"/>
        <n v="76.0"/>
        <n v="75.0"/>
        <n v="74.0"/>
        <n v="73.0"/>
        <n v="72.0"/>
        <n v="71.0"/>
        <n v="70.0"/>
        <n v="69.0"/>
        <n v="68.0"/>
        <n v="67.0"/>
        <n v="66.0"/>
        <n v="65.0"/>
        <n v="64.0"/>
        <n v="63.0"/>
        <n v="62.0"/>
        <n v="61.0"/>
        <n v="60.0"/>
        <n v="59.0"/>
        <n v="58.0"/>
        <n v="57.0"/>
        <n v="56.0"/>
        <n v="55.0"/>
        <n v="54.0"/>
        <n v="53.0"/>
        <n v="52.0"/>
        <n v="51.0"/>
        <n v="50.0"/>
        <n v="49.0"/>
        <n v="48.0"/>
        <n v="47.0"/>
        <n v="46.0"/>
        <n v="45.0"/>
        <n v="44.0"/>
        <n v="43.0"/>
        <n v="42.0"/>
        <n v="41.0"/>
        <n v="40.0"/>
        <n v="39.0"/>
        <n v="38.0"/>
        <n v="37.0"/>
        <n v="36.0"/>
        <n v="35.0"/>
        <n v="34.0"/>
        <n v="33.0"/>
        <n v="32.0"/>
        <n v="31.0"/>
        <n v="30.0"/>
        <n v="29.0"/>
        <n v="28.0"/>
        <n v="27.0"/>
        <n v="26.0"/>
        <n v="25.0"/>
        <n v="24.0"/>
        <n v="23.0"/>
        <n v="22.0"/>
        <n v="21.0"/>
        <n v="20.0"/>
        <n v="19.0"/>
        <n v="18.0"/>
        <n v="17.0"/>
        <n v="16.0"/>
        <n v="15.0"/>
        <n v="14.0"/>
        <n v="13.0"/>
        <n v="12.0"/>
        <n v="11.0"/>
        <n v="10.0"/>
        <n v="9.0"/>
        <n v="8.0"/>
        <n v="7.0"/>
        <n v="6.0"/>
        <n v="5.0"/>
        <n v="4.0"/>
        <n v="3.0"/>
        <n v="2.0"/>
        <n v="1.0"/>
        <n v="0.0"/>
      </sharedItems>
    </cacheField>
    <cacheField name="parentBountyID" numFmtId="0">
      <sharedItems containsSemiMixedTypes="0" containsString="0" containsNumber="1" containsInteger="1">
        <n v="19.0"/>
        <n v="11.0"/>
        <n v="42.0"/>
        <n v="36.0"/>
        <n v="10.0"/>
        <n v="43.0"/>
        <n v="22.0"/>
        <n v="33.0"/>
        <n v="32.0"/>
        <n v="50.0"/>
        <n v="37.0"/>
        <n v="17.0"/>
        <n v="46.0"/>
        <n v="24.0"/>
        <n v="31.0"/>
        <n v="38.0"/>
        <n v="27.0"/>
        <n v="13.0"/>
      </sharedItems>
    </cacheField>
    <cacheField name="status" numFmtId="0">
      <sharedItems>
        <s v="Claimed"/>
        <s v="Added"/>
        <s v="Active"/>
        <s v="PendingPayout"/>
        <s v="Canceled"/>
      </sharedItems>
    </cacheField>
    <cacheField name="description" numFmtId="0">
      <sharedItems>
        <s v="Facilitator Payment to Astar"/>
        <s v="Dart and Task Management Rewards - Hector -  May 2024"/>
        <s v="Polkadot Decoded Viewing Party - Lima, Peru"/>
        <s v="PolkadotxBlockchaincon2024"/>
        <s v="Spanish Bounty  TT_31 &amp; TT32"/>
        <s v="Spanish Bounty CE_37"/>
        <s v="Spanish Bounty - CE_36/ TT29 &amp; TT30"/>
        <s v="Spanish bounty - Content Creation - V_40"/>
        <s v="Spanish bounty - Content Creation - V_32"/>
        <s v="Amended Zapper Integration for Astar, Moonbeam, Acala and HydraDX Milestone 1"/>
        <s v="Amended Ramp Network AssetHub Integration and Parachain on-ramps"/>
        <s v="Amended KuCoin AssetHub Integration"/>
        <s v="Java Host (Fruzhin) Phase 2 child bounty second tranche"/>
        <s v="Polkadot Meet-up, Lagos, Nigeria"/>
        <s v="Meetup - Polkapizza Lisbon, Portugal"/>
        <s v="Meetup Refund - Polkadot Day Arca HUB - Rio de janeiro, Brazil"/>
        <s v="centrifuge-cantina-2405"/>
        <s v="Bounty for 1 year of Twitter Gold subscribtion for the Anti-Scam Team"/>
        <s v="Merkel science subscription top-up to account for market drop"/>
        <s v="MarketAcross - Invoice 14871 - DOT price - 10% = 6.48 USDT - excess DOT due to higher DOT market price when claim is made available must be returned"/>
        <s v="Spanish Bounty - Creation Video V_24"/>
        <s v="Reward for curator (Tim Janssen) as a portion from total 589.1421"/>
        <s v="Reward for curator (frankywild) as a portion from total 589.1421"/>
        <s v="Polkadotters\CORE produced 12595/16337 blocks; SR: 11.5714, CR: 32.5066"/>
        <s v="Coinstudio\COLLECTIVES produced 16333/16337 blocks; SR: 15.0056, CR: 42.1541"/>
        <s v="LuckyFriday.io produced 16285/16337 blocks; SR: 14.9615, CR: 42.0302"/>
        <s v="ParaNodes.io produced 16074/16337 blocks; SR: 14.7677, CR: 41.4857"/>
        <s v="Stakeworld.io produced 16337/16337 blocks; SR: 15.0093, CR: 42.1644"/>
        <s v="Mile\Sys produced 16298/16337 blocks; SR: 0 (Invulnerable), CR: 42.0638"/>
        <s v="YellowFin Tuna\Salad produced 16313/16337 blocks; SR: 0 (Invulnerable), CR: 42.1025"/>
        <s v="Spanish Bounty - CE_33"/>
        <s v="Spanish Bounty - CE_31"/>
        <s v="Spanish Bounty - CE_30"/>
        <s v="Spanish Bounty - CE_29"/>
        <s v="Spanish Bounty - CE_35"/>
        <s v="Spanish Bounty - CE_28"/>
        <s v="Spanish Bounty - CE_26 / TT_14 / TT_16"/>
        <s v="Workshop Valencia (Venezuela)"/>
        <s v="Reward MeetUp Venezuela"/>
        <s v="Spanish bounty - content creation V_30"/>
        <s v="Spanish bounty - content creation V_29"/>
        <s v="Spanish Bounty - Content creation V_31"/>
        <s v="Spanish Bounty - Content creation V_28"/>
        <s v="Spanish Bounty - Content creation V_27"/>
        <s v="Spanish Bounty - Content creation V_19"/>
        <s v="CE-27"/>
        <s v="TT-7 CE-7 and CE-34"/>
        <s v="TT-15 CE-32"/>
        <s v="TT-21 to TT-23 TT-28"/>
        <s v="TT-17 to TT-20 TT-24 to TT- 27"/>
        <s v="Reward for curator (Tim Janssen) as a portion from total 594.5078"/>
        <s v="Reward for curator (frankywild) as a portion from total 594.5078"/>
        <s v="YellowFin Tuna\Salad produced 16268/16297 blocks; SR: 14.9826, CR: 42.0894"/>
        <s v="Stakeworld.io produced 16262/16297 blocks; SR: 0 (Invulnerable), CR: 42.0739"/>
        <s v="Polkadotters\CORE produced 16030/16297 blocks; SR: 0 (Invulnerable), CR: 41.4736"/>
        <s v="COINSTUDIO produced 16297/16297 blocks; SR: 15.0093, CR: 42.1644"/>
        <s v="turboflakes.io\MINT produced 16181/16297 blocks; SR: 14.9025, CR: 41.8643"/>
        <s v="LuckyFriday.io produced 16226/16297 blocks; SR: 14.9439, CR: 41.9807"/>
        <s v="ParaNodes.io produced 16245/16297 blocks; SR: 14.9614, CR: 42.0299"/>
        <s v="MILE produced 14113/15665 blocks; SR: 13.3216, CR: 38.3481"/>
        <s v="Hosting fee for Curator RPC instance @ $25.0000 + 1/7 hosting fee for supporting relay chain RPC instances @ $80.0000 + 1/7 hosting fee for curator instance @ $40.0000"/>
        <s v="Reward for curator (Tim Janssen) as a portion from total 596.0525"/>
        <s v="Reward for curator (pastaMan) as a portion from total 596.0525"/>
        <s v="Reward for curator (frankywild) as a portion from total 596.0525"/>
        <s v="0xf09fa78a2049636562657267204e6f64657320f09fa78a2070726f64756365642031343138322f313631373620626c6f636b733b2053523a2031332e313539312c2043523a2033362e39363639"/>
        <s v="Stakeworld.io produced 16097/16176 blocks; SR: 14.9360, CR: 41.9585"/>
        <s v="0x506f6c6b61646f74746572735ce29b93434f52452070726f64756365642031353830382f313631373620626c6f636b733b2053523a2031342e363637382c2043523a2034312e32303532"/>
        <s v="turboflakes.io\MINT produced 16065/16176 blocks; SR: 0 (Invulnerable), CR: 41.8751"/>
        <s v="LuckyFriday.io produced 16112/16176 blocks; SR: 0 (Invulnerable), CR: 41.9976"/>
        <s v="DPSTK produced 15818/16176 blocks; SR: 0 (Invulnerable), CR: 41.2313"/>
        <s v="Staker Space\Statemint produced 14796/16176 blocks; SR: 0 (Invulnerable), CR: 38.5673"/>
        <s v="ParaNodes.io produced 16130/16176 blocks; SR: 0 (Invulnerable), CR: 42.0445"/>
        <s v="Chris-Staking\bridgehub produced 16176/16176 blocks; SR: 15.0093, CR: 42.1644"/>
        <s v="Sik | crifferent.de produced 14212/16176 blocks; SR: 13.1870, CR: 37.0451"/>
        <s v="0xf09f909f59656c6c6f7746696e2054756e61f09f909f5cf09fa59753616c6164f09fa5972070726f64756365642031363133392f313631373620626c6f636b733b2053523a2031342e393735302c2043523a2034322e30363830"/>
        <s v="0x4d696c65f09f8c8d5c5379732070726f64756365642031363134372f313631373620626c6f636b733b2053523a2031342e393832342c2043523a2034322e30383838"/>
        <s v="Task 2b Curator reward-May 2024- Frankywild"/>
        <s v="Lucky Friday Bounty 50 payouts https://github.com/ibp-network/ChildBounties"/>
        <s v="Polkadotters Bounty 50 payouts https://github.com/ibp-network/ChildBounties"/>
        <s v="Rotko Bounty 50 payouts https://github.com/ibp-network/ChildBounties"/>
        <s v="RadiumBlock Bounty 50 payouts https://github.com/ibp-network/ChildBounties"/>
        <s v="Dwellir Bounty 50 payouts https://github.com/ibp-network/ChildBounties"/>
        <s v="Turboflakes Bounty 50 payouts https://github.com/ibp-network/ChildBounties"/>
        <s v="CoinStudio Bounty 50 payouts https://github.com/ibp-network/ChildBounties"/>
        <s v="Amforc Bounty 50 payouts https://github.com/ibp-network/ChildBounties"/>
        <s v="Gatotech Bounty 50 payouts https://github.com/ibp-network/ChildBounties"/>
        <s v="Helikon Bounty 50 payouts https://github.com/ibp-network/ChildBounties"/>
        <s v="Metaspan Bounty 50 payouts https://github.com/ibp-network/ChildBounties"/>
        <s v="Stake Plus Bounty 50 payouts https://github.com/ibp-network/ChildBounties"/>
        <s v="hyperbridge-srl-2405"/>
        <s v="hydradx-srl-2405"/>
        <s v="Spanish bounty - content creation"/>
        <s v="Forensics Support Track- May 2024- Alina"/>
        <s v="Victim Support Track- May 2024- Alina"/>
        <s v="Social Media takedowns - May 2024 - SirJey"/>
        <s v="Social Media takedowns - May 2024 - ShakurHarun"/>
        <s v="Social Media takedowns - May 2024 - Tramysa"/>
        <s v="Bright Disputes Milestone 4 Payout"/>
        <s v="Radium Block Q1 &amp; Q2 https://github.com/paseo-network/payouts/issues/19 &amp; https://github.com/paseo-network/payouts/issues/18"/>
        <s v="Dwellier Q1 &amp;Q2 https://github.com/paseo-network/payouts/issues/17 &amp; https://github.com/paseo-network/payouts/issues/16"/>
        <s v="Polkadotters - Q1 &amp; Q2: https://github.com/paseo-network/payouts/issues/14 &amp; https://github.com/paseo-network/payouts/issues/15 "/>
        <s v="April/May Curator Awards Mark"/>
        <s v="April/May Curator Awards Zoe"/>
        <s v="April/May Curator Awards Hutch"/>
        <s v="April/May Curator Awards ChaosDAO"/>
        <s v="April/May Curator Awards WebZero"/>
        <s v="Zapper Integration for Astar, Moonbeam, Acala and HydraDX Milestone 1"/>
        <s v="Zapper Integration for Astar, Moonbeam, Acala and HydraDX"/>
        <s v="Ramp Network AssetHub Integration and Parachain on-ramps"/>
        <s v="KuCoin AssetHub Integration"/>
        <s v="ANEMOIA Proposal: Coffee Talk Sponsored by Polkadot: How #Web3 is Impacting GenZ?"/>
        <s v="Adam Steeber's parent bounty curator sign-on bonus."/>
        <s v="Jimmy Tudeski's parent bounty curator sign-on bonus."/>
        <s v="Eduardo Cardoso's parent bounty curator sign-on bonus."/>
        <s v="Clinton Swan's parent bounty curator sign on bonus."/>
        <s v="Rafael Yahlomi's parent bounty curator sign-on bonus."/>
        <s v="Janko Ranghi's parent bounty curator sign-on bonus."/>
        <s v="Ezio Rojas' parent bounty curator sign-on bonus."/>
        <s v="Stiwar Lopez's parent bounty curator sign-on bonus."/>
        <s v="Luke Schoen's parent bounty curator sign-on bonus."/>
        <s v="Max Rebol's parent bounty curator sign-on bonus."/>
        <s v="Outreach-Content Creation - Grizzly - May 2024"/>
        <s v="Outreach-Account Management -  Grizzly - May 2024"/>
        <s v="Outreach-Sub Manager payout - Maarmapa - May 2024"/>
        <s v="Outreach-Sub manager payout &amp; Content creation - ecardo5o - May 2024"/>
        <s v="Social Media account management - May 2024 - Kamala"/>
        <s v="Subscribtion service to Merkel Science/Forensics Track-May"/>
        <s v="Takedown of Phishing websites/Proactive track-May 2024- TimJanssen"/>
        <s v="Takedown of Phishing websites/Proactive track-May 2024-Pastaman"/>
        <s v="Takedown of Phishing websites/Proactive track-May 2024- Frankywild"/>
        <s v="Social Media content creation - May 2024 - Cappex"/>
        <s v="Database upkeep- May 2024-TimJanssen"/>
        <s v="General curation- May 2024- Cappex"/>
        <s v="General Administration- May 2024- Pastaman"/>
        <s v="Proactive track management-May 2024- Frankywild"/>
        <s v="DART/Education Task - Ecardo5o - May 2024"/>
        <s v="DART/Education Task - Macchalafortune - May 2024"/>
        <s v="DART/Education Task - Abujulaibib - May 2024"/>
        <s v="General Curator - Grizzly - May 2024"/>
        <s v="Track Management/ Admin-Operation - Grizilly - May 2024"/>
        <s v="Anti-scam collective document - Tramysa"/>
        <s v="Anti-scam collective document - Shakurharun"/>
        <s v="Anti-scam collective document - sirjay"/>
        <s v="Anti-scam collective document - Machala"/>
        <s v="General curation - May 2024 - kamala"/>
        <s v="General admin - May 2024 - cmalize"/>
        <s v="Educational track management - May 2024 - Maarmapa"/>
        <s v="Editor payout May - tramymisa"/>
        <s v="Content creation May - H3ct0r4lph4"/>
        <s v="Maintenance of phishing repo May - Tim Janssen"/>
        <s v="Maintenance of phishing repo May - pastaMan"/>
        <s v="Maintenance of phishing repo May - frankywild"/>
        <s v="General curation May - abdulbee"/>
        <s v="General administration May - Paradox"/>
        <s v="Track management of admin/op track May - abdulbee"/>
        <s v="Track management of reactive track May - Tim Janssen"/>
        <s v="Polkadot Meet-up Bounty Northern Nigeria by Polkadot Ambassdor "/>
        <s v="Translation TT 13"/>
        <s v="Translation TT 9.12"/>
        <s v="Translation TT 8"/>
        <s v="written content CE 24"/>
        <s v="written content CE 23"/>
        <s v="written content CE 22"/>
        <s v="written content CE 19"/>
        <s v="written content CE 15.17.20"/>
        <s v="written content CE 14"/>
        <s v="written content CE 8"/>
        <s v="Spanish Bounty - Content curator"/>
        <s v="Jim Farley's refund of program deposits. 20.041 DOT for creation of pure proxy + 18.5 DOT contribution toward parent bounty curator deposit + 1.233 DOT for enlivening the pure proxy."/>
        <s v="Payment to Band Protocol for Milestone 1"/>
        <s v="Free Web3 Workshop: Blockchain, Rust, and Career Paths to Polkadot | May 31st, 2024 | Cebu, Philippines"/>
        <s v="Moderation team bounty- May 2024-Tim Janssen "/>
        <s v="Moderation team bounty-May 2024- Paradox"/>
        <s v="Moderation team bounty-May 2024- Maarmapa"/>
        <s v="Moderation team bounty- May 2024- LV"/>
        <s v="Moderation team bounty- May 2024- Abdulbee"/>
        <s v="Proof of Talk 2024 - Scytale Digital - Paris, France"/>
        <s v="ETHRome second payout"/>
        <s v="Reward for curator (Tim Janssen) as a portion from total 126.2464"/>
        <s v="Reward for curator (pastaMan) as a portion from total 126.2464"/>
        <s v="Reward for curator (frankywild) as a portion from total 126.2464"/>
        <s v="Bridgehub related staking rewards due to bug"/>
        <s v="Assethub related staking rewards due to bug"/>
        <s v="Moderation Bounty - May 2024 - pastaMan"/>
        <s v="Moderation Bounty - May 2024 - Grizzly"/>
        <s v="Moderation Bounty - May 2024 - frankywild"/>
        <s v="Moderation Bounty - May 2024 - Cappex"/>
        <s v="Moderation team bounty - May 2024 - Muddlebee"/>
        <s v="Moderation team bounty - May 2024 - Mister_Cole"/>
        <s v="Moderation team bounty - May 2024 - MC"/>
        <s v="Moderation team bounty - May 2024 - Gr33nHatt3R"/>
        <s v="Moderation curator bounty - May 2024 - AJ"/>
        <s v="MarketAcross - Invoice 14827 - DOT price - 10% = 6.534 USDT - excess DOT due to higher DOT market price when claim is made available must be returned"/>
        <s v="Crane - Invoice #3 - DOT price = 7.19 USDT - excess DOT due to higher DOT market price when claim is made available must be returned"/>
        <s v="EVOX - INV0507 - DOT price = 7.142 USDT - excess DOT due to higher DOT market price when claim is made available must be returned"/>
        <s v="The Innovation Village Kampala Uganda"/>
        <s v="Curator Fee - Nachito"/>
        <s v="Curator Fee - Gerardo"/>
        <s v="Curator Fee - Blockya"/>
        <s v="Curator Fee - Albert"/>
        <s v="Admin fee Amaury"/>
        <s v="Curator fee Ernih"/>
        <s v="Curator fee Lengo"/>
        <s v="Curator fee Ezio"/>
        <s v="Spanish Bounty C12"/>
        <s v="Spanish Bounty C11"/>
        <s v="Spanish Bounty C9"/>
        <s v="Spanish Bounty C6"/>
        <s v="Spanish Bounty C5_C13"/>
        <s v="Spanish Bounty C4_C10"/>
        <s v="Spanish Bounty Translations"/>
        <s v="HIC PBA Investor Dinner - Harbor Industrial Capital - Hong Kong"/>
        <s v="Payment to Starlay Finance for Milestone 3"/>
        <s v="Treasury refund"/>
        <s v="La Cusathon - Polkadot Peru - Lima, Peru"/>
        <s v="Polkaport East second award"/>
        <s v="Translations TT 4 &amp; 5"/>
        <s v="Google Drive ($54) + Adam Steeber's work in technical configurations ($200)"/>
        <s v="Content Creation CE_03"/>
        <s v="Content Creation CE_2"/>
        <s v="Content creation CE_1"/>
        <s v="RadiumBlock May 24"/>
        <s v="Stakeworld May 24"/>
        <s v="RockX May 24"/>
        <s v="Lucky Friday May 24"/>
        <s v="OnFinality May 24"/>
        <s v="Dwellir May 24"/>
        <s v="Blockops May 24"/>
        <s v="VDS Event"/>
        <s v="Meetup Venezuela"/>
        <s v="Spanish bounty - content creation "/>
        <s v="EVOX - INV0505 - DOT price = 6.786 USDT - excess DOT due to higher DOT market price when claim is made available must be returned"/>
        <s v="MarketAccross - Invoice 14790 - DOT price -10% = 6.057 USDT - excess DOT due to higher DOT market price when claim is made available must be returned"/>
        <s v="Lunar Strategy - Invoice 59105 - DOT price -10% = 6.093 USDT - excess DOT due to higher DOT market price when claim is made available must be returned"/>
        <s v="ChainWire - Invoice 59105 - DOT price -10% = 6.19 USDT - excess DOT due to higher DOT market price when claim is made available must be returned"/>
        <s v="MediaFuse.org - Invoice 14782 - DOT price -10% = 6.19 USDT - excess DOT due to higher DOT market price when claim is made available must be returned"/>
        <s v="Reward for curator (Tim Janssen) as a portion from total 545.3607"/>
        <s v="Reward for curator (pastaMan) as a portion from total 545.3607"/>
        <s v="Reward for curator (frankywild) as a portion from total 545.3607"/>
        <s v="Stakeworld.io produced 9943/16245 blocks; SR: 9.0504, CR: 26.0527"/>
        <s v="LuckyFriday.io produced 14224/16245 blocks; SR: 12.9470, CR: 37.2698"/>
        <s v="Coinstudio\COLLECTIVES produced 14017/16245 blocks; SR: 12.7586, CR: 36.7274"/>
        <s v="Iceberg Nodes  produced 14296/16245 blocks; SR: 13.0126, CR: 37.4585"/>
        <s v="ExtraCoin produced 14290/16245 blocks; SR: 0 (Invulnerable), CR: 37.4428"/>
        <s v="Polkadotters\CORE produced 11130/16245 blocks; SR: 10.1308, CR: 29.1629"/>
        <s v="MathCrypto\collectives produced 16245/16245 blocks; SR: 14.7866, CR: 42.5653"/>
        <s v="Staker Space\collectives produced 3871/16245 blocks; SR: 3.5235, CR: 10.1428"/>
        <s v="ParaNodes.io produced 14596/16245 blocks; SR: 13.2856, CR: 38.2445"/>
        <s v="BESTVALIDATOR | ZURICH\collectives produced 13935/16245 blocks; SR: 0 (Invulnerable), CR: 36.5126"/>
        <s v="Mile\Sys produced 15163/16245 blocks; SR: 0 (Invulnerable), CR: 39.7302"/>
        <s v="Stake Plus\COLLECTIVES01 produced 14060/16245 blocks; SR: 0 (Invulnerable), CR: 36.8401"/>
        <s v="YellowFin Tuna\Salad produced 15774/16245 blocks; SR: 0 (Invulnerable), CR: 41.3311"/>
        <s v="Hosting fee for Curator RPC instance @ $25.0000 + 1/6 hosting fee for supporting relay chain RPC instances @ $80.0000 + 1/6 hosting fee for curator instance @ $40.0000"/>
        <s v="Reward for curator (Tim Janssen) as a portion from total 568.1101"/>
        <s v="Reward for curator (pastaMan) as a portion from total 568.1101"/>
        <s v="Reward for curator (frankywild) as a portion from total 568.1101"/>
        <s v="STKD.IO produced 4810/15672 blocks; SR: 4.5383, CR: 13.0640"/>
        <s v="COINSTUDIO produced 9668/15672 blocks; SR: 9.1218, CR: 26.2584"/>
        <s v="Polkadotters\CORE produced 14361/15672 blocks; SR: 0 (Invulnerable), CR: 39.0046"/>
        <s v="Chris-Staking\bridgehub produced 4149/15672 blocks; SR: 3.9146, CR: 11.2687"/>
        <s v="turboflakes.io\MINT produced 14393/15672 blocks; SR: 13.5799, CR: 39.0915"/>
        <s v="YellowFin Tuna\Salad produced 15672/15672 blocks; SR: 14.7866, CR: 42.5653"/>
        <s v="Mile\Sys produced 14996/15672 blocks; SR: 14.1488, CR: 40.7292"/>
        <s v="LuckyFriday.io produced 14147/15672 blocks; SR: 13.3478, CR: 38.4234"/>
        <s v="Staker Space\bridgehub produced 8526/15672 blocks; SR: 8.0443, CR: 23.1567"/>
        <s v="ParaNodes.io produced 14464/15672 blocks; SR: 13.6468, CR: 39.2843"/>
        <s v="Sik | crifferent.de produced 14156/15672 blocks; SR: 0 (Invulnerable), CR: 38.4478"/>
        <s v="openbitlab\bridgehub produced 14113/15672 blocks; SR: 0 (Invulnerable), CR: 38.3310"/>
        <s v="Iceberg Nodes  produced 14063/15672 blocks; SR: 0 (Invulnerable), CR: 38.1952"/>
        <s v="Stakeworld.io produced 14277/15672 blocks; SR: 0 (Invulnerable), CR: 38.7764"/>
        <s v="Reward for curator (Tim Janssen) as a portion from total 568.6573"/>
        <s v="Reward for curator (pastaMan) as a portion from total 568.6573"/>
        <s v="Reward for curator (frankywild) as a portion from total 568.6573"/>
        <s v="Chris-Staking\bridgehub produced 4428/15665 blocks; SR: 4.1797, CR: 12.0319"/>
        <s v="Stakeworld.io produced 14167/15665 blocks; SR: 13.3726, CR: 38.4949"/>
        <s v="0xf09fa78a2049636562657267204e6f64657320f09fa78a2070726f64756365642031343131332f313536363520626c6f636b733b2053523a2031332e333231362c2043523a2033382e33343831"/>
        <s v="ParaNodes.io produced 14471/15665 blocks; SR: 0 (Invulnerable), CR: 39.3209"/>
        <s v="STKD.IO\AssetHub produced 9472/15665 blocks; SR: 8.9409, CR: 25.7375"/>
        <s v="Sik | crifferent.de produced 14057/15665 blocks; SR: 13.2688, CR: 38.1960"/>
        <s v="0x4d696c65f09f8c8d5c5379732070726f64756365642031343935312f313536363520626c6f636b733b2053523a2031342e313132362c2043523a2034302e36323532"/>
        <s v="0xf09f909f59656c6c6f7746696e2054756e61f09f909f5cf09fa59753616c6164f09fa5972070726f64756365642031353636352f313536363520626c6f636b733b2053523a2031342e373836362c2043523a2034322e35363533"/>
        <s v="0x506f6c6b61646f74746572735ce29b93434f52452070726f64756365642031343332392f313536363520626c6f636b733b2053523a2031332e353235352c2043523a2033382e39333531"/>
        <s v="turboflakes.io\MINT produced 14395/15665 blocks; SR: 0 (Invulnerable), CR: 39.1144"/>
        <s v="LuckyFriday.io produced 14015/15665 blocks; SR: 0 (Invulnerable), CR: 38.0819"/>
        <s v="DPSTK produced 14057/15665 blocks; SR: 0 (Invulnerable), CR: 38.1960"/>
        <s v="Staker Space\Statemint produced 13660/15665 blocks; SR: 0 (Invulnerable), CR: 37.1172"/>
        <s v="Payment to MuFi for Milestone 2"/>
        <s v="Outreach track account management- April 2024- Maarmapa"/>
        <s v="Outreach track content editor- Retroactive Feb-March+April 2024- Michelle"/>
        <s v="Consensus Hackathon Sponsorship - WebZero - Austin, TX"/>
        <s v="Viasoft Connect 2024 - Parachainboy and Lui5 - Curitiba, Brazil"/>
        <s v="Polkadot Day Budapest - Vikk - Budapest, Hungary"/>
        <s v="CEE Wealth Summit - Harbor Industrial Captial - Vienna, Austria"/>
        <s v="Q1 2024 SubCurator Awards - Mario"/>
        <s v="Q1 2024 SubCurator Awards - Chris"/>
        <s v="Q1 2024 SubCurator Awards - Saimon"/>
        <s v="Q1 2024 Curator Awards - Zoe"/>
        <s v="Q1 2024 Curator Awards - Mark"/>
        <s v="Q1 2024 Curator awards - ChaosDAO"/>
        <s v="Q1 2024 Curator awards - Hutch"/>
        <s v="Q1 2024 Curator awards - WebZero"/>
        <s v="Ops Admin System Fees - Jan to May 2024 - Zoe"/>
        <s v="Polkadot at TeamZ Web3 AI Summit 2024 - Top up "/>
        <s v="ParisDotComm 2023 - Team Rewards "/>
        <s v="Retroactive Funds - Sub0 Side Events - WebZero "/>
        <s v="Brew sponsorship - Berlin Blockchain Week - May 2024"/>
        <s v="Task 1 - April 2024 - Tim Janssen"/>
        <s v="Task 1 - April 2024 - Pastaman"/>
        <s v="Task 1 - April 2024 - Frankywild"/>
        <s v="set up multisig spanish bounty"/>
        <s v="Website Management - Adim/Op - IV555 - April 2024"/>
        <s v="Social Media Takedown Task - Sirjey - April 2024"/>
        <s v="Social Media Takedown Task - ShakurHarun - April 2024"/>
        <s v="Social Media Takedown Task - Michelle - April 2024"/>
        <s v="Account management/Outreach Track-April 2024- KammalaImmaculate"/>
        <s v="Maintenance of Phishing Repo/Proactive Track-April 2024- TimJanssen "/>
        <s v="Maintenance of Phishing Repo/Proactive Track-April 2024- Pastaman"/>
        <s v="Maintenance of Phishing Repo/Proactive Track-April 2024- Frankywild"/>
        <s v="General curation-April 2024- KammalaImmaculate"/>
        <s v="Content creation - grizzlyadams"/>
        <s v="Account Manager - grizzlyadams"/>
        <s v="Sub manager and Content creator - Maarmapa"/>
        <s v="Sub manager and Content creator - ecardo5o"/>
        <s v="General curation - grizzlyadams"/>
        <s v="track management of outreach track - grizzlyadams"/>
        <s v="Track management of proactive track - frankywild"/>
        <s v="Track management of reactive track - Tim"/>
        <s v="Track Management of Education track - April 2024 - Maarmapa "/>
        <s v="General curator - April 2024 - Abdulbee"/>
        <s v="Track Management of Admin/Operation - April 2024 - Adbulbee"/>
        <s v="General Curation - Cappex - April 2024"/>
        <s v="General Admin - Cmalize - April 2024"/>
        <s v="General Admin - Pastaman - April 2024"/>
        <s v="General Admin - Paradox - April 2024"/>
        <s v="Night-Hawk extension"/>
        <s v="Anti-Scam Forensics Support- Retroactive payments for Feb-Mar + April 2024- Alina "/>
        <s v="Anti-Scam Victim Support- Retroactive payments for Feb-Mar + April 2024- Alina "/>
        <s v="Simply Staking - Q1 https://github.com/paseo-network/payouts/issues/12"/>
        <s v="Gatotech Q2 - https://github.com/paseo-network/payouts/issues/11"/>
        <s v="Gatotech q1 - https://github.com/paseo-network/payouts/issues/10"/>
        <s v="MetaSpan Q2 - https://github.com/paseo-network/payouts/issues/6 "/>
        <s v="Moderation Team Bounty April 2024 pastaman"/>
        <s v="Moderation Team Bounty April 2024 Grizzly"/>
        <s v="Moderation Team Bounty April 2024 Franky"/>
        <s v="Moderation Team Bounty April 2024 Cappex"/>
        <s v="Moderation Team Bounty-April 2024-TimJanssen"/>
        <s v="Moderation Team Bounty- April 2024- Paradox"/>
        <s v="Moderation Team Bounty- April 2024- Maarmapa"/>
        <s v="Moderation Team Bounty- April 2024- LV"/>
        <s v="Moderation Team Bounty- April 2024- Abdulbee"/>
        <s v="Moderation bounty - April 2024 - muddlebee"/>
        <s v="Moderation bounty - April 2024 - Mister_Cole"/>
        <s v="Moderation bounty - April 2024 - MC"/>
        <s v="Moderation bounty - Aprill 2024 - Gr33n"/>
        <s v="Curator bounty - April 2024 - AJ"/>
        <s v="Valid orange Q2 https://github.com/paseo-network/payouts/issues/5"/>
        <s v="Valid Orange Q1 https://github.com/paseo-network/payouts/issues/4"/>
        <s v="Coinstudio Q2 https://github.com/paseo-network/payouts/issues/3"/>
        <s v="CoinStudio Q1 https://github.com/paseo-network/payouts/issues/2"/>
        <s v="3 Brazil Meetups slippage"/>
        <s v="BlackXP Game Jam reimbusrement"/>
        <s v="Budapest Meetups slippage and scaling award - Viktor - Budapest, Hungary"/>
        <s v="Polkadot Networking Eve - Nicholas Joshua - Northern Nigeria"/>
        <s v="Polkadot Monthly Meetup - Max Rebol - Hong Kong"/>
        <s v="Memecoin MeetUp at W3.hub - Web3Rdy - Berlin, Germany"/>
        <s v="Distractive @ ETHDenver second award"/>
        <s v="RomeBW second tranche (VAT)"/>
        <s v="ArtsDAO slippage reimbursement"/>
        <s v="Smart City Expo Brazil second award"/>
        <s v="WizardAmigos slippage reimbursement"/>
        <s v="CEE Wealth Summit - Scythe Ventures - Vienna, Italy "/>
        <s v="{Bash} EthDenver second award"/>
        <s v="Crane - Invoice #2 - [DOT = 6.885 USDT - 10% = 6.1965 USDT] - excess DOT due to change in price must be returned"/>
        <s v="RadiumBlock Apr 24"/>
        <s v="Stakeworld Apr 24"/>
        <s v="RockX Apr 24"/>
        <s v="Lucky Friday Apr 24"/>
        <s v="OnFinality Apr 24"/>
        <s v="Dwellir Apr 24"/>
        <s v="Blockops Apr 24"/>
        <s v="[APPLICATION] exam play game M1"/>
        <s v="EVOX - INV050 - DOT Price at the time of the invoice = 6.60 USDT - excess DOT due to change in price must be returned"/>
        <s v="Q1 Metaspan Payout https://github.com/paseo-network/payouts/issues/1"/>
        <s v="Q1&amp;Q2 Zondax Payout"/>
        <s v="Q2 Rogue Payout"/>
        <s v="Q1&amp;Q2 Portico payout"/>
        <s v="q1 rogue payout"/>
        <s v="Crane - Invoice #1 - DOT = 6.70 USDT - excess DOT due to change in price must be returned"/>
        <s v="Payment to Bright Inventions for Milestone 3"/>
        <s v="Payment to Oak Security for Archisinal Review"/>
        <s v="NGUYEN QUANG TRUONG / CRIS NGUYEN - Invoice #9 - Binance EMA 7 days = 8.716 USDT - excess DOT due to change in price must be returned"/>
        <s v="EVOX - INV048 - Binance EMA 7 days = 8.706 USDT - excess DOT due to change in price must be returned"/>
        <s v="Lunar Strategy - Invoice 2024/04/06 - Subscan EMA 7 days = 8.7 USDT - excess DOT due to change in price must be returned"/>
        <s v="Reimbursement for Luca Poggi as Technical Curator - EMA Binance DOT 60 days = 8.87 USDT - https://docs.google.com/document/d/1FjSsefrDaIVF6xaojRd7AYeUM4P4KSWOncbLl7xiKcM"/>
        <s v="Chainwire via MarketAccross - DOT top up for child bounty #895 - DOT Price = 8.25 USDT"/>
        <s v="astar-srl-2403"/>
        <s v="Task1 frankywild March 2024"/>
        <s v="Task1 Tim March 2024"/>
        <s v="Task1 pastaMan March 2024"/>
        <s v="Website Management lv555 + curator abdulbee"/>
        <s v="Database of DNS registrars - March 2024 - Tim Janssen"/>
        <s v="Social media takedown - March 2024 - Sirjey"/>
        <s v="Social media takedown - March 2024 - ShakurHarun"/>
        <s v="Social media takedown - March 2024 - Michelle"/>
        <s v="General curator reward - March 2024 - Cappex"/>
        <s v="Polkadot @ RomeBW - Marco Romano - Rome, Italy"/>
        <s v="Polkadot @ ArtsDAO Fest - Irina Karagyaur - Dubai, UAE"/>
        <s v="General curation - March 2024 -Grizzly"/>
        <s v="For Twitter Org verification"/>
        <s v="Educational track management - March 2024 - Maarmapa"/>
        <s v="Outreach track management - March 2024 - Grizzly"/>
        <s v="Outreach track account manager- March 2024-Cmalize"/>
        <s v="General Administration- March 2024- Cmalize"/>
        <s v="Proactive track management- March 2024- FrankyWild"/>
        <s v="Reactive track management- March 2024- TimJanssen"/>
        <s v="Content Creation- March 2024- Cappex"/>
        <s v="Outreach - Content creation - March - Grizzly"/>
        <s v="Outreach - Account manager - March - Grizzly"/>
        <s v="Outreach - sub manager &amp; content creator payout - March - Maarmapa"/>
        <s v="Outreach -sub manager &amp; content creator payout - March - Ecardo"/>
        <s v="Reward for curator (Tim Janssen) for signing fees over 3 months"/>
        <s v="Reward for curator (Tim Janssen) as a portion from total 453.2525"/>
        <s v="Reward for curator (pastaMan) as a portion from total 453.2525"/>
        <s v="Reward for curator (frankywild) as a portion from total 453.2525"/>
        <s v="ParaNodes.io produced 15342/16405 blocks; SR: 14.2653, CR: 29.6263"/>
        <s v="YellowFin Tuna produced 16396/16405 blocks; SR: Invul:0, CR: 31.6616"/>
        <s v="ExtraCoin produced 14451/16405 blocks; SR: Invul:0, CR: 27.9057"/>
        <s v="Polkadotters produced 14227/16405 blocks; SR: 13.2285, CR: 27.4731"/>
        <s v="MathCrypto produced 16405/16405 blocks; SR: 15.2537, CR: 31.6790"/>
        <s v="Coinstudio produced 14839/16405 blocks; SR: 13.7976, CR: 28.6550"/>
        <s v="Staker Space produced 14226/16405 blocks; SR: 13.2276, CR: 27.4712"/>
        <s v=" Iceberg Nodes  produced 16222/16405 blocks; SR: 15.0835, CR: 31.3256"/>
        <s v="LuckyFriday.io produced 14247/16405 blocks; SR: 13.2471, CR: 27.5118"/>
        <s v="BESTVALIDATOR | ZURICH produced 15053/16405 blocks; SR: Invul:0, CR: 29.0682"/>
        <s v="Mile produced 15830/16405 blocks; SR: Invul:0, CR: 30.5686"/>
        <s v="Stake Plus produced 13997/16405 blocks; SR: Invul:0, CR: 27.0290"/>
        <s v="2/5 hosting fee for supporting relay chain RPC instances @ $80.0000 and for curator instance @ $40.0000"/>
        <s v="Hosting fee for Curator RPC instance @ $25.0000"/>
        <s v="Reward for curator (Tim Janssen) as a portion from total 451.5961"/>
        <s v="Reward for curator (pastaMan) as a portion from total 451.5961"/>
        <s v="Reward for curator (frankywild) as a portion from total 451.5961"/>
        <s v="Staker Space produced 14478/16498 blocks; SR: 13.3860, CR: 27.8002"/>
        <s v=" Iceberg Nodes  produced 16160/16498 blocks; SR: Invul:0, CR: 31.0300"/>
        <s v="Stakeworld.io produced 14742/16498 blocks; SR: Invul:0, CR: 28.3072"/>
        <s v="Polkadotters produced 14270/16498 blocks; SR: Invul:0, CR: 27.4008"/>
        <s v="Chris-Staking produced 14819/16498 blocks; SR: 13.7013, CR: 28.4550"/>
        <s v="turboflakes.io produced 14775/16498 blocks; SR: 13.6606, CR: 28.3705"/>
        <s v="YellowFin Tuna produced 16498/16498 blocks; SR: 15.2537, CR: 31.6790"/>
        <s v="Mile produced 15961/16498 blocks; SR: 14.7572, CR: 30.6479"/>
        <s v="LuckyFriday.io produced 14362/16498 blocks; SR: 13.2788, CR: 27.5775"/>
        <s v="ParaNodes.io produced 15464/16498 blocks; SR: 14.2976, CR: 29.6935"/>
        <s v="Sik | crifferent.de produced 14555/16498 blocks; SR: Invul:0, CR: 27.9481"/>
        <s v="openbitlab produced 15195/16498 blocks; SR: Invul:0, CR: 29.1770"/>
        <s v="Reward for curator (Tim Janssen) as a portion from total 449.8982"/>
        <s v="Reward for curator (pastaMan) as a portion from total 449.8982"/>
        <s v="Reward for curator (frankywild) as a portion from total 449.8982"/>
        <s v="DPSTK produced 14461/16574 blocks; SR: Invul:0, CR: 27.6403"/>
        <s v="Staker Space produced 14465/16574 blocks; SR: Invul:0, CR: 27.6479"/>
        <s v="ParaNodes.io produced 15556/16574 blocks; SR: Invul:0, CR: 29.7332"/>
        <s v="STKD.IO produced 14382/16574 blocks; SR: 13.2363, CR: 27.4893"/>
        <s v="Sik | crifferent.de produced 14699/16574 blocks; SR: 13.5280, CR: 28.0952"/>
        <s v="Stakeworld.io produced 14843/16574 blocks; SR: 13.6606, CR: 28.3704"/>
        <s v="Mile produced 15717/16574 blocks; SR: 14.4649, CR: 30.0409"/>
        <s v="YellowFin Tuna produced 16574/16574 blocks; SR: 15.2537, CR: 31.6790"/>
        <s v="Polkadotters produced 14691/16574 blocks; SR: 13.5207, CR: 28.0799"/>
        <s v=" Iceberg Nodes  produced 16387/16574 blocks; SR: 15.0816, CR: 31.3216"/>
        <s v="turboflakes.io produced 14808/16574 blocks; SR: Invul:0, CR: 28.3035"/>
        <s v="LuckyFriday.io produced 14428/16574 blocks; SR: Invul:0, CR: 27.5772"/>
        <s v="1/5 hosting fee for supporting relay chain RPC instances @ $80.0000"/>
        <s v="Social media management Kamala Immaculate March"/>
        <s v="General curation Kamala Immaculate March"/>
        <s v="General administration pastaMan March"/>
        <s v="Adminstrative/Operational Track - March 2024 - Paradox"/>
        <s v="General Curator - March 2024 - Abdulbee"/>
        <s v="Track Management/OP Track  - March 2024 -  Abdulbee"/>
        <s v="Phishing repo maintenance- March 2024- TimJanssen"/>
        <s v="Phishing repo maintenance- March 2024- Pastaman"/>
        <s v="Phishing repo maintenance- March 2024- Frankywild"/>
        <s v="ChainWire via MarketAccross - Invoice 14637 - Binance EMA 99 days = 8.329 USDT - excess DOT due to change in price must be returned"/>
        <s v="Moderation team curation - March 2024 - AJ"/>
        <s v="2023 Decoded Viewing Party Rewards - Fred Malize - Aba, Nigeria"/>
        <s v="2023 Decoded Viewing Party Rewards - Arlette Salas - Maracaibo, Venezuela"/>
        <s v="2023 Decoded Viewing Party Rewards - DJ Trang - Hanoi, Vietnam"/>
        <s v="2023 Decoded Viewing Party Rewards - Mugisha Abraham Shidi - Goma-Democratic Republic of Congo"/>
        <s v="2023 Decoded Viewing Party Rewards - Rossmarie - Madrid, Espana"/>
        <s v="2023 Decoded Viewing Party Rewards - Bamidele Owoseni - Dallas, Texas USA"/>
        <s v="2023 Decoded Viewing Party Rewards - Nikhole Lucas - Makati City, Metro Manila, Philippines"/>
        <s v="2023 Decoded Viewing Party Rewards - Rish - Bangalore, India"/>
        <s v="2023 Decoded Viewing Party Rewards - The Phynky One - Tampa, Florida, USA"/>
        <s v="2023 Decoded Viewing Party Rewards - Santiago Guzman-Roberto Heredia - Bogota-colombia"/>
        <s v="2023 Decoded Viewing Party Rewards - Dillon Hanson - NYC, New York"/>
        <s v="2023 Decoded Viewing Party Rewards - Kamala Immaculate - Kampala City, Uganda"/>
        <s v="2023 Decoded Viewing Party Rewards - Joab Niwagaba - Kigali, Rwanda"/>
        <s v="2023 Decoded Viewing Party Rewards - Oscar (Donatello) - Ciudad de Mexico (CDMX), Mexico"/>
        <s v="2023 Decoded Viewing Party Rewards - Danson Twesigomwe - Arusha,Tanzania"/>
        <s v="2023 Decoded Viewing Party Rewards - Max Cripto - Rio Grande, Argentina"/>
        <s v="2023 Decoded Viewing Party Rewards - Guido - Villa La Angostura (Patagonia), Argentina"/>
        <s v="2023 Decoded Viewing Party Rewards - John Rhodel Bartolome - Curitiba, Brazil"/>
        <s v="2023 Decoded Viewing Party Rewards - Robin - Monterrey, Mexico"/>
        <s v="2023 Decoded Viewing Party Rewards - Erick Alonso Ramos Jimenez - Guadalajara, Jalisco, Mexico"/>
        <s v="Polkadot day Belgrade Reimbursement - Aleksandar Dimitrijevic - Belgrade, Serbia"/>
        <s v="Decoded 2023 Satellite event - Subwallet - Ho Chi Minh, Vietnam"/>
        <s v="Polkadot LATAM Day Reimbursement and rewards - LATAM Ambassadors - Online"/>
        <s v="Metaverse Championship Second award - CryptoCTF - Budapest, Hungary"/>
        <s v="TeamZ AI Summit - DFG - Tokyo, Japan"/>
        <s v="ModerationTeamBounty-March2024-timjanssen"/>
        <s v="ModerationTeamBounty-March2024-paradox"/>
        <s v="ModerationTeamBounty-March2024-muddlebee"/>
        <s v="ModerationTeamBounty-March2024-Cappex"/>
        <s v="Moderation team  bounty - March 2023 - Maarmapa"/>
        <s v="Moderation team bounty - March 2024 - Tramysa"/>
        <s v="Mod + curator bounty - March 2024 - Grizzly"/>
        <s v="Moderation bounty - March 2024 - Frankywild"/>
        <s v="Curator fee - March 2024 - A.J"/>
        <s v="Moderation team bounty- March 2024- Pastaman"/>
        <s v="Moderation team bounty- March 2024- Mister_Cole"/>
        <s v="Moderation team bounty- March 2024- MC"/>
        <s v="Moderation team bounty- March 2024- Gr33nhatt3r"/>
        <s v="Moderation team bounty- March 2024- Abdulbee"/>
        <s v="Lunar Strategy - Invoice 2024/03/27 - Binance EMA 7 days = 9.535 USDT - excess DOT due to change in price must be returned"/>
        <s v="ChainWire via MarketAccross- Invoice 58813 - Binance EMA 7 days = 9.53 USDT - excess DOT due to change in price must be returned"/>
        <s v="EVOX - INV044 - Binance EMA 7 days = 9.54 USDT - excess DOT due to change in price must be returned"/>
        <s v="CultureDot - Singapore, Changi Airport - Binance EMA 99 days = 8.15 USDT - excess DOT due to change in price must be returned"/>
        <s v="3 Brazil Meetups - Modular Crypto - Brazil"/>
        <s v="Beyond Beats: Web3's Disruption of the Music Landscape - Patrik Kogoj - Slovenia"/>
        <s v="Women of Polkadot: Brunch in Bangkok - Linda Luuu - Thailand"/>
        <s v="4 Hong Kong Meetups - Max Rebol - Hong Kong"/>
        <s v="PBA Graduation and DOTGov Workshop - Pauline Cohen Vorms, PBA - Hong Kong"/>
        <s v="Polkadot @ Southeast Asia BW - Patricia Arro - Thailand"/>
        <s v="Polkadot @ Web3Fest - Polkaport East - Hong Kong"/>
        <s v="BlackXP Game Jam - Lui5 - Brazil"/>
        <s v="WizardAmigos Code Camp - Nina Breznik - Portugal"/>
        <s v="EVOX Invoice INV041 (Binance EMA 7 days = 10.74 USDT) - In case of any surplus on fund reception's day, the exceeding part must be returned to bounty address, in case of deficit another child bounty request must be issued to cover the difference"/>
        <s v="ChainWire Invoice 58689 (Binance EMA 7 days = 10.74 USDT) - In case of any surplus on fund reception's day, the exceeding part must be returned to bounty address, in case of deficit another child bounty request must be issued to cover the difference"/>
        <s v="Javier (article) 6th milestone of Task 7"/>
        <s v="Tim Janssen (quiz) 6th milestone of Task 7"/>
        <s v="Maarmapa (video) 6th milestone of Task 7"/>
        <s v="Paradox (slideshow) 6th milestone of Task 7"/>
        <s v="Chris Malize (infographics) 6th milestone of Task 7"/>
        <s v="Reward for curator (Tim Janssen) as a portion from total 467.2090"/>
        <s v="Reward for curator (pastaMan) as a portion from total 467.2090"/>
        <s v="Reward for curator (frankywild) as a portion from total 467.2090"/>
        <s v="MathCrypto produced 15052/15064 blocks; SR: 14.1973, CR: 30.4145"/>
        <s v="Coinstudio produced 15040/15064 blocks; SR: 14.1860, CR: 30.3903"/>
        <s v="Staker Space produced 14810/15064 blocks; SR: 13.9691, CR: 29.9255"/>
        <s v=" Iceberg Nodes  produced 15029/15064 blocks; SR: 14.1756, CR: 30.3680"/>
        <s v="ParaNodes.io produced 15018/15064 blocks; SR: 14.1653, CR: 30.3458"/>
        <s v="LuckyFriday.io produced 14972/15064 blocks; SR: 14.1219, CR: 30.2529"/>
        <s v="BESTVALIDATOR | ZURICH produced 15044/15064 blocks; SR: Invul:0, CR: 30.3983"/>
        <s v="Mile produced 15057/15064 blocks; SR: Invul:0, CR: 30.4246"/>
        <s v="Stake Plus produced 15061/15064 blocks; SR: Invul:0, CR: 30.4327"/>
        <s v="YellowFin Tuna produced 15064/15064 blocks; SR: Invul:0, CR: 30.4388"/>
        <s v="ExtraCoin produced 15027/15064 blocks; SR: Invul:0, CR: 30.3640"/>
        <s v="Polkadotters produced 15007/15064 blocks; SR: 14.1549, CR: 30.3236"/>
        <s v="2/5 hosting fee for supporting relay chain RPC instances and for curator instance @ $40.0000"/>
        <s v="Reward for curator (Tim Janssen) as a portion from total 467.1867"/>
        <s v="Reward for curator (pastaMan) as a portion from total 467.1867"/>
        <s v="Reward for curator (frankywild) as a portion from total 467.1867"/>
        <s v="turboflakes.io produced 15051/15067 blocks; SR: 14.1936, CR: 30.4064"/>
        <s v="YellowFin Tuna produced 15032/15067 blocks; SR: 14.1756, CR: 30.3681"/>
        <s v="Mile produced 15067/15067 blocks; SR: 14.2086, CR: 30.4388"/>
        <s v="LuckyFriday.io produced 14948/15067 blocks; SR: 14.0964, CR: 30.1984"/>
        <s v="Staker Space produced 14841/15067 blocks; SR: 13.9955, CR: 29.9822"/>
        <s v="ParaNodes.io produced 14988/15067 blocks; SR: 14.1341, CR: 30.2792"/>
        <s v="Sik | crifferent.de produced 15057/15067 blocks; SR: Invul:0, CR: 30.4186"/>
        <s v="openbitlab produced 15045/15067 blocks; SR: Invul:0, CR: 30.3943"/>
        <s v=" Iceberg Nodes  produced 15052/15067 blocks; SR: Invul:0, CR: 30.4085"/>
        <s v="Stakeworld.io produced 15051/15067 blocks; SR: Invul:0, CR: 30.4064"/>
        <s v="Polkadotters produced 15021/15067 blocks; SR: Invul:0, CR: 30.3458"/>
        <s v="Chris-Staking produced 15043/15067 blocks; SR: 14.1860, CR: 30.3903"/>
        <s v="1/5 hosting fee for supporting relay chain RPC instances and for curator instance @ $40.0000"/>
        <s v="Reward for curator (Tim Janssen) as a portion from total 467.1751"/>
        <s v="Reward for curator (pastaMan) as a portion from total 467.1751"/>
        <s v="Reward for curator (frankywild) as a portion from total 467.1751"/>
        <s v="Sik | crifferent.de produced 15062/15073 blocks; SR: 14.1983, CR: 30.4165"/>
        <s v="Stakeworld.io produced 15032/15073 blocks; SR: 14.1700, CR: 30.3560"/>
        <s v="Mile produced 15053/15073 blocks; SR: 14.1898, CR: 30.3984"/>
        <s v="YellowFin Tuna produced 15040/15073 blocks; SR: 14.1775, CR: 30.3721"/>
        <s v="Polkadotters produced 15024/15073 blocks; SR: 14.1625, CR: 30.3398"/>
        <s v=" Iceberg Nodes  produced 15033/15073 blocks; SR: 14.1709, CR: 30.3580"/>
        <s v="turboflakes.io produced 15073/15073 blocks; SR: Invul:0, CR: 30.4388"/>
        <s v="LuckyFriday.io produced 15007/15073 blocks; SR: Invul:0, CR: 30.3055"/>
        <s v="DPSTK produced 14950/15073 blocks; SR: Invul:0, CR: 30.1904"/>
        <s v="Staker Space produced 14826/15073 blocks; SR: Invul:0, CR: 29.9400"/>
        <s v="ParaNodes.io produced 15058/15073 blocks; SR: Invul:0, CR: 30.4085"/>
        <s v="STKD.IO produced 14997/15073 blocks; SR: 14.1370, CR: 30.2853"/>
        <s v="Payment to Protofire for Multisig Milestone 2"/>
        <s v="Lunar Strategy Invoice 2024/03/07 (Binance EMA 7 days = 10.388 USDT) - excess DOT due to increase in price must be returned"/>
        <s v="EVOX Invoice INV041 (Binance EMA 7 days = 9.28 USDT) - excess DOT due to change in price must be returned"/>
        <s v="Task 5 - Febraury 2024 - ShakurHarun"/>
        <s v="Task 5 - Febraury 2024 - Sirjey"/>
        <s v="Task 5 - Febraury 2024 - Michelle"/>
        <s v="One time task - February 2024 - LV555"/>
        <s v="Outreach track (Content creation) grizzlyadams"/>
        <s v="Outreach track (Account Manager) grizzlyadams"/>
        <s v="Outreach track(content creation)- February 2024- Maarmapa"/>
        <s v="Outreach track(content creation)- February 2024- _ecardo5o"/>
        <s v="Outreach track(Biz dev)- February 2024- Kamala"/>
        <s v="Outreach track(social media)- February 2024- Maarmapa"/>
        <s v="Outreach track(social media)- February 2024- _ecardo5o"/>
        <s v="Detection/Takedown of phishing sites-February 2024- TimJanssen"/>
        <s v="Detection/Takedown of phishing sites-February 2024- Pastaman"/>
        <s v="Detection/Takedown of phishing sites-February 2024-Frankywild"/>
        <s v="General Curation- February 2024- Cappex"/>
        <s v="General Admin- February 2024- Cmalize"/>
        <s v="Educational Track Management- February 2024- Maarmapa"/>
        <s v="maintenance of phishing repo Tim Janssen Februray 2024"/>
        <s v="maintenance of phishing repo PastaMan Februray 2024"/>
        <s v="maintenance of phishing repo frankywild Februray 2024"/>
        <s v="General curation Abdulbee February 2024"/>
        <s v="General administration PastaMan Februray 2024"/>
        <s v="Track management of admin/op track Abdulbee February 2024"/>
        <s v="Logo brand kit - Ecardo"/>
        <s v="General curation - February 2024 - Kamala"/>
        <s v="general administration - February 2024 - Paradox"/>
        <s v="Reactive track management - February 2024 - Tim Janssen"/>
        <s v="General Curator Reward - Febuary 2024 - Grizzly "/>
        <s v="Administrative Operation track - Febuary 2024 - Grizzly"/>
        <s v="Administrative Operation track - Febuary 2024 - FrankyWild"/>
        <s v="Management Overhead for Interlay Team"/>
        <s v="Integration for INTR, BNC, ACA, KILT, ASTR, HDX, Total: 47250 USD"/>
        <s v="Legal and compliance check for Batch 1"/>
        <s v="Moderation team bounty - February 2024 - Tim Janssen"/>
        <s v="Moderation team bounty - February 2024 - Pastaman"/>
        <s v="Moderation team bounty - February 2024 - Mister_cole"/>
        <s v="Moderation team bounty - February 2024 - LV"/>
        <s v="Moderation team bounty - February 2024 - Grizzly"/>
        <s v="Moderation team bounty - February 2024 - Frankywild"/>
        <s v="Moderation team bounty - February 2024 - Cappex"/>
        <s v="Moderation bounty- February 2024- Paradox"/>
        <s v="Moderation Bounty- February 2024- Muddlebee"/>
        <s v="Moderation Bounty- February 2024- MC"/>
        <s v="Moderation Bounty- February 2024-Maarmapa"/>
        <s v="Moderation Bounty- February 2024- Gr33Hatt3R"/>
        <s v="Moderation bounty- February 2024- Abdulbee"/>
        <s v="Meetup Beyond ETFs: Navigating the Digital Asset Management space with Scytale Digital Rewards - Patrik Kogaj - Ljubljana, Slovenia"/>
        <s v="CryptoVendimia - Marmaapa and Matt Santo - Mendoza"/>
        <s v="ETHTaipei - James Shih - Taiwan"/>
        <s v="OnChain Brazil - Gabriella Mena Ogusuku - Sao Paolo"/>
        <s v="peaq-srl-2402"/>
        <s v="CultureDot - Polkadot IRL Campaign #3 - Zurich Airport (Binance MA 25 days = 7.2 USDT - excess DOT due to change in price must be returned)"/>
        <s v="Base payment for six Curators"/>
        <s v="NFT Biarritz - G'Expect Chaos - Biarritz, France"/>
        <s v="DOT Hong Kong Day, Volitility Reimbursement - Vincent Chan - Hong Kong"/>
        <s v="2023 Q4 Curator Awards - Mark"/>
        <s v="2023 Q4 Curator Awards - Zoe"/>
        <s v="2023 Q4 Curator Awards - Hutch"/>
        <s v="2023 Q4 Curator Awards - WebZero"/>
        <s v="2023 Q4 Curator Awards - ChaosDAO"/>
        <s v="Meetup Blockchain for Beginners Refund - Torsten Schenk - Berlin, Germany"/>
        <s v="Meetup Polkadot Nigeria - Chidi Olisa - Nigeria"/>
        <s v="Meetup Polkadot Munchen Refund - Saro Posa - Munchen, Germany"/>
        <s v="Berlin Satellite event Refund &amp; Rewards - Simon Leon - Berlin, Germany"/>
        <s v="Meetup Ljubljana: 50 Shades of NFTs - w3n:patrik - Ljubljana, Slovenia"/>
        <s v="Build on Polkadot: W3transfer - Apillon and ecosystem teams - Europe"/>
        <s v="Smart City 2024 - Parachainboy and Gabekoin - Curitiba, Brazil"/>
        <s v="moonbeam-srl-2401"/>
        <s v="invarch-srl-2402"/>
        <s v="EVOX Invoice Receipt-12 (Binance EMA 7 days = 7.275 USDT)"/>
        <s v="Bounty 11 data gathering - Maccala"/>
        <s v="Bounty 11 data gathering - Abujulaibib"/>
        <s v="Reimbursement For Marketing Bounty Prev Expenses (Binance EMA 7 days = 7.052 USDT)"/>
        <s v="Portion of un-budgeted VMs for Curators and Relay-chains: $60.00"/>
        <s v="Fund of multisig and pure proxy account"/>
        <s v="Reward for curator (Tim Janssen) as a portion from total 638.4020"/>
        <s v="Reward for curator (pastaMan) as a portion from total 638.4020"/>
        <s v="Reward for curator (frankywild) as a portion from total 638.4020"/>
        <s v="Polkadotters produced 15763/15804 blocks; SR: 15.2372, CR: 43.9709"/>
        <s v="MathCrypto produced 15798/15804 blocks; SR: 15.2711, CR: 44.0685"/>
        <s v="Coinstudio produced 15766/15804 blocks; SR: 15.2401, CR: 43.9792"/>
        <s v="Staker Space produced 15742/15804 blocks; SR: 15.2169, CR: 43.9123"/>
        <s v=" Iceberg Nodes  produced 15776/15804 blocks; SR: 15.2498, CR: 44.0071"/>
        <s v="ParaNodes.io produced 15804/15804 blocks; SR: 15.2769, CR: 44.0852"/>
        <s v="LuckyFriday.io produced 15760/15804 blocks; SR: 15.2343, CR: 43.9625"/>
        <s v="BESTVALIDATOR | ZURICH produced 15770/15804 blocks; SR: Invul:0, CR: 43.9904"/>
        <s v="Mile produced 15788/15804 blocks; SR: Invul:0, CR: 44.0406"/>
        <s v="Stake Plus produced 15794/15804 blocks; SR: Invul:0, CR: 44.0573"/>
        <s v="YellowFin Tuna produced 15776/15804 blocks; SR: Invul:0, CR: 44.0071"/>
        <s v="ExtraCoin produced 15745/15804 blocks; SR: Invul:0, CR: 43.9207"/>
        <s v="Reward for curator (Tim Janssen) as a portion from total 638.3268"/>
        <s v="Reward for curator (pastaMan) as a portion from total 638.3268"/>
        <s v="Reward for curator (frankywild) as a portion from total 638.3268"/>
        <s v="LuckyFriday.io produced 16496/16496 blocks; SR: Invul:0, CR: 44.0852"/>
        <s v="DPSTK produced 16461/16496 blocks; SR: Invul:0, CR: 43.9917"/>
        <s v="Staker Space produced 16458/16496 blocks; SR: Invul:0, CR: 43.9837"/>
        <s v="ParaNodes.io produced 16473/16496 blocks; SR: Invul:0, CR: 44.0238"/>
        <s v="STKD.IO produced 16443/16496 blocks; SR: 15.2278, CR: 43.9436"/>
        <s v="Sik | crifferent.de produced 16486/16496 blocks; SR: 15.2676, CR: 44.0585"/>
        <s v="Stakeworld.io produced 16455/16496 blocks; SR: 15.2389, CR: 43.9757"/>
        <s v="Mile produced 16492/16496 blocks; SR: 15.2732, CR: 44.0745"/>
        <s v="YellowFin Tuna produced 16479/16496 blocks; SR: 15.2611, CR: 44.0398"/>
        <s v="Polkadotters produced 16479/16496 blocks; SR: 15.2611, CR: 44.0398"/>
        <s v=" Iceberg Nodes  produced 16458/16496 blocks; SR: 15.2417, CR: 43.9837"/>
        <s v="turboflakes.io produced 16345/16496 blocks; SR: Invul:0, CR: 43.6817"/>
        <s v="Sik | crifferent.de produced 16473/16490 blocks; SR: Invul:0, CR: 44.0398"/>
        <s v="Reward for curator (Tim Janssen) as a portion from total 638.5667"/>
        <s v="Reward for curator (pastaMan) as a portion from total 638.5667"/>
        <s v="Reward for curator (frankywild) as a portion from total 638.5667"/>
        <s v="openbitlab produced 16490/16490 blocks; SR: Invul:0, CR: 44.0852"/>
        <s v=" Iceberg Nodes  produced 16464/16490 blocks; SR: Invul:0, CR: 44.0157"/>
        <s v="Stakeworld.io produced 16483/16490 blocks; SR: Invul:0, CR: 44.0665"/>
        <s v="Polkadotters produced 16461/16490 blocks; SR: Invul:0, CR: 44.0077"/>
        <s v="Chris-Staking produced 16458/16490 blocks; SR: 15.2472, CR: 43.9997"/>
        <s v="turboflakes.io produced 16373/16490 blocks; SR: 15.1685, CR: 43.7724"/>
        <s v="YellowFin Tuna produced 16480/16490 blocks; SR: 15.2676, CR: 44.0585"/>
        <s v="Mile produced 16487/16490 blocks; SR: 15.2741, CR: 44.0772"/>
        <s v="LuckyFriday.io produced 16478/16490 blocks; SR: 15.2658, CR: 44.0532"/>
        <s v="Staker Space produced 16447/16490 blocks; SR: 15.2370, CR: 43.9703"/>
        <s v="ParaNodes.io produced 16469/16490 blocks; SR: 15.2574, CR: 44.0291"/>
        <s v="Lunar Strategy Invoice 2024-02-09 (Binance EMA 7 days = 7.052 USDT)"/>
        <s v="Task 1 - jan 2024 - Tim"/>
        <s v="Task 1 - jan 2024 - Pastaman"/>
        <s v="Task 1 - jan 2024 - Frankywild"/>
        <s v="Task 1 - Jan 2024 - Tim Janssen"/>
        <s v="Task 5 - January 2024 - Sirjey"/>
        <s v="Task 5 - January 2024 - ShakurHarun"/>
        <s v="Task 5 - Janaury 2024 - Michelle"/>
        <s v="Task 5 - January 2024 - Frankywild"/>
        <s v="astar-zellic-2401"/>
        <s v="Payment to Archisinal for Milestone 2 + Base Payment for Four Curators"/>
        <s v="General Curation-January 2024- Kamala"/>
        <s v="General Administration- January 2024- Paradox"/>
        <s v="Reactive Track Management-January 2024- TimJanssen"/>
        <s v="alina for email set-up"/>
        <s v="frankywild for email set-up"/>
        <s v="Repo Mainetenance- January 2024- TimJanssen"/>
        <s v="Repo Mainetenance- January 2024- Pastaman"/>
        <s v="Repo Mainetenance- January 2024- FrankyWild"/>
        <s v="abdulbee General curation January 24"/>
        <s v="cmalize General administration January 24"/>
        <s v="pastaMan General administration January 24"/>
        <s v="Maarmapa educational track January 24"/>
        <s v="abdulbee admin/op track January 24"/>
        <s v="Task 2b-Database for DNS registrars - Tim Janssen - January 2024"/>
        <s v="General Curator- Capppex - January 2024"/>
        <s v="Task 1 - January 2024 - Tim Janssen"/>
        <s v="Task 1 - January 2024 - Pastaman"/>
        <s v="Task 1 - January 2024 - Frankywild"/>
        <s v="General curation - January 2024 - GrizzlyAdams"/>
        <s v="Outreach track management - January 2024 - GrizzlyAdams"/>
        <s v="Proactive track management - January 2024 - Frankywild"/>
        <s v="Typefully reimbursement - Grizz"/>
        <s v="PMEI ETHDenver Closing Party - PMEI - Denver CO"/>
        <s v="The Blockspace at ETHDenver - WebZero - Denver, CO"/>
        <s v="Moderation team bounty-January 2024- Paradox "/>
        <s v="Moderation team bounty- January 2024- Muddlebee"/>
        <s v="Moderation team bounty- January 2024- MC"/>
        <s v="Moderation team bounty- January 2024- Maarmapa"/>
        <s v="Moderation team bounty- January 2024- Gr33nHatt3R"/>
        <s v="Moderation team bounty-January 2024- Abdulbee"/>
        <s v="Moderation team bounty - Jan 2024 - Tim Janssen"/>
        <s v="Moderation team bounty - Jan 2024 - Pastaman"/>
        <s v="Moderation team bounty - Jan 2024 - Mister_Cole"/>
        <s v="Moderation team bounty - Jan 2024 - LV"/>
        <s v="Moderation team bounty - Jan 2024 - Grizzly"/>
        <s v="Moderation team bounty - Jan 2024 - frankywild"/>
        <s v="Moderation team bounty - Jan 2024 - Cappex"/>
        <s v="astar-srl-2312"/>
        <s v="bifrost-oak-2401"/>
        <s v="Task 5 - December 2023 - Tramymsa"/>
        <s v="task 5 - December 2023 - Tim janssen"/>
        <s v="Task 5 - December 2023 - frankywild"/>
        <s v="Polkadot Munchen Meetup - Saro Posa - Munchen, Germany"/>
        <s v="9 Meetups in Hungary - Viktor / Polkadot Hungary - Budapest, Hungary"/>
        <s v="5 Meetups in Bali - Kresna Sucandra - Bali"/>
        <s v="4 Meetups in LATAM - Simonn Leon - Various Countries"/>
        <s v="Polkadot at ETHDenver 2024 - Distractive - Denver, CO"/>
        <s v="PolkadotDevs: MeetUp Series - Vasiliki Tani - Athens/Vienna"/>
        <s v="Exiled Racers Trackmeet - Exiled Racers - NYC, NY"/>
        <s v="hydradx-c4-2401"/>
        <s v="Payment to Lucky Team for Milestone 2"/>
        <s v="t3rn-srl-2401"/>
        <s v="General curation- Dec 2023- Kamala "/>
        <s v="Track management- Dec 2023- Maarmapa"/>
        <s v="Repo Maintenance- December 2023- Pastaman"/>
        <s v="Repo Maintenance- December 2023- TimJanssen"/>
        <s v="Repo Maintenance- December 2023- Franky"/>
        <s v="Task 1 December - Tim"/>
        <s v="Task 1 December - PastaMan"/>
        <s v="Task 1 December - Franky"/>
        <s v="General Curation December - Grizzly"/>
        <s v="Outreach Track December - Grizzly"/>
        <s v="One-Time-Task - December 2023 - Grizzly"/>
        <s v="General Adiminstation -December 2023- Paradox"/>
        <s v="Admin-Op track - December 2023 - FrankyWild"/>
        <s v="Admin-Op track - December 2023 - Abdulbee"/>
        <s v="General Curator - Abdulbee - December 2023"/>
        <s v="General curation - Decembe 2023 - Cappex"/>
        <s v="General Administration - December 2023 - Cmalize"/>
        <s v="General Administration - December 2023 - Pastaman"/>
        <s v="Reactive track management - December 2023 - Tim Janssen"/>
        <s v="acala-c4-2401"/>
        <s v="phala-c4-2401"/>
        <s v="Mod team bounty - December 2023 - LV"/>
        <s v="Mod team bounty - December 2023 - Muddlebee"/>
        <s v="Mod team bounty - December 2023 - Pastaman"/>
        <s v="Mod team bounty - December 2023 - Maarmapa"/>
        <s v="Mod team bounty - December 2023 - Cappex"/>
        <s v="Mod team bounty + curator fees - December 2023 - Abdulbee"/>
        <s v="Mod team bounty + curator fees - December 2023 - Grizzly"/>
        <s v="Mod team bounty - December 2023 - Gr33n"/>
        <s v="Mod team bounty - December 2023 - Tim"/>
        <s v="Mod team bounty - December 2023 - MC"/>
        <s v="Mod team bounty - December 2023 - Frankywild"/>
        <s v="Mod team bounty - December 2023 - Paradox"/>
        <s v="Mod team bounty - December 2023 - Mister_cole"/>
        <s v="Payment to Bright Inventions for Milestone 2"/>
        <s v="Blockchain Sao Paolo difference - Mario Maarmapa - June 2023"/>
        <s v="Monetvideo Meetup Difference - Mario Maarmapa - February 2023"/>
        <s v="Berlin House of Chaos - WebZero - September 2023"/>
        <s v="Sub0 closing Party - WebZero - September 2023"/>
        <s v="KODA. Onchain Exhibition - KodaDot - September 2023"/>
        <s v="NFTs In Prague - KodaDot - June 2023"/>
        <s v="The Future of Polkadot - KodaDot - November 2022"/>
        <s v="Polkadot Bled Mini conf - KodaDot - April 2023"/>
        <s v="Events Bounty Curator Reward - Mark Ryan - May-August 2023"/>
        <s v="Events Bounty Curator Reward - Zoe Mechbach - May-August 2023"/>
        <s v="Polkadot Now India - Rish Kumar - April 2023"/>
        <s v="Soulbound Bali - Kreshna Sucandra - August 2023"/>
        <s v="Task 5- Social media take down rewards- November 2023- TimJanssen"/>
        <s v="curator expenses"/>
        <s v="Task 1 - November 2023 - Tim Janssen"/>
        <s v="Task 1 - November 2023 - Pastaman"/>
        <s v="Task 1 - November 2023 - Frankywild"/>
        <s v="Reactive track management- November 2023- TimJanssen"/>
        <s v="Proactive track Management-November 2023- FrankyWild"/>
        <s v="General curation- November 2023- KamalaImmaculate"/>
        <s v="Outreach track November 2023 Grizzlyadams"/>
        <s v="Educational track October 2023 Maarmapa"/>
        <s v="Admin-Op track November 2023 Abdulbee"/>
        <s v="General curation November 2023 Abdulbee"/>
        <s v="Maintenance of phishing repo - November 2023 - Pastaman"/>
        <s v="Maintenance of phishing repo - November 2023 - Frankywild"/>
        <s v="Maintenance of phishing repo - November 2023 - Tim Janssen"/>
        <s v="General curation reward - Grizzly - November 2023"/>
        <s v="General Admin reward - Cmalize - November 2023"/>
        <s v="General Admin reward - Pastaman - November 2023"/>
        <s v="General Curator - Cappex - November 2023"/>
        <s v="General Administration Task - Paradox - November 2023"/>
        <s v="Java Host (Fruzhin) Phase 2 child bounty 1st tranche"/>
        <s v="Moderation team bounty - November 2023 - Tim Janssen"/>
        <s v="Moderation team bounty - November 2023 - Frankywild"/>
        <s v="Moderation team bounty - November 2023 - Pastaman"/>
        <s v="Moderation team bounty - November 2023 - Mister_cole"/>
        <s v="Moderation team bounty - November 2023 - LV"/>
        <s v="Moderation team bounty - November 2023 - Cappex"/>
        <s v="Moderation bounty- November 2023- Paradox"/>
        <s v="Moderation bounty- November 2023- Muddlebee"/>
        <s v="Moderation bounty- November 2023- MC"/>
        <s v="Moderation bounty- November 2023- Maarmapa"/>
        <s v="Moderation bounty- November 2023- Gr33nHatt3r"/>
        <s v="GrizzlyAdams[3/75]#4892 - Curator Reward - November 2023"/>
        <s v="abdulbee#4681 - Curator Reward - November 2023"/>
        <s v="Payment to Starlay Finance for Milestone 2"/>
        <s v="Payment to Decentralized Oracles - Milestone 1 - VRF"/>
        <s v="Maintenance of repo- October 2023- TimJanssen"/>
        <s v="Maintenance of repo- October 2023- Frankywild"/>
        <s v="Maintenance of repo- October 2023- Pastaman"/>
        <s v="Task 2b (DNS registrars) - October 2023 - Tim Janssen"/>
        <s v="Task 5 - October 2023 Tim Janssen"/>
        <s v="Task 1 - October 2023 - Frankywild"/>
        <s v="Task 1 - October 2023 - Tim Janssen"/>
        <s v="Task 1 - October 2023 - Pastaman"/>
        <s v="General Curation- Oct 2023- Kamala"/>
        <s v="General Administration- Oct 2023- Cmalize"/>
        <s v="one-time-task- Maarmapa- October 2023"/>
        <s v="General Curator- Grizzly- October 2023"/>
        <s v="General administration Task- FrankyWild- October 2023"/>
        <s v="General administration Task- Pastaman - October 2023"/>
        <s v="Payment to Oak Security for Starlay Finance Security Audit"/>
        <s v="Website hosting October 2023 frankywild"/>
        <s v="General curation October 2023 abdulbee"/>
        <s v="General administration October 2023 Tim Janssen"/>
        <s v="General administration October 2023 abdulbee"/>
        <s v="Payment to Archisinal for Milestone 1"/>
        <s v="Educational track management - Maarmapa - September and October 2023"/>
        <s v="General curation - Cappex - October 2023"/>
        <s v="Moderation team bounty- Oct 2023- Tim Janssen"/>
        <s v="Moderation team bounty- Oct 2023- PastaMan"/>
        <s v="Moderation team bounty- Oct 2023- Mister_Cole"/>
        <s v="Moderation team bounty- Oct 2023- LV"/>
        <s v="Moderation team bounty- Oct 2023- FrankyWild"/>
        <s v="Moderation team bounty- Oct 2023- Cappex"/>
        <s v="Moderation Team reward - October 2023 - Bounty Curator GrizzlyAdams"/>
        <s v="Moderation Team reward - October 2023 - Bounty Curator abdulbee"/>
        <s v="Moderation team bounty - october 2023 - Paradox"/>
        <s v="Moderation team bounty - october 2023 - Mudlebee"/>
        <s v="Moderation team bounty - october 2023 - MC"/>
        <s v="Moderation team bounty - october 2023 - Maarmapa"/>
        <s v="Moderation team bounty - october 2023 - Gr33n"/>
        <s v="Payment to ChainIDE + Polkaholic for Milestone 1"/>
        <s v="Payment to Starlay Finance for Milestone 1-1 and 1-2"/>
        <s v="Payment to Protofire for Milestone 1"/>
        <s v="Payment to Bright Inventions for Milestone 1"/>
        <s v="The second tranche of the Fruhzin/Limechain"/>
        <s v="Moderation team bounty - 1/2August + September - Tim Janssen"/>
        <s v="Moderation team bounty - 1/2August + September - Paradox"/>
        <s v="Moderation team bounty - 1/2August + September - MisterCole"/>
        <s v="Moderation team bounty - 1/2August + September - Maarmapa"/>
        <s v="Moderation team bounty - 1/2August + September - Gr33n"/>
        <s v="Moderation team bounty - 1/2August + September - Cappex"/>
        <s v="Moderation team bounty/curation - 1/2August + September - GrizzlyAdams"/>
        <s v="Moderation team bounty/curation - 1/2August + September - Abdulbee"/>
        <s v="Moderation team bounty - 1/2August + September - PastaMan"/>
        <s v="Moderation team bounty - 1/2August + September - Mudlebee"/>
        <s v="Moderation team bounty - 1/2August + September - MC"/>
        <s v="Moderation team bounty - 1/2August + September - LV"/>
        <s v="Moderation team bounty - 1/2August + September - Frankywild"/>
        <s v="Fintech Summit Online Sponsorship - Petr Mensik - Czech Republic"/>
        <s v="Cryto Expo Milan - Patrizia De Bella - Milan"/>
        <s v="Polkadot Championship 2023 - David Pethes - Budapest"/>
        <s v="Hackadot 2023 -  Sang-Hyun Rhee - South Korea"/>
        <s v="Payment to OpenZeppelin for OpenBrush security review"/>
        <s v="Payment to MuFi for achitecture milestone"/>
        <s v="Task 5 - Social Media Takedown - September 2023- FrankyWild"/>
        <s v="Task 5 - Social Media Takedown - September 2023- Tim Janssen"/>
        <s v="Test transaction to Facilitator address"/>
        <s v="Task 1 rewards- September 2023- TimJanssen"/>
        <s v="Task 1 rewards- September 2023- Frankywild"/>
        <s v="Task 1 rewards- September 2023- Pastaman"/>
        <s v="Task 2b (DNS registrars) - September 2023 - Tim Janssen"/>
        <s v="General Curation- September 2023- Kamala "/>
        <s v="General Administration-September 2023- CMalize"/>
        <s v="General Curator Rewad - September 2023 - Grizzly"/>
        <s v="General Adim Task - September 2023 - FrankyWild "/>
        <s v="General Admin Task - September 2023 - PastaMan"/>
        <s v="Maintenance of Phishing repo - September 2023 - Tim Janssen"/>
        <s v="Maintenance of Phishing repo - September 2023 - Pastaman"/>
        <s v="Maintenance of Phishing repo - September 2023 - Frankywild"/>
        <s v="General Curator reward - September 2023 - Cappex"/>
        <s v="General Admin bounty - September 2023 - Paradox"/>
        <s v="General Curator Reward - Abdulbee - September 2023"/>
        <s v="General Adminstration task reward - Tim - September 2023"/>
        <s v="General Adminstration task reward - Abdulbee - September 2023"/>
        <s v="Polkadot @Messari Mainnet - W3F - New York City"/>
        <s v="DOT HK Day - Vincent Chan - Honk Kong"/>
        <s v="Sub0 Closing Party - WebZero - Lisbon"/>
        <s v=" Cosmoverse sponsorship - Istanbul - Composable finance"/>
        <s v="EthRome sponsorship and hackathon - Rome- Pepe Senior Ambassador"/>
        <s v="Sub0 opening party - Lisbon - WebZero"/>
        <s v=" Sub0 breakfast - Lisbon - Aurora KodaDot"/>
        <s v="Mainnet New York - Polkadot and Frens Dinner - AJ and Dillon"/>
        <s v="Cosmoverse sponsorship - Istanbul - Composable finance "/>
        <s v="Sub0 breakfast - Lisbon - Aurora KodaDot"/>
        <s v="EthRome sponsorship and hackathon - Rome- Pepe Senior Ambassador "/>
        <s v="Task 5 Reward- Tim Janssen- August 2023"/>
        <s v="Task 5 Reward-FrankyWild- August 2023"/>
        <s v="Task 1 Reward- Tim Janssen"/>
        <s v="Task 1 Reward- PastaMan"/>
        <s v="Task 1 FrankyWild- August 2023"/>
        <s v="Task 1 Rward - PastaMan-August 2023"/>
        <s v="Task 1 Reward- FrankyWild- August 2023"/>
        <s v="Task 2b (DNS registrars) - August 2023 - Tim Janssen"/>
        <s v="General Curator Reward- Cappex-August 2023"/>
        <s v="Maintenance of phishing repo- pastaMan#9738- August 2023 "/>
        <s v="Maintenance of phishing repo- frankywild#8573- August 2023"/>
        <s v="Maintenance of phishing repo- Tim Janssen (Won't DM)#8682- August 2023"/>
        <s v="General Curation- Kamala Immaculate#5476- August 2023"/>
        <s v="General curation abdulbee - august 2023"/>
        <s v="General administration cmalize - august 2023"/>
        <s v="General administration frankywild - august 2023"/>
        <s v="General administration abdulbee - august 2023"/>
        <s v="General Curation - August 2023 - Grizzly"/>
        <s v="General Administration - August 2023 - Tim Janssen"/>
        <s v="General Administration - August 2023 - Pastaman"/>
        <s v="House of Chaos - Berlin Blockchain Week - WebZero"/>
        <s v="Polkadot @ Blockchain Rio 2023 - Sept 12-14, 2023 - John Rhodel"/>
        <s v="Events Bounty Curator Reward - Mark Ryan - Jan-April 2023"/>
        <s v="Events Bounty Curator Reward - Zoe Mechbach - Jan-April 2023"/>
        <s v="Polkadot Prodigy Hackathon - Georgi Ivanov - September 2023"/>
        <s v="Web3Foundation - Wanxiang Blockchain Week - September 2022"/>
        <s v="Polkadot @ Bali Blockchain Week SOULBOUND - Kresna Sucandra - August 22-23"/>
        <s v="General Curator Rewards- July 2023- Cmalize "/>
        <s v="General Curator Rewards- July 2023- Pastaman"/>
        <s v="General Curator Rewards- July 2023- Kamala"/>
        <s v="Task 1 rewards- July 2023- Tim Janssen"/>
        <s v="Task 1 rewards- July 2023- FrankyWild"/>
        <s v="Task 1 rewards- July 2023- Pastaman"/>
        <s v="Task 5 - Taking down sites - July 2023 reward - FrankyWild"/>
        <s v="Task 5- Taking down sites - Jully 2023  reward - Tim"/>
        <s v="Task 1 Rewards- July 2023- Cmalize"/>
        <s v="Task 1 Rewareds- July 2023- Tim Janssen"/>
        <s v="Task 11 - July 2023 - Tim Janssen"/>
        <s v="Task 11 - July 2023 - Pastaman"/>
        <s v="Task 11 - July 2023 - Frankywild"/>
        <s v="General Admin Task -July 2023 - Tim"/>
        <s v="General Admin Task - July 2023 - Paradox"/>
        <s v="General Curator reward -July 2023 - Cappex"/>
        <s v="General Curator Reward - Abdulbee - July 2023"/>
        <s v="General Adminstration task reward - Franky - July 2023"/>
        <s v="General Adminstration task reward - Abdulbee - July 2023"/>
        <s v="Task 7 - Milestone 5 (Editing/proofreading) - Michelle"/>
        <s v="Task 7 - milestone 5 (slides) - Paradox"/>
        <s v="Task 7 - milestone 5 (article) - Javier"/>
        <s v="Task 7 - milestone 5 - Video + task management - maarmaapa"/>
        <s v="Task 7 - Milestone 5 (infographic) - cmalize"/>
        <s v="Task 7 - Milestone 5 (Quiz) - Tim janssen"/>
        <s v="Task 2b - July 2023 - Tim Janssen"/>
        <s v="GC reward - July 2023 - Grizzly"/>
        <s v="PBA Closing Party - San Fransisco, USA - Oak Network"/>
        <s v="Blockchain Futurist Conf. Side Event with PizzaDAO - Toronto, Canada - AJ Recana"/>
        <s v="Protocol Berg, 2023 - Kreuzberg, Berlin -Raul Romanutti "/>
        <s v="Web3 Hackfest 2023 - Ho Chi Minh, Vietnam - Subwallet Team"/>
        <s v="Polkadot Meetup Ljubljana - June 15 - Patrik Kogoj "/>
        <s v="Web3 Weekends Tashkent - March 2023 - Alex Morozov "/>
        <s v="Polkadot Meetup in Montevideo - February 23 - Mario Maldonado"/>
        <s v="Performance Improvements for Reed Solomon Erasure Coding - M1"/>
        <s v="Polkadot Meetup in Bulgaria - June 17 - Kristiyan G"/>
        <s v="Polkadot Meetup in Munich #5 - June 2nd - Saro Posa"/>
        <s v="Polkadot Meetup in Zug - May 31 - David Bakk"/>
        <s v="sub0 side event closing party - 2nd allocation - November 28, 2022"/>
        <s v="PBA Opening Pary - Nodle and PolkaHaus - San Fransisco, CA"/>
        <s v="Task 11 - June 2023 - Tim Janssen"/>
        <s v="Task 11 - June 2023 - Pastaman"/>
        <s v="Task 11 - June 2023 - Frankywild"/>
        <s v="Task 5 June 2023 - FrankyWild"/>
        <s v="Task 5 June 2023 - Tim"/>
        <s v="General Adminstartion Task - frankywild"/>
        <s v="General Adminstartion Task - Abdulbee"/>
        <s v="Task 10 - June 2023 - Abdulbee"/>
        <s v="General Curator Reward - Grizzly - June 2023"/>
        <s v="General Adminstration task reward - Tim Janssen - June 2023"/>
        <s v="General Adminstration task reward - Paradox - June 2023"/>
        <s v="General Administration Task Reward- Pastaman- June 2023"/>
        <s v="General Administration Task Reward- CMalize- June 2023"/>
        <s v="General Administration Task Reward- Kamala- June 2023"/>
        <s v="Task 10 - June 2023 - Cappex"/>
        <s v="Task 2b - June 2023 - Tim Janssen"/>
        <s v="Task 1 - June 2023 - Tim Janssen"/>
        <s v="Task 1 - June 2023 - Frankywild"/>
        <s v="Task 1 - June 2023 - Pastaman"/>
        <s v="ParisDotComm 2023 - 2nd allocation - July 18-20"/>
        <s v="Social Hour @ Polkadot Decoded 2023 - June 27 - Zoe Meckbach"/>
        <s v="Panel and Networking Event for the Polkadot Ecosystem - Polkadot Decoded Side Event - June 29 - WebZero"/>
        <s v="Polkadot in Blockchain Sao Paulo - Eduardo Cardoso, Maarapa, and Lui5 - June 2023"/>
        <s v="Decoded 2023 Viewing Party in Sao Paulo, Brazil"/>
        <s v="Decoded 2023 Viewing Party in Stamford Connecticut, USA"/>
        <s v="Decoded 2023 Viewing Party in Budapest, Hungary"/>
        <s v="Decoded 2023 Viewing Party in Belgrade, Serbia"/>
        <s v="Decoded 2023 Viewing Party in Montreal, Quebec, Canada"/>
        <s v="Decoded Viewing Party - Ashley Wright - Toronto Canada"/>
        <s v="Decoded Viewing Party - Tashkent, Uzbekistan - Alex PromoTeam"/>
        <s v="Decoded Viewing Party - Rio de Janeiro - Raphael Kling"/>
        <s v="Decoded Viewing Party - Aba Nigeria - Malize fred"/>
        <s v="Polkadot Decoded extraordinary Side Event 2023 - Dubai - Hatem"/>
        <s v="Decoded 2023 Viewing Party in Bali, Indonesia"/>
        <s v="Decoded 2023 Viewing Party in Singapore"/>
        <s v="Decoded 2023 Viewing Party in Goma, DRC"/>
        <s v="Decoded 2023 Viewing Party in Madrid, Spain"/>
        <s v="Decoded 2023 - Viewing Party in Dallas, USA"/>
        <s v="Decoded 2023 - Viewing Party in Makati City, Metro Manila, Philippines"/>
        <s v="Decoded 2023 - Viewing Party in Bangalore, India"/>
        <s v="Decoded 2023 - Viewing Party in Rio Grande, Argentina"/>
        <s v="Decoded 2023 - Makati City, Metro Manila, Philippines"/>
        <s v="Decoded 2023 - Viewing Party in Taipei, Taiwan"/>
        <s v="Decoded 2023 - Viewing Party in Tampa, USA"/>
        <s v="Decoded 2023 - Viewing Party in Coimbatore, India"/>
        <s v="Decoded 2023 - Viewing Party in Indianapolis, USA"/>
        <s v="Decoded 2023 - Viewing Party in Colombo, Sri Lanka"/>
        <s v="Decoded 2023 - Viewing Party in New York City, USA"/>
        <s v="Decoded 2023 - Viewing Party in Kampala, Uganda"/>
        <s v="Decoded 2023 - Viewing Party in Kigali, Rwanda"/>
        <s v="Decoded 2023 - Viewing Party in Mexico City, Mexico"/>
        <s v="Decoded 2023 - Viewing Party in Arusha, Tanzania"/>
        <s v="Decoded 2023 - Viewing Party in Patagonia, Argentina"/>
        <s v="Decoded 2023 - Viewing Party in Omaha, Nebraska, USA"/>
        <s v="Decoded 2023 - Viewing Party in Curitiba, Brazil"/>
        <s v="Decoded 2023 - Viewing Party in Lima, Peru"/>
        <s v="Decoded 2023 - Viewing Party in Monterrey, Mexico"/>
        <s v="Decoded 2023 - Viewing Party in Guadalajara, Mexico"/>
        <s v="Decoded 2023 - Viewing Party in Buenos Aires, Argentina"/>
        <s v="Decoded 2023 - Viewing Party in Helsinki, Finland"/>
        <s v="Polkadot Decoded Satellite Event in Buenos Aires - July 6 - Polkadot Hub LATAM"/>
        <s v="Polkadot Decoded Satellite Event in Hanoi - July 2023 - Trang Nguyen Subwallet Team"/>
        <s v="Polkadot Blockchain Academy: Side Event in San Francisco - March 29, 2023"/>
        <s v="sub0 Side event Closing Party - t3rn - November 28, 2022"/>
        <s v="Polkadot Meetup @ BUIDL Vietnam 2023 - Cris Nguyen - June 26, 2023"/>
        <s v="Polkadot @ NFT Biarritz - August 21 - G'"/>
        <s v="POLKADOT JAPAN TOUR 2023 - June 28 - July 26 - Shunsuke Yoshioka"/>
        <s v="Task 5 May 2023 - Tim"/>
        <s v="Task 11 - May 2023 - Tim Janssen"/>
        <s v="Task 11 - May 2023 - Pastaman"/>
        <s v="Task 11 - May 2023 - Frankywild"/>
        <s v="General Curator Reward - Grizzly - May 2023"/>
        <s v="GC reward - May 2023 - Cappex"/>
        <s v="General Adminstration task reward - Tim Janssen - May 2023"/>
        <s v="General Adminstration task reward - Paradox - May 2023"/>
        <s v="Polkadot Blockchain Academy - Buenos Aires - PolkaSunset 2nd payout"/>
        <s v="ParisDotComm - July - Polkadot Francophonie"/>
        <s v="General Admin Reward-May 2023-Cmalize"/>
        <s v="General Admin Reward-May 2023- Pastaman"/>
        <s v="General Curator Reward- May 2023-Kamala"/>
        <s v="General Adminstration task reward - Abdulbee - May 2023"/>
        <s v="General Curator Reward -  Abdulbee - May 2023"/>
        <s v="General administration reward - May 2023 - Frankywild"/>
        <s v="Task 1 - May 2023 - Tim Janssen"/>
        <s v="Task 1 - May 2023 - Frankywild"/>
        <s v="Task 1 - May 2023 - Pastaman"/>
        <s v="Web3 Foundation - BarCamp - 30 November and 1 December 2022"/>
        <s v="Web3 Foundation - Messari Mainnet - 22 September, 2022"/>
        <s v="Primavera Pro Madrid - PolkaHaus - May 2023"/>
        <s v="Polkadot sponsorship UTXO.23 Prague - June 3 - KodaCon"/>
        <s v="Polkadot Prague - June 5 - KodaCon team"/>
        <s v="NFTs in Prague - KodaCon - June"/>
        <s v="Decoded Viewing Party - Bogota, Colombia - Santiago G."/>
        <s v="Decoded Viewing Party - Hanoi, Vietnam - DJ Ha Trang"/>
        <s v="Decoded Viewing Party - Maracaibo, Venezuela - Arlette S."/>
        <s v="Limechain - Polkadot Java Host"/>
        <s v="6 Polkadot Meetups in Arusha - Danson T. February - November 2022"/>
        <s v="Polkadot Meetup in Medellin - Donatello L. - February 23"/>
        <s v="Introduction to Polkadot's interoperability protocol: XCMP - Viktor V. - March 31"/>
        <s v="Polkadot Hub Meetup oin Bali - Kresna S. - February 16"/>
        <s v="Polkadot Meetup Zagreb - Patrik K. - April 25"/>
        <s v="Polkadot Meetup Ljubljana - Patrik K. - April 12"/>
        <s v="Online event: Polkadot Blockchain Academy Q&amp;A - Dimche R - April 3"/>
        <s v="General administration task - April 2023 - Pastaman"/>
        <s v="Task 7 (Education) - Milestone 4 - Javier"/>
        <s v="Task 7 (Education) - Milestone 4 - Maarmapa"/>
        <s v="Task 7 (Education) - Milestone 4 - cmalize"/>
        <s v="Task 7 (Education) - Milestone 4 - Tim Janssen"/>
        <s v="Task 2b (Database for DNS registrars) - April 2023 - Tim Janssen"/>
        <s v="General Administration reward-Cmalize-April 2023"/>
        <s v="General Curator reward-April 2023- Kamala Immaculate"/>
        <s v="Task 11 - April 2023 - Tim Janssen"/>
        <s v="Task 11 - April 2023 - Pastaman"/>
        <s v="Task 11 - April 2023 - Frankywild"/>
        <s v="General Adminstration task reward - Tim Janssen - April 2023"/>
        <s v="General Adminstration task reward - Paradox - April 2023"/>
        <s v="General Adminstration task reward - FrankyWild - April 2023"/>
        <s v="General Adminstration task reward - Abdulbee - April 2023"/>
        <s v="General Curator Reward -  Abdulbee - April 2023"/>
        <s v="General curator reward - Cappex - April 2023"/>
        <s v="Task 1 (sites takedown) - April 2023 - Tim Janssen"/>
        <s v="Task 1 (sites takedown) - April 2023 - Frankywild"/>
        <s v="Task 1 (sites takedown) - April 2023 - Pastaman"/>
        <s v="HackaDOT 2023 - June 9-11 - Soyoun(Raf)Jung"/>
        <s v="6 Polkadot Meetups in San Francisco with Ecosystem Teams - from April 24 - Yuvia Mendoza"/>
        <s v="Polkadot Workshop in Spanish (Rust, Ink! and Substrate courses) in Mexico City - June 7-9 - Polkadot Hub"/>
        <s v="Polkadot at BlockSplit: sponsorship and side event - May 22-24 - Xylo Drone"/>
        <s v="https://github.com/paritytech/frontier/security/advisories/GHSA-fcmm-54jp-7vf6"/>
        <s v="Polkadot in USe - Denver - 2nd payout - WebZero"/>
        <s v="Polkadot Side event - Austin Consensus - WebZero"/>
        <s v="PolkadotBled Mini-Conference - Damsky  - April 29, 2023"/>
        <s v="6 to 8 Polkadot Meetups in the Adriatic region - Patrik K - From April to August, 2023"/>
        <s v="Paris Blockchain Week: Women in Web3 Dinner - Lea Narzis - Outstanding Reward"/>
        <s v="Task 6- Have different entities add the GH phishing repo to their databases (one-off) milestones 1 +2  rewards -Maarmapa "/>
        <s v="Task 11 - March 2023 - Tim Janssen"/>
        <s v="Task 11 - March 2023 - Pastaman"/>
        <s v="Task 11 - March 2023 - Frankywild"/>
        <s v="Task 7 Milestone 2+3 - Maarmapa "/>
        <s v="Task 7 Milestone 2+3 - Tim Janssen"/>
        <s v="Task 7 - Milestone 2+3 - themanwithoutaame"/>
        <s v="Task 7 - Milestone 2+3 - cmalize"/>
        <s v="Task 7 - Milestone 2+3 - Paradox"/>
        <s v="Task 10 - March 2023 - General Curator rewards - Kamala"/>
        <s v="Academy Open Nights - Jose Belossi (Pepe) - second payout"/>
        <s v="Berlin Blockchain Week - WebZero - second payout"/>
        <s v="Task 10 - March 2023 - General Curator rewards - Mims4life"/>
        <s v="Task 2b- Databases for DNS Registrars March 2023 reward- Tim Janssen"/>
        <s v="Task 10- General curator reward march 2023- Abdulbee"/>
        <s v="Task 1-Detection and takedown of scam/phishing sites march 2023 reward- Tim Janssen"/>
        <s v="Task 1-Detection and takedown of scam/phishing sites march 2023 reward- frankywild"/>
        <s v="Task 1-Detection and takedown of scam/phishing sites march 2023 reward-pastaMan "/>
        <s v="Task 10 (GC Reward) - March 2023 - Cappex"/>
        <s v="Task 5 - March 2023 - Tim Janssen"/>
        <s v="Task 5 - March 2023 - Frankywild"/>
        <s v="Zprize collab winners 3"/>
        <s v="Zprize collab winners 2"/>
        <s v="Zprize collab winners 1"/>
        <s v="Blockchain Week - Rome - May - Marco"/>
        <s v="3 side events during the Polkadot Blockchain Academy in BA - payout difference minus leftover budget"/>
        <s v="Meetup rewards - Polkadot Meetup in Zagreb - February 16 2023 - Patrik K."/>
        <s v="Meetup rewards - 3 Polkadot Meetups in Ljubljana - October - February 2023 - Patrik K."/>
        <s v="Meetup rewards - Polkadot Meetup in Dubai - January 26, 2023 - Angela K."/>
        <s v="2 Polkadot Meetups in Dubai - Angela K. - January 26 and March 4, 2023"/>
        <s v="Beyond The Chain Vietnam: Stepping Into Web3 With Polkadot - April 8, 2023 - Mabel Nguyen"/>
        <s v="ZK Hackathon - Lisbon - Hector "/>
        <s v="Task 2b- Database of DNS Registrars(January and February rewards)- Tim Janssen "/>
        <s v="Task 5- Taking down sites- frankywild-January February"/>
        <s v="Task 5- Taking down sites- Tim Janssen- January and Febuary"/>
        <s v="Polkasunset - Feb 6th, 2023, Jose Belossi"/>
        <s v="EU Ambassador Gathering - Barcelona - Mimi and Albert"/>
        <s v="Lightning Boat - Dam Sky - December 5, 2022"/>
        <s v="Polkadot Side Event during Web3 festival in Hong Kong - Hao Ding - April 11, 2023"/>
        <s v="Task 10- GC- Abdulbee- December, February, January"/>
        <s v="Task 10 General Curator reward (December, January and February)- KANDY"/>
        <s v="Task 11-Maintenance of phishing repo (January and February reward) - Tim Janssen "/>
        <s v="Task 11-Maintenance of phishing repo (January and February reward)- pastaMan "/>
        <s v="Task 11- Maintenance of phishing repo (January and February reward)- frankywild"/>
        <s v="Task 10 (General curator reward) - Second half of February 2022 - Cappex"/>
        <s v="Task 10 (General curator reward) - December 2022, January/February 2023 - Mims4life"/>
        <s v="Rewards for Polkadot World meetup in Madrid - Georgi Ivanov"/>
        <s v="14th Polkadot Hungary Meetup in Budapest - Vktrometer#8040"/>
        <s v="Rewards for Central Asia Polkadot Days - Alex Promoteam"/>
        <s v="1st Meetup at the Polkadot Hub in Bali - Gabor"/>
        <s v="Rewards for 2 Polkadot Meetups in Munich - Saro Posa"/>
        <s v="13th Polkadot Meetup in Hungary - Vktrometer#8040"/>
        <s v="Rewards for Introduction of Polkadot in Kigali City - Joab Niwagaba"/>
        <s v="Rewards for 2 Meetups in Colombia - Simon Leon"/>
        <s v="Task 1 (sites takedown) - January and February 2023 - Tim Janssen"/>
        <s v="Task 1 (sites takedown) - January and February 2023 - Frankywild"/>
        <s v="Task 1 (sites takedown) - January and February 2023 - Pastaman"/>
        <s v="Paris Blockchain Week: Women in Web3 Dinner - March 23 - Lea Narzis"/>
        <s v="MetTel Innovation Summit 2023: Polkadot Sponsorship - April 25 - Alan Vey"/>
        <s v="Polkadot Meetup Feb. 11, 2023 - Central Asia - Alex PromoTeam"/>
        <s v="The Future of Polkadot event - Sub0 - November 30, 2022"/>
        <s v="Polkadot World 2nd Edition - Feb. 24 in Madrid - Rossmarie and Georgi"/>
        <s v="Bounty Curator Fee: September - December 2022 - Mark Ryan"/>
        <s v="Bounty Curator Fee: September - December 2022 - Zoe Meckbach"/>
        <s v="Polkadot meetup in Soroti - Sept. 17, 2022 - Okot Joshua"/>
        <s v="Polkadot in USe - EthDenver side event - by WebZero"/>
        <s v="Polkadot Event Mexico City - Cesar Garcia Escobedo - Aug 20-22, 2022"/>
        <s v="Academy Open Nights - Jose Belossi (Pepe) - Jan 19th, 25th, and Feb 1st, 2023"/>
        <s v="Polkadot Meetups in Goma - Abraham Mugisha - Jan.30 -&gt; Sept 31 2022"/>
        <s v="Polkadot Meetups in Gulu - Brian Ahimbisibwe - Jan.30 - April 3 - June 12 2022"/>
        <s v="Bond for Anti-Scam bounty top-up"/>
        <s v="Task 5 - December 2022 - Tim Janssen"/>
        <s v="Task 5 - December 2022 - Frankywild"/>
        <s v="Task 1: Detection and takedown of scam/phishing sites -December 2022 - Tim Janssen"/>
        <s v="Task 1: Detection and takedown of scam/phishing sites -December 2022 -frankywild"/>
        <s v="Task 1: Detection and takedown of scam/phishing sites -December 2022 - pastaMan"/>
        <s v="Task 11 - December 2022 - Tim Janssen"/>
        <s v="Task 11 - December 2022 - PastaMan"/>
        <s v="Task 11 - December 2022 - frankywild"/>
        <s v="Task 2b- Database of DNS registrars- Tim Janssen- December 2022"/>
        <s v="Polkadot World - Madrid - Albert - 2nd payout"/>
        <s v="Polkadot Metaverse Olympics - Budapest - Six - second payout"/>
        <s v="3 side events during the Polkadot Blockchain Academy in BA"/>
        <s v="Task 2b (Database for DNS registrars) - November 2022 - Tim Janssen"/>
        <s v="Task 10 (General curator reward) - November 2022 - Abdulbee"/>
        <s v="Task 5 - Fixed child curator reward - November 2022 - Mims4life"/>
        <s v="Task 10 (General curator reward) - November 2022 - Kamala Immaculate"/>
        <s v="Polkadot Unbounded in BKK - Demember 10th - Phala and Polkadot Ambassadors"/>
        <s v="Task 11: Maintenance of phishing repo- Tim Janssen"/>
        <s v="Task 11: Maintenance of phishing repo- pastaMan"/>
        <s v="Task 11: Maintenance of phishing repo- frankywild"/>
        <s v="Task 10 (General curator reward) - November 2022 - Mims4life"/>
        <s v="Task 1 - November 2022 - Tim Janssen"/>
        <s v="Task 1 - November 2022 - Frankywild"/>
        <s v="Task 1 - November 2022 - Pastaman"/>
        <s v="reimbursement of funds for setting up anti-scam executive team accounts - Frankywild"/>
        <s v="Polkadot Meetups in Madrid - July 18 and Sept 1 - Guillermo and Rossmarie"/>
        <s v="Polkadot Meetup in Mexico - December 17 - Polkadot Mexico"/>
        <s v="Polkadot LATAM Day - December 15 - Mario Maldonado"/>
        <s v="ParisDotComm - July 29-21, 2022 - Team rewards (part 2 - issue with plancks on child bounty 93)"/>
        <s v="ParisDotComm - July 29-21, 2022 - Team rewards"/>
        <s v="Sub0 Opening Event - Lisbon - 27th November 2022"/>
        <s v="The Sub0 Well-Being Retreat - Nov. 27-29, 2022 - Yip Ta"/>
        <s v="Task 4: Discord Tools-Milestone1-Bread"/>
        <s v="Polkadot meetup in Madrid - July 28, 2022 - Guillitolmo"/>
        <s v="Polkameetup Latam in Santiago - January 14, 2022 - Maarmapa Maldonado"/>
        <s v="Polkadot meetups in Kigali - From January 26 to September 30, 2022 - Joab Niwagaba"/>
        <s v="Polkadot Community Meetup in Berlin - Nov 7, 2022 - Carina Hahn"/>
        <s v="Polkadot Meetup in Brno - May 16, 2022 - Petr Mensik"/>
        <s v="Sub0 Side Event - Closing Party - 28 November 2022 - Matheus Braga de Moraes and ecosystem teams"/>
        <s v="Vietnam Blockchain Summit side event - Second distribution - October'22 - SubWallet + ecosystem partners "/>
        <s v="Introduction to Polkadot for developers - with the Macedonia Blockchain Group - October 12 - Dimche Risteski"/>
        <s v="Polkadot Meetups in Kampala - From March 31 to October 28, 2022 - Kamala Immaculate"/>
        <s v="Polkadot Meetup at the Nile University in Abuja on May 12 by Maimunat Ibrahim"/>
        <s v="Task 7 - Milestone 1 - Maarmapa"/>
        <s v="Task 7 - Milestone 1 - Tim Janssen"/>
        <s v="Task 7 - Milestone 1 - Themanwithoutaname"/>
        <s v="Polkadot Meetups in Munich - September and October - Saro Posa"/>
        <s v="Task 2b: Database for DNS registrars- Tim Janssen"/>
        <s v="Task 10 - October 2022 - Abdulbee"/>
        <s v="Task 1: Detection and takedown of scam/phishing sites- Tim Janssen"/>
        <s v="Task 1: Detection and takedown of scam/phishing sites- frankywild"/>
        <s v="Task 1: Detection and takedown of scam/phishing sites- pastaMan"/>
        <s v="Task 10 - October 2022 - BerryZ"/>
        <s v="Task 11 - October 2022 - Tim Janssen"/>
        <s v="Task 11 - October 2022 - PastaMan"/>
        <s v="Task 11 - October 2022 - Frankywild"/>
        <s v="Task 5 - October 2022 - Tim Janssen"/>
        <s v="Task 5 - October 2022 - Frankywild"/>
        <s v="Sub0 Dinner - Appilon - Phala - Lisbon Nov. 29"/>
        <s v="Sub0 side events: Breakfasts - November 28-29 - Alexandra Heller"/>
        <s v="DOTBrno - Damsky - November 10 2022"/>
        <s v="Polkadot meetups in Dodoma - Nicholaus Ngailo"/>
        <s v="Task 2b - October 2022 - Tim Janssen"/>
        <s v="Task 11: Maintenance of phishing repo- frankywild "/>
        <s v="Task 10 General curator reward- Abdulbee"/>
        <s v="Task 10 - Septebmer 2022 - BERRYZ"/>
        <s v="Task 1 - September 2022 - Tim Janssen"/>
        <s v="Task 1 - September 2022 - Frankywild"/>
        <s v="Task 1 - September 2022 - PastaMan"/>
        <s v="Vietnam Blockchain Summit side event - October'22 - SubWallet + ecosystem partners"/>
        <s v="September Event in Berlin; &quot;UI/UX in Web3 and Beyond&quot; Zoe Meckbach"/>
        <s v="Polkadot Event in Berlin (May) - Polkadot Ecosystem talks - Building Metaverse and NFT Infrastructure- Zoe Meckbach"/>
        <s v="April Event in Paris; &quot;Polkadot Ecosystem Talks; Parachains and Beyond&quot; Zoe Meckbach"/>
        <s v="Polkadot World conference - Madrid - Albert Burgos"/>
        <s v="Polkadot Metaverse Olympics - Budapest - Six"/>
        <s v="Task 2c - Educational material on how to detect scam sites and submit them for takedown - frankywild"/>
        <s v="Task 10 - August 2022 - BERRYZ"/>
        <s v="Task 10 - August 2022 - Abdulbee"/>
        <s v="Task 11 - August 2022 - Tim Janssen"/>
        <s v="Task 11 - August 2022 - pastaMan"/>
        <s v="Task 11 - August 2022 - frankywild"/>
        <s v="Task 1 - August 2022 - Tim Janssen"/>
        <s v="Task 1 - August 2022 - Frankywild"/>
        <s v="Task 1 - August 2022 - PastaMan"/>
        <s v="Task 11 - July 2022 - Tim Jansen"/>
        <s v="Task 11 - July 2022 - Frankywild"/>
        <s v="Task 11 - July 2022 - PastaMan"/>
        <s v="Typeform yearly subscription"/>
        <s v="https://github.com/paritytech/frontier/security/advisories/GHSA-hc8w-mx86-9fcj"/>
        <s v="July 2022 - Task 11 - Tim Janssen"/>
        <s v="July 2022 - Task 11 - pastaMan"/>
        <s v="July 2022 - Task 11 - Frankywild"/>
        <s v="July 2022 - Task 10 - Abdulbee"/>
        <s v="Task 2b - July 2022 - Tim Janssen"/>
        <s v="Task 1 - June 2022 - Tim Janssen"/>
        <s v="Task 1 - June 2022 - PastaMan"/>
        <s v="Task 1 - June 2022 - Frankywild"/>
        <s v="Task 10 - June 2022 - Abdulbee"/>
        <s v="Task 11 - June 2022 - PastaMan"/>
        <s v="Task 11 - June 2022 - Frankywild"/>
        <s v="Task 10 - June 2022 - Mark Crince"/>
        <s v="Task 2b - Database for sites takedown - pastaMan"/>
        <s v="Task 11 - May 2022 - pastaman"/>
        <s v="Task 11 - May 2022 - frankywild"/>
        <s v="Task1- May 2022 - pastaman"/>
        <s v="Task 1 - May 2022 - franky wild"/>
        <s v="Task 10 - May 2022 - Abdulbee"/>
        <s v="Task 10 - May 2022 - Mark Crince Dot Control"/>
        <s v="Child Bounty 11 - April 2022 - pastaMan"/>
        <s v="Child Bounty 11 - April 2022 - Frankywild"/>
        <s v="Child Bounty 11 - April 2022 - Dubstard"/>
        <s v="Child Bounty 11 - April 2022 - Vegas life"/>
        <s v="Child Bounty 1 - April 2022 - Vegas_life"/>
        <s v="Child Bounty 1 - April 2022 - frankywild"/>
        <s v="Child Bounty 1 - April 2022 - pastaMan"/>
        <s v="Child Bounty 1 - April 2022 - Dubstard"/>
        <s v="Child Bounty 10 - March and April reward for General Curator Abdulbee"/>
        <s v="Child Bounty 10 - March and April reward for General Curator Mark Crince"/>
        <s v="Child Bounty 1 - March 2022 - frankywild"/>
        <s v="Child Bounty 1 - March 2022 - pastaMan"/>
        <s v="Child Bounty 1 - March 2022 - Dubstard"/>
      </sharedItems>
    </cacheField>
    <cacheField name="DOT" numFmtId="165">
      <sharedItems containsSemiMixedTypes="0" containsString="0" containsNumber="1">
        <n v="5609.0"/>
        <n v="287.68"/>
        <n v="127.22"/>
        <n v="1319.52"/>
        <n v="11.18"/>
        <n v="7.19"/>
        <n v="14.28"/>
        <n v="60.11"/>
        <n v="38.56"/>
        <n v="804.12"/>
        <n v="9649.4"/>
        <n v="10131.88"/>
        <n v="21470.0"/>
        <n v="168.77"/>
        <n v="110.0"/>
        <n v="119.9"/>
        <n v="18360.0"/>
        <n v="301.66"/>
        <n v="512.59"/>
        <n v="21220.0"/>
        <n v="22.06"/>
        <n v="9.819035621"/>
        <n v="44.0780608114"/>
        <n v="57.1597433293"/>
        <n v="56.9917602472"/>
        <n v="56.2533346155"/>
        <n v="57.1737419195"/>
        <n v="42.0637855575"/>
        <n v="42.1024993127"/>
        <n v="5.5"/>
        <n v="8.69"/>
        <n v="8.1"/>
        <n v="6.7"/>
        <n v="4.8"/>
        <n v="6.05"/>
        <n v="22.43"/>
        <n v="160.7"/>
        <n v="31.5"/>
        <n v="10.93"/>
        <n v="32.58"/>
        <n v="33.98"/>
        <n v="30.47"/>
        <n v="36.86"/>
        <n v="17.02"/>
        <n v="7.65"/>
        <n v="12.42"/>
        <n v="8.79"/>
        <n v="20.8"/>
        <n v="31.72"/>
        <n v="9.9084626671"/>
        <n v="57.0720030402"/>
        <n v="42.0738875109"/>
        <n v="41.4736451113"/>
        <n v="56.7667864023"/>
        <n v="56.9246570771"/>
        <n v="56.9913135842"/>
        <n v="57.0895442263"/>
        <n v="5.9231000904"/>
        <n v="9.9342083802"/>
        <n v="50.1259896082"/>
        <n v="56.8945180315"/>
        <n v="55.8730534287"/>
        <n v="41.8751081741"/>
        <n v="41.9976186057"/>
        <n v="41.2312767568"/>
        <n v="38.56732652"/>
        <n v="42.0445374944"/>
        <n v="50.232023996"/>
        <n v="57.0429661745"/>
        <n v="57.0712420112"/>
        <n v="19.0"/>
        <n v="1583.16"/>
        <n v="1851.79"/>
        <n v="1668.9"/>
        <n v="1954.67"/>
        <n v="1583.17"/>
        <n v="305.64"/>
        <n v="1954.91"/>
        <n v="1726.05"/>
        <n v="1674.85"/>
        <n v="1670.0"/>
        <n v="30.45"/>
        <n v="30.13"/>
        <n v="4.12"/>
        <n v="17.42"/>
        <n v="21.28"/>
        <n v="69.83"/>
        <n v="7.38"/>
        <n v="230.54"/>
        <n v="371.66"/>
        <n v="373.3"/>
        <n v="1520.0"/>
        <n v="154.97"/>
        <n v="187.5"/>
        <n v="178.39"/>
        <n v="614.0"/>
        <n v="545.0"/>
        <n v="703.53"/>
        <n v="16603.34881"/>
        <n v="8442.380751"/>
        <n v="8864.499789"/>
        <n v="38.896"/>
        <n v="657.0"/>
        <n v="160.0"/>
        <n v="285.0"/>
        <n v="178.0"/>
        <n v="180.0"/>
        <n v="400.0"/>
        <n v="198.0"/>
        <n v="176.0"/>
        <n v="509.0"/>
        <n v="188.0"/>
        <n v="35.0091023666"/>
        <n v="70.0182047332"/>
        <n v="105.027307"/>
        <n v="140.0364094665"/>
        <n v="69.7"/>
        <n v="4201.09"/>
        <n v="294.82"/>
        <n v="384.694"/>
        <n v="935.537"/>
        <n v="34.85"/>
        <n v="39.0"/>
        <n v="100.36"/>
        <n v="200.7"/>
        <n v="133.82"/>
        <n v="22.3"/>
        <n v="167.27"/>
        <n v="41.82"/>
        <n v="83.63"/>
        <n v="55.76"/>
        <n v="234.18"/>
        <n v="128.81"/>
        <n v="2.71"/>
        <n v="20.13"/>
        <n v="2.03"/>
        <n v="20.36"/>
        <n v="7.75"/>
        <n v="2.9"/>
        <n v="5.23"/>
        <n v="23.25"/>
        <n v="15.51"/>
        <n v="3.19"/>
        <n v="11.08"/>
        <n v="17.95"/>
        <n v="3.65"/>
        <n v="68.09"/>
        <n v="39.774"/>
        <n v="6218.0"/>
        <n v="73.1"/>
        <n v="191.02"/>
        <n v="209.44"/>
        <n v="12257.1"/>
        <n v="1081.2"/>
        <n v="2.1041066667"/>
        <n v="15.7808"/>
        <n v="225.13"/>
        <n v="18.42"/>
        <n v="35354.0"/>
        <n v="625.86"/>
        <n v="15752.87"/>
        <n v="158.0"/>
        <n v="195.56"/>
        <n v="69.84"/>
        <n v="4.13"/>
        <n v="3.2"/>
        <n v="3.8"/>
        <n v="2.96"/>
        <n v="15.42"/>
        <n v="13.21"/>
        <n v="2.024"/>
        <n v="29.73"/>
        <n v="17.56"/>
        <n v="20.48"/>
        <n v="715.4"/>
        <n v="11464.0"/>
        <n v="1409.0"/>
        <n v="97605.0"/>
        <n v="369.8"/>
        <n v="2281.5"/>
        <n v="23.78"/>
        <n v="36.4"/>
        <n v="8.03"/>
        <n v="25.04"/>
        <n v="16.07"/>
        <n v="586.92"/>
        <n v="520.06"/>
        <n v="267.46"/>
        <n v="742.94"/>
        <n v="564.64"/>
        <n v="327.01"/>
        <n v="103.54"/>
        <n v="3413.26"/>
        <n v="202.94"/>
        <n v="31.33"/>
        <n v="3.37"/>
        <n v="3.44"/>
        <n v="31.48"/>
        <n v="127711.0"/>
        <n v="17832.0"/>
        <n v="78251.0"/>
        <n v="24233.0"/>
        <n v="22214.0"/>
        <n v="9.0893449352"/>
        <n v="35.1030809152"/>
        <n v="50.2168583865"/>
        <n v="49.4860590554"/>
        <n v="50.4710494582"/>
        <n v="37.4427615727"/>
        <n v="39.2937031666"/>
        <n v="57.3518605518"/>
        <n v="13.6663005353"/>
        <n v="51.5301789237"/>
        <n v="36.5125879997"/>
        <n v="39.7302025001"/>
        <n v="36.8401139056"/>
        <n v="41.3311491286"/>
        <n v="6.3847900114"/>
        <n v="9.4685008826"/>
        <n v="17.6022491867"/>
        <n v="35.3801549142"/>
        <n v="39.0045811439"/>
        <n v="15.1833122403"/>
        <n v="52.6713456434"/>
        <n v="54.8780309364"/>
        <n v="51.7711058721"/>
        <n v="31.2009930491"/>
        <n v="52.9311709432"/>
        <n v="38.447799643"/>
        <n v="38.3310113281"/>
        <n v="38.1952109621"/>
        <n v="38.7764365289"/>
        <n v="9.4776214399"/>
        <n v="16.2115568799"/>
        <n v="51.8674630347"/>
        <n v="51.6697611215"/>
        <n v="39.3209048853"/>
        <n v="34.6783800285"/>
        <n v="51.4647369152"/>
        <n v="54.7378019222"/>
        <n v="52.4605687742"/>
        <n v="39.1143960904"/>
        <n v="38.0818521158"/>
        <n v="38.1959753972"/>
        <n v="37.1172386658"/>
        <n v="1374.0"/>
        <n v="70.94"/>
        <n v="106.41"/>
        <n v="13666.7"/>
        <n v="7915.8"/>
        <n v="1229.5"/>
        <n v="5298.0"/>
        <n v="50.0"/>
        <n v="1719.0"/>
        <n v="1797.0"/>
        <n v="1754.0"/>
        <n v="146.0"/>
        <n v="4255.0"/>
        <n v="2142.0"/>
        <n v="6217.0"/>
        <n v="4389.0"/>
        <n v="377.91"/>
        <n v="248.6"/>
        <n v="985.12"/>
        <n v="100.5"/>
        <n v="110.8647450111"/>
        <n v="230.056664203"/>
        <n v="340.182310914"/>
        <n v="74.8"/>
        <n v="59.9"/>
        <n v="37.4"/>
        <n v="149.6"/>
        <n v="179.6"/>
        <n v="215.5"/>
        <n v="251.42"/>
        <n v="89.8"/>
        <n v="107.75"/>
        <n v="1000.0"/>
        <n v="948.9"/>
        <n v="1287.59"/>
        <n v="16.47"/>
        <n v="132.36"/>
        <n v="91.09"/>
        <n v="132.38"/>
        <n v="202.02"/>
        <n v="221.5"/>
        <n v="201.27"/>
        <n v="220.67"/>
        <n v="237.21"/>
        <n v="19.41"/>
        <n v="31.62"/>
        <n v="198.55"/>
        <n v="58.08"/>
        <n v="230.37"/>
        <n v="124.2"/>
        <n v="176.44"/>
        <n v="239.78"/>
        <n v="42.7"/>
        <n v="327.0"/>
        <n v="8219.47"/>
        <n v="1282.7"/>
        <n v="2743.39"/>
        <n v="844.67"/>
        <n v="193.29"/>
        <n v="5159.13"/>
        <n v="2155.77"/>
        <n v="726.21"/>
        <n v="558.699"/>
        <n v="495.05"/>
        <n v="254.597"/>
        <n v="707.214"/>
        <n v="537.482"/>
        <n v="311.287"/>
        <n v="98.557"/>
        <n v="1.0"/>
        <n v="21810.74"/>
        <n v="45.6"/>
        <n v="10295.5"/>
        <n v="5147.75"/>
        <n v="396.26"/>
        <n v="2221.0"/>
        <n v="3480.0"/>
        <n v="6361.8"/>
        <n v="70702.8"/>
        <n v="6278.0"/>
        <n v="135.0"/>
        <n v="1620.0"/>
        <n v="1057.0"/>
        <n v="748.336"/>
        <n v="283.937"/>
        <n v="289.129"/>
        <n v="83.79"/>
        <n v="30.16"/>
        <n v="297.9"/>
        <n v="55.86"/>
        <n v="3678.0"/>
        <n v="8389.3"/>
        <n v="56.75"/>
        <n v="22.7"/>
        <n v="136.2"/>
        <n v="54.945"/>
        <n v="65.934"/>
        <n v="158.2417"/>
        <n v="184.6153"/>
        <n v="27.4725"/>
        <n v="27.4725274725"/>
        <n v="54.9450549451"/>
        <n v="109.8901098901"/>
        <n v="4.634"/>
        <n v="7.5542084484"/>
        <n v="43.8915351093"/>
        <n v="31.6616067615"/>
        <n v="27.9057013486"/>
        <n v="40.7016601486"/>
        <n v="46.9326446009"/>
        <n v="42.4525152839"/>
        <n v="40.6987992742"/>
        <n v="46.409104585"/>
        <n v="40.7588776367"/>
        <n v="29.0681975226"/>
        <n v="30.5686286311"/>
        <n v="27.0290015761"/>
        <n v="2.5343189018"/>
        <n v="2.6399155227"/>
        <n v="7.5266020233"/>
        <n v="41.1862546086"/>
        <n v="31.0299683697"/>
        <n v="28.3071654521"/>
        <n v="27.4008445938"/>
        <n v="42.1563135132"/>
        <n v="42.0311446223"/>
        <n v="45.4050151822"/>
        <n v="40.8562638961"/>
        <n v="43.9911756642"/>
        <n v="27.9480934171"/>
        <n v="29.1770030555"/>
        <n v="7.4983040792"/>
        <n v="27.6402691255"/>
        <n v="27.647914591"/>
        <n v="29.7332153043"/>
        <n v="40.7255517467"/>
        <n v="41.6232015801"/>
        <n v="42.0309668041"/>
        <n v="44.5058751775"/>
        <n v="41.6005479566"/>
        <n v="46.4031161503"/>
        <n v="28.303513257"/>
        <n v="27.5771940352"/>
        <n v="1.6895459345"/>
        <n v="79.121"/>
        <n v="79.1208791209"/>
        <n v="158.2417582418"/>
        <n v="43.1499"/>
        <n v="25073.0"/>
        <n v="14.18"/>
        <n v="15.8"/>
        <n v="21.0"/>
        <n v="2064.7"/>
        <n v="942.1"/>
        <n v="55.0"/>
        <n v="406.9"/>
        <n v="11867.5"/>
        <n v="147.0742"/>
        <n v="147.07"/>
        <n v="161.26"/>
        <n v="173.3375"/>
        <n v="161.2564"/>
        <n v="38028.0"/>
        <n v="10493.0"/>
        <n v="67438.67"/>
        <n v="22826.0"/>
        <n v="699.6"/>
        <n v="18.7"/>
        <n v="135.3"/>
        <n v="289.7"/>
        <n v="4854.9"/>
        <n v="6865.6"/>
        <n v="8722.9"/>
        <n v="275.6"/>
        <n v="508.8"/>
        <n v="33100.0"/>
        <n v="9310.98"/>
        <n v="56.98"/>
        <n v="28.49"/>
        <n v="151.96"/>
        <n v="75.98"/>
        <n v="112.07"/>
        <n v="7.7868168139"/>
        <n v="44.6118381964"/>
        <n v="44.5762720219"/>
        <n v="43.8945870109"/>
        <n v="44.5436696953"/>
        <n v="44.5110673687"/>
        <n v="44.3747303665"/>
        <n v="30.3983469132"/>
        <n v="30.4246150938"/>
        <n v="30.432697611"/>
        <n v="30.4387594988"/>
        <n v="30.3639962154"/>
        <n v="44.478465042"/>
        <n v="1.6234005066"/>
        <n v="2.5365632916"/>
        <n v="7.786445359"/>
        <n v="44.599992247"/>
        <n v="44.5436903499"/>
        <n v="44.6474043708"/>
        <n v="44.2947766998"/>
        <n v="43.9777081216"/>
        <n v="44.4133070094"/>
        <n v="30.4185572293"/>
        <n v="30.3943145058"/>
        <n v="30.4084560945"/>
        <n v="30.4064358675"/>
        <n v="30.345829059"/>
        <n v="44.5762861851"/>
        <n v="7.7862511851"/>
        <n v="44.6148215109"/>
        <n v="44.5259591656"/>
        <n v="44.5881628073"/>
        <n v="44.549655791"/>
        <n v="44.5022625401"/>
        <n v="44.5289212437"/>
        <n v="30.3054775956"/>
        <n v="30.1903704974"/>
        <n v="29.9399620732"/>
        <n v="30.4084681572"/>
        <n v="44.4222864294"/>
        <n v="19520.0"/>
        <n v="10534.174"/>
        <n v="37059.8"/>
        <n v="288.7153342734"/>
        <n v="289.2576924468"/>
        <n v="883.0675778284"/>
        <n v="883.6099360018"/>
        <n v="312.6046667411"/>
        <n v="28.94"/>
        <n v="57.88"/>
        <n v="28.941"/>
        <n v="57.883"/>
        <n v="86.825"/>
        <n v="429.164"/>
        <n v="290.722"/>
        <n v="788.244"/>
        <n v="59.93"/>
        <n v="71.92"/>
        <n v="143.83"/>
        <n v="47.94"/>
        <n v="86.3"/>
        <n v="172.6"/>
        <n v="95.888"/>
        <n v="86.299"/>
        <n v="201.366"/>
        <n v="143.833"/>
        <n v="172.599"/>
        <n v="3373.2"/>
        <n v="5944.5"/>
        <n v="5548.2"/>
        <n v="179.53"/>
        <n v="211.59"/>
        <n v="196.85"/>
        <n v="39.6"/>
        <n v="1145.9"/>
        <n v="7384.4"/>
        <n v="1188.9"/>
        <n v="23297.22"/>
        <n v="6678.0"/>
        <n v="371.0"/>
        <n v="950.0"/>
        <n v="796.6"/>
        <n v="768.5"/>
        <n v="233.8"/>
        <n v="193.5"/>
        <n v="91.5"/>
        <n v="132.8"/>
        <n v="42.1"/>
        <n v="6008.0"/>
        <n v="9085.0"/>
        <n v="16041.0"/>
        <n v="21685.91"/>
        <n v="32.9"/>
        <n v="32.034"/>
        <n v="244.89"/>
        <n v="8.8170462895"/>
        <n v="65.0"/>
        <n v="10.6400337328"/>
        <n v="59.2081051245"/>
        <n v="59.3395701806"/>
        <n v="59.2193735579"/>
        <n v="59.1292260909"/>
        <n v="59.2569350025"/>
        <n v="59.3621070474"/>
        <n v="59.1968366912"/>
        <n v="43.9903885046"/>
        <n v="44.0405994743"/>
        <n v="44.0573364643"/>
        <n v="44.0071254945"/>
        <n v="43.9206510466"/>
        <n v="3.6737692873"/>
        <n v="10.6387804937"/>
        <n v="44.0852314475"/>
        <n v="43.9916946446"/>
        <n v="43.9836772043"/>
        <n v="44.0237644056"/>
        <n v="59.1713825279"/>
        <n v="59.326121289"/>
        <n v="59.214565438"/>
        <n v="59.347712744"/>
        <n v="59.3009312581"/>
        <n v="59.2253611655"/>
        <n v="43.6816869549"/>
        <n v="44.0397827553"/>
        <n v="10.6427783405"/>
        <n v="44.0157216829"/>
        <n v="44.0665172801"/>
        <n v="44.0077013255"/>
        <n v="59.2469107208"/>
        <n v="58.9409204783"/>
        <n v="59.3261081953"/>
        <n v="59.3513073918"/>
        <n v="59.3189084249"/>
        <n v="59.2073119835"/>
        <n v="59.2865094581"/>
        <n v="40697.67"/>
        <n v="800.12"/>
        <n v="473.66"/>
        <n v="1034.84"/>
        <n v="652.39"/>
        <n v="325.93"/>
        <n v="887.1"/>
        <n v="367.5238795004"/>
        <n v="267.8912564291"/>
        <n v="367.6708302719"/>
        <n v="81.4107274063"/>
        <n v="1008.0"/>
        <n v="5167.0"/>
        <n v="73.3460466"/>
        <n v="105.618307"/>
        <n v="246.442717"/>
        <n v="7.0525"/>
        <n v="14.3467"/>
        <n v="58.9188392988"/>
        <n v="73.87"/>
        <n v="88.64"/>
        <n v="106.37"/>
        <n v="177.28"/>
        <n v="212.73"/>
        <n v="35.46"/>
        <n v="73.866"/>
        <n v="800.1181858"/>
        <n v="473.6593293"/>
        <n v="1034.835278"/>
        <n v="177.278"/>
        <n v="212.734"/>
        <n v="29.546"/>
        <n v="8324.0"/>
        <n v="20722.0"/>
        <n v="212.7"/>
        <n v="233.21"/>
        <n v="250.68"/>
        <n v="6828.0"/>
        <n v="4833.0"/>
        <n v="67.91"/>
        <n v="56.69"/>
        <n v="31.43"/>
        <n v="19.4"/>
        <n v="174.6"/>
        <n v="267.2"/>
        <n v="294.2"/>
        <n v="23286.0"/>
        <n v="1769.3"/>
        <n v="13993.0"/>
        <n v="15642.0"/>
        <n v="1071.0"/>
        <n v="59.07"/>
        <n v="141.78"/>
        <n v="47.3933649"/>
        <n v="324.79"/>
        <n v="317.82"/>
        <n v="827.53"/>
        <n v="59.073724"/>
        <n v="141.776938"/>
        <n v="19.494328"/>
        <n v="85.0661626"/>
        <n v="170.132325"/>
        <n v="70.888468"/>
        <n v="198.487713"/>
        <n v="5876.0"/>
        <n v="9379.0"/>
        <n v="172.754195459"/>
        <n v="189.4126357354"/>
        <n v="203.6031589339"/>
        <n v="2385.0"/>
        <n v="317.0"/>
        <n v="146.1"/>
        <n v="11074.0"/>
        <n v="935.5"/>
        <n v="1172.3"/>
        <n v="288.0"/>
        <n v="744.5"/>
        <n v="277.0"/>
        <n v="1987.0"/>
        <n v="7056.2"/>
        <n v="433.5"/>
        <n v="143.106457"/>
        <n v="3000.0"/>
        <n v="622.7783957484"/>
        <n v="761.6734643431"/>
        <n v="1294.9697194414"/>
        <n v="320.0609639931"/>
        <n v="274.337969137"/>
        <n v="95.2562392837"/>
        <n v="228.6149742808"/>
        <n v="76.2049914269"/>
        <n v="114.3074871404"/>
        <n v="137.1689845685"/>
        <n v="33106.0"/>
        <n v="266.0079802394"/>
        <n v="313.5094052822"/>
        <n v="266.1596958175"/>
        <n v="291.6587497625"/>
        <n v="4174.0"/>
        <n v="1706.0"/>
        <n v="89.0868597"/>
        <n v="108.991825613"/>
        <n v="174.8410535876"/>
        <n v="1636.5611072015"/>
        <n v="996.8707482993"/>
        <n v="465.8831808586"/>
        <n v="117.2882946282"/>
        <n v="140.7459535538"/>
        <n v="8.4400656814"/>
        <n v="337.7902885292"/>
        <n v="168.8951442646"/>
        <n v="20581.0"/>
        <n v="10.0117288295"/>
        <n v="394.0886699507"/>
        <n v="5870.0"/>
        <n v="562.9838214154"/>
        <n v="347.6533399553"/>
        <n v="409.7342935187"/>
        <n v="381.1770548796"/>
        <n v="30150.0"/>
        <n v="12690.0"/>
        <n v="8068.0"/>
        <n v="2437.0"/>
        <n v="29427.0"/>
        <n v="610.3038309115"/>
        <n v="742.4042272127"/>
        <n v="681.6380449141"/>
        <n v="446.0"/>
        <n v="5109.0"/>
        <n v="34498.0"/>
        <n v="9180.0"/>
        <n v="74145.0"/>
        <n v="9630.0"/>
        <n v="82.5242718447"/>
        <n v="160.1941747573"/>
        <n v="1466.129190115"/>
        <n v="1707.4798140445"/>
        <n v="1707.3330070957"/>
        <n v="123.1830500123"/>
        <n v="147.8196600148"/>
        <n v="177.3835920177"/>
        <n v="98.5464400099"/>
        <n v="206.9475240207"/>
        <n v="7556.0"/>
        <n v="15825.0"/>
        <n v="7819.0"/>
        <n v="12053.0"/>
        <n v="6515.0"/>
        <n v="8672.0"/>
        <n v="169.0"/>
        <n v="672.0"/>
        <n v="867.2"/>
        <n v="1205.3"/>
        <n v="16.9"/>
        <n v="651.5"/>
        <n v="66.3"/>
        <n v="114.1147795258"/>
        <n v="78.6616441392"/>
        <n v="2140.5716818081"/>
        <n v="2876.2242410813"/>
        <n v="66.47462885"/>
        <n v="110.0352112676"/>
        <n v="88.0281690141"/>
        <n v="132.0422535211"/>
        <n v="158.4507042254"/>
        <n v="184.8591549296"/>
        <n v="19024.0"/>
        <n v="9295.0"/>
        <n v="17698.0"/>
        <n v="10415.0"/>
        <n v="4659.9"/>
        <n v="119.28429"/>
        <n v="143.14115"/>
        <n v="99.40357"/>
        <n v="1954.22068"/>
        <n v="1419.54871"/>
        <n v="68.5990338164"/>
        <n v="1052.75453"/>
        <n v="1557.40705"/>
        <n v="1033.87191"/>
        <n v="77.29468599"/>
        <n v="115.9420289855"/>
        <n v="139.1304347826"/>
        <n v="96.61835749"/>
        <n v="139.13043478"/>
        <n v="162.31884058"/>
        <n v="270.531401"/>
        <n v="386.47343"/>
        <n v="144.9275362"/>
        <n v="48.30917874"/>
        <n v="173.9130435"/>
        <n v="4846.0"/>
        <n v="1072.0"/>
        <n v="2076.0"/>
        <n v="10317.0"/>
        <n v="56.8"/>
        <n v="265.2"/>
        <n v="571.8"/>
        <n v="2200.0"/>
        <n v="29.5"/>
        <n v="107.7"/>
        <n v="169.6"/>
        <n v="8137.02"/>
        <n v="10133.0"/>
        <n v="76.5843385027"/>
        <n v="89.0292935095"/>
        <n v="104.34616121"/>
        <n v="140.1050788091"/>
        <n v="163.4559252773"/>
        <n v="97.29519362"/>
        <n v="116.7542323409"/>
        <n v="81.72796264"/>
        <n v="303.9891029"/>
        <n v="844.9114614"/>
        <n v="150.0681066"/>
        <n v="21418.579"/>
        <n v="4938.7"/>
        <n v="3316.7"/>
        <n v="8597.0"/>
        <n v="717.8"/>
        <n v="1058.2"/>
        <n v="880.4"/>
        <n v="910.0"/>
        <n v="783.0"/>
        <n v="974.0"/>
        <n v="911.0"/>
        <n v="767.0"/>
        <n v="958.0"/>
        <n v="5639.0"/>
        <n v="843.0"/>
        <n v="1027.0"/>
        <n v="728.0"/>
        <n v="1052.0"/>
        <n v="1030.563"/>
        <n v="906.895"/>
        <n v="653.171"/>
        <n v="466.746"/>
        <n v="1005.623"/>
        <n v="999.646"/>
        <n v="971.821"/>
        <n v="959.322"/>
        <n v="831.664"/>
        <n v="824.45"/>
        <n v="803.839"/>
        <n v="753.548"/>
        <n v="655.232"/>
        <n v="616.804"/>
        <n v="616.277"/>
        <n v="519.197"/>
        <n v="508.333"/>
        <n v="469.429"/>
        <n v="432.836"/>
        <n v="345.197"/>
        <n v="654.646"/>
        <n v="8118.789"/>
        <n v="11466.0"/>
        <n v="466.7"/>
        <n v="1083.18"/>
        <n v="1065.2"/>
        <n v="2024.5"/>
        <n v="15364.4"/>
        <n v="144.7640533935"/>
        <n v="74.9063670411"/>
        <n v="93.6329588014"/>
        <n v="93.04056959"/>
        <n v="112.3595505617"/>
        <n v="134.8314606741"/>
        <n v="1508.0"/>
        <n v="38779.0"/>
        <n v="111.94"/>
        <n v="134.32"/>
        <n v="93.28"/>
        <n v="156.3081503536"/>
        <n v="93.0405656866"/>
        <n v="133.9784146"/>
        <n v="295.6457015"/>
        <n v="653.1075549"/>
        <n v="253.4425009"/>
        <n v="7375.5"/>
        <n v="5044.9"/>
        <n v="7929.7"/>
        <n v="8897.0"/>
        <n v="29109.0"/>
        <n v="8996.0"/>
        <n v="29433.0"/>
        <n v="7005.0"/>
        <n v="369.6"/>
        <n v="919.4"/>
        <n v="125.8"/>
        <n v="37384.0"/>
        <n v="288.8"/>
        <n v="27.9"/>
        <n v="55.9"/>
        <n v="128.8475304"/>
        <n v="89.47745168"/>
        <n v="143.1639227"/>
        <n v="85.89835361"/>
        <n v="42.94917681"/>
        <n v="41.393583"/>
        <n v="100.16"/>
        <n v="83.47"/>
        <n v="68.6341798215"/>
        <n v="102.9512697323"/>
        <n v="123.5415236788"/>
        <n v="144.1317776253"/>
        <n v="85.7927478"/>
        <n v="185.9528712"/>
        <n v="1054.587051"/>
        <n v="298.4099748"/>
        <n v="20146.0"/>
        <n v="3140.0"/>
        <n v="12000.0"/>
        <n v="9427.0"/>
        <n v="325.0"/>
        <n v="12583.0"/>
        <n v="783.2"/>
        <n v="1736.1"/>
        <n v="890.0"/>
        <n v="102.4751694781"/>
        <n v="63.43165239"/>
        <n v="272.7561052964"/>
        <n v="85.6327307325"/>
        <n v="209.3244529019"/>
        <n v="228.3539486202"/>
        <n v="352.0456707896"/>
        <n v="78.8767944471"/>
        <n v="218.0"/>
        <n v="1861.0"/>
        <n v="28.3956460009"/>
        <n v="1216.9525624735"/>
        <n v="1371.2409995765"/>
        <n v="79.41550191"/>
        <n v="72.26810673"/>
        <n v="2365.0"/>
        <n v="5912.5"/>
        <n v="15372.5"/>
        <n v="236.5"/>
        <n v="591.25"/>
        <n v="1537.25"/>
        <n v="2732.0"/>
        <n v="652.6"/>
        <n v="47.8"/>
        <n v="143.4"/>
        <n v="31.8"/>
        <n v="123.3"/>
        <n v="785.2"/>
        <n v="6551.0"/>
        <n v="137.6823471562"/>
        <n v="144.2386494018"/>
        <n v="170.4638583839"/>
        <n v="4474.1"/>
        <n v="33807.0"/>
        <n v="3380.7"/>
        <n v="742.8"/>
        <n v="2539.4"/>
        <n v="245.8613342075"/>
        <n v="131.1260449107"/>
        <n v="40.976889"/>
        <n v="245.861334"/>
        <n v="48.6"/>
        <n v="24.3"/>
        <n v="32.4"/>
        <n v="97.1"/>
        <n v="1078.7"/>
        <n v="1964.0"/>
        <n v="628.75"/>
        <n v="3793.0"/>
        <n v="7307.3"/>
        <n v="129.4"/>
        <n v="3074.6"/>
        <n v="844.8"/>
        <n v="579.3"/>
        <n v="44.38"/>
        <n v="6303.0"/>
        <n v="49.2"/>
        <n v="10821.0"/>
        <n v="229.6"/>
        <n v="106.6"/>
        <n v="500.0"/>
        <n v="203.645365"/>
        <n v="113.636364"/>
        <n v="140.639063906"/>
        <n v="248.649864986"/>
        <n v="376.6818873668"/>
        <n v="866.8645357686"/>
        <n v="201.2480974125"/>
        <n v="91.4494742"/>
        <n v="114.7614761476"/>
        <n v="4750.9"/>
        <n v="17624.6"/>
        <n v="14602.0"/>
        <n v="76.8386388"/>
        <n v="90.8595312"/>
        <n v="145.1642170205"/>
        <n v="3672.0"/>
        <n v="72.5821085103"/>
        <n v="683.493333"/>
        <n v="1055.843333"/>
        <n v="382.943333"/>
        <n v="69.0"/>
        <n v="65.42"/>
        <n v="808.2"/>
        <n v="5325.9"/>
        <n v="3564.0"/>
        <n v="36.0"/>
        <n v="5075.4"/>
        <n v="1636.0"/>
        <n v="473.1182795699"/>
        <n v="269.0"/>
        <n v="53.8"/>
        <n v="206.0"/>
        <n v="26.9"/>
        <n v="35.8"/>
        <n v="1547.92"/>
        <n v="25.2"/>
        <n v="134.4"/>
        <n v="47.0"/>
        <n v="274.20229817"/>
        <n v="99.620190033"/>
        <n v="93.7022241949"/>
        <n v="52.7240773287"/>
        <n v="77.3036487322"/>
        <n v="553.9642452344"/>
        <n v="959.2192684183"/>
        <n v="215.2316331787"/>
        <n v="61.842919"/>
        <n v="192.93100753"/>
        <n v="118.845500508"/>
        <n v="1676.0"/>
        <n v="1943.0"/>
        <n v="3158.0"/>
        <n v="113.95"/>
        <n v="84.69"/>
        <n v="63.0715862504"/>
        <n v="78.839482813"/>
        <n v="448.47"/>
        <n v="903.3"/>
        <n v="517.55"/>
        <n v="1246.0"/>
        <n v="61.0"/>
        <n v="21874.0"/>
        <n v="6110.59"/>
        <n v="134.138162307"/>
        <n v="17.2699640785"/>
        <n v="69.0798563139"/>
        <n v="55.7335934234"/>
        <n v="684.266667"/>
        <n v="936.616667"/>
        <n v="585.966667"/>
        <n v="651.759024"/>
        <n v="1084.97247"/>
        <n v="645.285007"/>
        <n v="3468.0"/>
        <n v="8800.0"/>
        <n v="49.6093266"/>
        <n v="62.0116581917"/>
        <n v="27.23"/>
        <n v="163.92"/>
        <n v="852.58"/>
        <n v="1211.21"/>
        <n v="71.367399372"/>
        <n v="57.0450656"/>
        <n v="100.17"/>
        <n v="15.0"/>
        <n v="220.01"/>
        <n v="443.75"/>
        <n v="25.0"/>
        <n v="168.145"/>
        <n v="554.47625"/>
        <n v="494.47625"/>
        <n v="464.0325"/>
        <n v="27.0"/>
        <n v="373.0"/>
        <n v="238.0"/>
        <n v="140.0"/>
      </sharedItems>
    </cacheField>
    <cacheField name="USD Proposal Time" numFmtId="164">
      <sharedItems containsSemiMixedTypes="0" containsString="0" containsNumber="1">
        <n v="31639.07334804535"/>
        <n v="1661.539273376465"/>
        <n v="717.6186327934265"/>
        <n v="7621.086978607178"/>
        <n v="63.06379747390747"/>
        <n v="41.526930532455445"/>
        <n v="80.55018138885498"/>
        <n v="339.06662487983704"/>
        <n v="217.50805282592773"/>
        <n v="4644.316464500427"/>
        <n v="55731.566547966"/>
        <n v="58518.20263187408"/>
        <n v="124003.2264995575"/>
        <n v="1025.09463534832"/>
        <n v="668.1306505203247"/>
        <n v="738.9150692462922"/>
        <n v="113148.29584121704"/>
        <n v="1859.0585470294955"/>
        <n v="3158.9697693490984"/>
        <n v="134960.73072433472"/>
        <n v="140.30319131851195"/>
        <n v="62.44977485478"/>
        <n v="280.3396463722058"/>
        <n v="363.54009084532254"/>
        <n v="362.4717063255515"/>
        <n v="357.7752660409233"/>
        <n v="363.62912288879585"/>
        <n v="267.5287104557925"/>
        <n v="267.774932731517"/>
        <n v="34.98039674758911"/>
        <n v="55.269026861190795"/>
        <n v="51.51658430099487"/>
        <n v="42.61248331069947"/>
        <n v="30.528346252441406"/>
        <n v="38.47843642234802"/>
        <n v="142.6564180088043"/>
        <n v="1022.0635922431945"/>
        <n v="200.34227228164673"/>
        <n v="69.51558844566345"/>
        <n v="207.21115018844603"/>
        <n v="216.11525117874143"/>
        <n v="193.79139798164368"/>
        <n v="234.4322589302063"/>
        <n v="108.24842775344848"/>
        <n v="48.65455183982849"/>
        <n v="78.99209592819214"/>
        <n v="55.90503407478332"/>
        <n v="132.2895004272461"/>
        <n v="201.7414881515503"/>
        <n v="66.80004983655928"/>
        <n v="384.76328522852845"/>
        <n v="283.65023687054924"/>
        <n v="279.60357256404376"/>
        <n v="385.44917994659824"/>
        <n v="382.705601074319"/>
        <n v="383.7699204645901"/>
        <n v="384.21929976244985"/>
        <n v="384.88154293863346"/>
        <n v="39.93186375313368"/>
        <n v="66.97362014468268"/>
        <n v="337.9352293522467"/>
        <n v="383.56673155267225"/>
        <n v="376.68030641632043"/>
        <n v="282.3101228638822"/>
        <n v="283.13605350633713"/>
        <n v="277.9695937417626"/>
        <n v="260.0099955115321"/>
        <n v="283.4523673694193"/>
        <n v="338.6500831724007"/>
        <n v="384.56752690142713"/>
        <n v="384.75815458648685"/>
        <n v="121.21804523468018"/>
        <n v="10100.397920722962"/>
        <n v="11814.229683427811"/>
        <n v="10647.41029958725"/>
        <n v="12470.593498888016"/>
        <n v="10100.461719694138"/>
        <n v="1949.951755027771"/>
        <n v="12472.124674196244"/>
        <n v="11012.021419858933"/>
        <n v="10685.370687437056"/>
        <n v="117291.4631652832"/>
        <n v="10668.667945861816"/>
        <n v="194.527508354187"/>
        <n v="192.48321269989012"/>
        <n v="26.320306549072267"/>
        <n v="111.28634468078614"/>
        <n v="135.94566101074219"/>
        <n v="446.10364231109617"/>
        <n v="47.14656852722168"/>
        <n v="1472.7872504425047"/>
        <n v="2374.321633987427"/>
        <n v="2485.344353532791"/>
        <n v="10119.805564880371"/>
        <n v="1031.754123940468"/>
        <n v="1248.3312785625458"/>
        <n v="1187.6790228414534"/>
        <n v="4385.196612358093"/>
        <n v="3892.397644519806"/>
        <n v="5024.621128163338"/>
        <n v="120353.15606660653"/>
        <n v="61196.52003497347"/>
        <n v="64256.34603998407"/>
        <n v="281.9465164489746"/>
        <n v="4762.4141635894775"/>
        <n v="1159.7964477539062"/>
        <n v="2065.8874225616455"/>
        <n v="1290.2735481262207"/>
        <n v="1304.7710037231445"/>
        <n v="2899.4911193847656"/>
        <n v="1435.248104095459"/>
        <n v="1275.7760925292969"/>
        <n v="3689.6024494171143"/>
        <n v="1362.7608261108398"/>
        <n v="251.62460122540162"/>
        <n v="503.24920245080324"/>
        <n v="754.8738029589018"/>
        <n v="1006.4984049023253"/>
        <n v="500.9621361255646"/>
        <n v="30194.935731072426"/>
        <n v="2118.9907743549347"/>
        <n v="2764.9516211576465"/>
        <n v="6724.08341383791"/>
        <n v="250.4810680627823"/>
        <n v="273.3997163772583"/>
        <n v="488.61436491012574"/>
        <n v="703.548603477478"/>
        <n v="1406.9570019721984"/>
        <n v="938.1115396308899"/>
        <n v="156.32855577468874"/>
        <n v="1172.6043732929231"/>
        <n v="293.16861894607547"/>
        <n v="586.2671354007721"/>
        <n v="244.30718245506287"/>
        <n v="390.89149192810055"/>
        <n v="1641.660143108368"/>
        <n v="900.2582292509079"/>
        <n v="19.12883816719055"/>
        <n v="142.08985693931578"/>
        <n v="14.328982095718382"/>
        <n v="143.71333766937255"/>
        <n v="54.70424199104309"/>
        <n v="20.469974422454833"/>
        <n v="36.91654007911682"/>
        <n v="164.11272597312927"/>
        <n v="109.4790701007843"/>
        <n v="22.516971864700317"/>
        <n v="78.20941951751709"/>
        <n v="126.7020830631256"/>
        <n v="25.76393332481384"/>
        <n v="480.6208822154999"/>
        <n v="277.9067789869309"/>
        <n v="43446.07914066315"/>
        <n v="511.5435626983642"/>
        <n v="1336.7312085723877"/>
        <n v="1465.6317889404297"/>
        <n v="87913.09286541938"/>
        <n v="7754.822593116761"/>
        <n v="15.091540803970362"/>
        <n v="113.18655602798461"/>
        <n v="1370.0760374927522"/>
        <n v="1502.192049484253"/>
        <n v="1407.2582957458496"/>
        <n v="1658.5491577911378"/>
        <n v="135.70148574829102"/>
        <n v="256114.6579580307"/>
        <n v="4533.911858053208"/>
        <n v="114118.37166677952"/>
        <n v="1137.7223224639893"/>
        <n v="1408.183401145935"/>
        <n v="502.9020696258545"/>
        <n v="29.73919741630554"/>
        <n v="23.042477416992188"/>
        <n v="27.362941932678222"/>
        <n v="21.314291610717774"/>
        <n v="111.0359380531311"/>
        <n v="95.12222708702087"/>
        <n v="14.574366966247558"/>
        <n v="214.07901675224304"/>
        <n v="126.44559482574462"/>
        <n v="147.47185546875"/>
        <n v="5332.9286330223085"/>
        <n v="85458.05681991577"/>
        <n v="10727.649428367615"/>
        <n v="699042.4198722839"/>
        <n v="2648.490209197998"/>
        <n v="16339.995706558228"/>
        <n v="170.31124168395996"/>
        <n v="261.96191425323485"/>
        <n v="57.78994976520538"/>
        <n v="180.20676738739013"/>
        <n v="115.65186708927155"/>
        <n v="4125.534170379638"/>
        <n v="3655.5668585968015"/>
        <n v="1880.00982963562"/>
        <n v="5222.218286209107"/>
        <n v="3968.925260620117"/>
        <n v="2298.5942361068724"/>
        <n v="727.7956246185303"/>
        <n v="23992.231926651002"/>
        <n v="1426.4906708526612"/>
        <n v="220.22249294281005"/>
        <n v="23.68815196990967"/>
        <n v="24.18019073486328"/>
        <n v="221.27686172485352"/>
        <n v="889312.9937343597"/>
        <n v="124172.77528381348"/>
        <n v="544899.2731456757"/>
        <n v="168746.01073646545"/>
        <n v="154686.74462509155"/>
        <n v="63.29347163053262"/>
        <n v="244.43960174140037"/>
        <n v="349.68408882267545"/>
        <n v="344.59518229966955"/>
        <n v="351.45414326555095"/>
        <n v="260.73192119629226"/>
        <n v="273.6209159586749"/>
        <n v="399.3685336702147"/>
        <n v="95.1650103931621"/>
        <n v="358.82937011144577"/>
        <n v="254.25467612815237"/>
        <n v="276.6604703356506"/>
        <n v="256.5353962219695"/>
        <n v="287.80863015743785"/>
        <n v="44.46035752130491"/>
        <n v="65.93371648551366"/>
        <n v="122.57291009139679"/>
        <n v="246.3690009907731"/>
        <n v="271.6076205372792"/>
        <n v="105.72869105421412"/>
        <n v="366.7758617358668"/>
        <n v="382.14207063053846"/>
        <n v="360.5070600970609"/>
        <n v="217.26749094424184"/>
        <n v="368.585150013408"/>
        <n v="267.73048369377096"/>
        <n v="266.91723059923004"/>
        <n v="265.97158746717656"/>
        <n v="270.0189400745938"/>
        <n v="65.99722730382209"/>
        <n v="112.88885203278282"/>
        <n v="361.17804127127107"/>
        <n v="359.8013479535858"/>
        <n v="273.81033458269184"/>
        <n v="241.48220561269716"/>
        <n v="358.3736659943758"/>
        <n v="381.1655886953361"/>
        <n v="365.30812122363045"/>
        <n v="272.37231472046386"/>
        <n v="265.1822154086277"/>
        <n v="265.97691059570343"/>
        <n v="258.46514894594304"/>
        <n v="9567.821514129639"/>
        <n v="472.40562354087825"/>
        <n v="708.6084353113174"/>
        <n v="92249.7036567688"/>
        <n v="53431.34803619385"/>
        <n v="8299.07809829712"/>
        <n v="37068.72274875641"/>
        <n v="349.83694553375244"/>
        <n v="12027.394187450409"/>
        <n v="12573.139822483063"/>
        <n v="12272.280049324036"/>
        <n v="1021.5238809585571"/>
        <n v="29771.124064922333"/>
        <n v="14987.014746665955"/>
        <n v="43498.72580766678"/>
        <n v="30708.68707895279"/>
        <n v="2761.3067992544175"/>
        <n v="1816.4665404319762"/>
        <n v="7198.059204788208"/>
        <n v="734.3318073749542"/>
        <n v="790.1396825414975"/>
        <n v="1639.6276345714268"/>
        <n v="2424.4997192291294"/>
        <n v="542.6815700531006"/>
        <n v="434.5805621147156"/>
        <n v="271.3407850265503"/>
        <n v="1085.3631401062012"/>
        <n v="1303.0161762237549"/>
        <n v="1563.4743094444275"/>
        <n v="1824.0775446891785"/>
        <n v="651.5080881118774"/>
        <n v="781.7371547222137"/>
        <n v="7255.101203918457"/>
        <n v="6531.319324636459"/>
        <n v="8862.537094750403"/>
        <n v="113.36371511936187"/>
        <n v="911.0395466423035"/>
        <n v="626.9763697767258"/>
        <n v="911.1772074985504"/>
        <n v="1297.420495119095"/>
        <n v="1422.5256888866425"/>
        <n v="1326.7180966472627"/>
        <n v="1454.597716436386"/>
        <n v="1563.6249799060822"/>
        <n v="127.94553711891174"/>
        <n v="900.0033020877838"/>
        <n v="214.97283888816835"/>
        <n v="1349.8689804315568"/>
        <n v="394.86472114562986"/>
        <n v="1556.8904175567627"/>
        <n v="839.3705337524415"/>
        <n v="1192.419782409668"/>
        <n v="1620.4852381896974"/>
        <n v="288.5758598327637"/>
        <n v="2209.936912536621"/>
        <n v="55548.96071708679"/>
        <n v="8668.764763641359"/>
        <n v="18540.42454582214"/>
        <n v="5708.463033370971"/>
        <n v="1306.295736465454"/>
        <n v="34866.51933815003"/>
        <n v="14569.161155776977"/>
        <n v="4907.884664382935"/>
        <n v="4047.5434813499446"/>
        <n v="3586.4327669143677"/>
        <n v="1844.4501023292542"/>
        <n v="5123.473311424255"/>
        <n v="3893.8350801467896"/>
        <n v="2255.145736217499"/>
        <n v="714.0047554969788"/>
        <n v="7.477910995483398"/>
        <n v="155620.25890235903"/>
        <n v="300.03099288940433"/>
        <n v="67740.55015993118"/>
        <n v="33870.27507996559"/>
        <n v="34490.16702735424"/>
        <n v="2659.9075696372984"/>
        <n v="16082.458374023438"/>
        <n v="25198.9892578125"/>
        <n v="53559.36720314026"/>
        <n v="612289.9457210541"/>
        <n v="54367.808336257935"/>
        <n v="1169.107060432434"/>
        <n v="14029.284725189209"/>
        <n v="9560.194124221802"/>
        <n v="6768.436546966553"/>
        <n v="2568.110538362503"/>
        <n v="2615.070356615067"/>
        <n v="711.7278785705566"/>
        <n v="256.1846618652344"/>
        <n v="2530.418128967285"/>
        <n v="474.4852523803711"/>
        <n v="31241.617584228516"/>
        <n v="71260.27797698975"/>
        <n v="476.07774901390076"/>
        <n v="190.4310996055603"/>
        <n v="1142.5865976333616"/>
        <n v="460.93554043293"/>
        <n v="553.122648519516"/>
        <n v="1327.495195350361"/>
        <n v="1548.7442547581672"/>
        <n v="230.467770216465"/>
        <n v="230.46800068423522"/>
        <n v="460.9360013693093"/>
        <n v="921.8720027377798"/>
        <n v="38.87478923225403"/>
        <n v="63.37252076997469"/>
        <n v="368.20763410749146"/>
        <n v="265.6103343996162"/>
        <n v="234.1019115893509"/>
        <n v="341.4476606991062"/>
        <n v="393.7196087553458"/>
        <n v="356.13564610286045"/>
        <n v="341.4236607229905"/>
        <n v="389.3276131203084"/>
        <n v="341.9276602222582"/>
        <n v="243.85413294186526"/>
        <n v="256.44130236362935"/>
        <n v="226.74724631617383"/>
        <n v="21.26049053836696"/>
        <n v="22.14634431072901"/>
        <n v="63.140929497376824"/>
        <n v="345.51294069384466"/>
        <n v="260.31149768139767"/>
        <n v="237.46980809515114"/>
        <n v="229.86665048979762"/>
        <n v="353.65079901477606"/>
        <n v="352.6007527799525"/>
        <n v="380.9042717512558"/>
        <n v="342.74463698278754"/>
        <n v="369.04352223237754"/>
        <n v="234.45754014525437"/>
        <n v="244.76690639002896"/>
        <n v="62.90353704752927"/>
        <n v="231.8751913199376"/>
        <n v="231.93932939932796"/>
        <n v="249.43299053774112"/>
        <n v="341.6480881571466"/>
        <n v="349.1785042291779"/>
        <n v="352.59926105680904"/>
        <n v="373.36135457969766"/>
        <n v="348.98846218366447"/>
        <n v="389.277375930668"/>
        <n v="237.43916970180896"/>
        <n v="231.34605216559626"/>
        <n v="14.173660358631672"/>
        <n v="663.7488560304641"/>
        <n v="663.7478419714363"/>
        <n v="1327.4956839428726"/>
        <n v="361.9860310515404"/>
        <n v="211454.51572322845"/>
        <n v="121.64473632812499"/>
        <n v="144.74476833343508"/>
        <n v="192.38228702545166"/>
        <n v="18914.843239116668"/>
        <n v="8630.635838413238"/>
        <n v="503.8583707809448"/>
        <n v="3727.635837650299"/>
        <n v="108718.8948225975"/>
        <n v="1387.459293039322"/>
        <n v="1411.3183219337463"/>
        <n v="1547.488900489807"/>
        <n v="1411.3586261219023"/>
        <n v="1663.387432026863"/>
        <n v="1547.4543540428162"/>
        <n v="361904.142288208"/>
        <n v="99859.58149337769"/>
        <n v="641799.043426094"/>
        <n v="217230.0397567749"/>
        <n v="6131.545888137817"/>
        <n v="163.89352216720582"/>
        <n v="1185.8178368568422"/>
        <n v="2539.034939670563"/>
        <n v="42550.08881120681"/>
        <n v="60172.58640594483"/>
        <n v="76450.6312573433"/>
        <n v="2415.457471084595"/>
        <n v="4459.306100463868"/>
        <n v="327934.88121032715"/>
        <n v="92247.58671455384"/>
        <n v="552.5260681915283"/>
        <n v="276.26303409576417"/>
        <n v="1473.5321397399903"/>
        <n v="736.7660698699951"/>
        <n v="1086.725104637146"/>
        <n v="85.9382456231322"/>
        <n v="492.35306290729056"/>
        <n v="491.9605411987279"/>
        <n v="484.4372084540367"/>
        <n v="491.60072963282136"/>
        <n v="491.2409180669149"/>
        <n v="489.7362515179767"/>
        <n v="335.487615285939"/>
        <n v="335.77752082891334"/>
        <n v="335.8667225354626"/>
        <n v="335.933623814271"/>
        <n v="335.1085080364153"/>
        <n v="490.88110649990483"/>
        <n v="17.916459936731687"/>
        <n v="27.994468651557128"/>
        <n v="85.93414610683472"/>
        <n v="492.2223265443445"/>
        <n v="491.6009575847728"/>
        <n v="492.7455846147495"/>
        <n v="488.853852713491"/>
        <n v="485.3545643644844"/>
        <n v="490.1619978906072"/>
        <n v="335.71066395276034"/>
        <n v="335.443112117844"/>
        <n v="335.59918402145325"/>
        <n v="335.57688803475037"/>
        <n v="334.9080084502185"/>
        <n v="491.960697509142"/>
        <n v="85.93200313047986"/>
        <n v="492.38598789068226"/>
        <n v="491.4052695510127"/>
        <n v="492.091772388671"/>
        <n v="491.6667944414441"/>
        <n v="491.14374465947765"/>
        <n v="491.4379601614889"/>
        <n v="334.46267448952585"/>
        <n v="333.1923091638103"/>
        <n v="330.42870740210105"/>
        <n v="335.5993171499575"/>
        <n v="490.26109815454765"/>
        <n v="200642.43682861328"/>
        <n v="112348.35167977716"/>
        <n v="395247.64291744237"/>
        <n v="3009.0101924604005"/>
        <n v="3014.6626849954155"/>
        <n v="9203.38834445408"/>
        <n v="9209.040836989096"/>
        <n v="3286.796400320013"/>
        <n v="270.02143072128297"/>
        <n v="540.0428614425659"/>
        <n v="270.0307611093521"/>
        <n v="540.0708526067734"/>
        <n v="810.1109441041947"/>
        <n v="4253.517773651123"/>
        <n v="2881.3954436798094"/>
        <n v="7812.421041778564"/>
        <n v="587.160553741455"/>
        <n v="704.6318542480469"/>
        <n v="1409.165734100342"/>
        <n v="469.68925323486326"/>
        <n v="845.5190353393555"/>
        <n v="1691.038070678711"/>
        <n v="939.4568859863282"/>
        <n v="845.5092378997804"/>
        <n v="1972.8712174987795"/>
        <n v="1409.1951264190673"/>
        <n v="1691.0282732391356"/>
        <n v="31829.855757522582"/>
        <n v="51563.9579873085"/>
        <n v="48126.3607881546"/>
        <n v="1497.750378704071"/>
        <n v="1765.2147419929504"/>
        <n v="1642.244538784027"/>
        <n v="330.3677101135254"/>
        <n v="9559.807045936584"/>
        <n v="61605.235317230225"/>
        <n v="9918.539660453796"/>
        <n v="143380.55047988892"/>
        <n v="174330.55979118348"/>
        <n v="51642.34830093384"/>
        <n v="2869.01935005188"/>
        <n v="7346.545505523682"/>
        <n v="6160.27173652649"/>
        <n v="5942.968653678894"/>
        <n v="1808.0235149383545"/>
        <n v="1496.3753213882446"/>
        <n v="707.5883302688599"/>
        <n v="1026.9697296142579"/>
        <n v="325.56796398162845"/>
        <n v="46461.10041809082"/>
        <n v="70256.17465019226"/>
        <n v="147415.28171539307"/>
        <n v="128795.67178630829"/>
        <n v="168674.1841666317"/>
        <n v="255.89798440933225"/>
        <n v="249.16218943977356"/>
        <n v="1875.433010816574"/>
        <n v="67.52329482308828"/>
        <n v="477.4941039085388"/>
        <n v="78.16235958153786"/>
        <n v="434.94647846993377"/>
        <n v="435.91222907236073"/>
        <n v="435.0292570931458"/>
        <n v="434.3670281089183"/>
        <n v="435.3051858366964"/>
        <n v="436.07778631878494"/>
        <n v="434.86369984745625"/>
        <n v="323.15617137834556"/>
        <n v="323.52502433193456"/>
        <n v="323.64797531719876"/>
        <n v="323.2791223628753"/>
        <n v="322.6438756088599"/>
        <n v="26.987741135477304"/>
        <n v="78.15315320798345"/>
        <n v="323.85289362499304"/>
        <n v="323.16576636525144"/>
        <n v="323.10686974261006"/>
        <n v="323.40135285434764"/>
        <n v="434.67671195675354"/>
        <n v="435.81343266554376"/>
        <n v="434.9939363407899"/>
        <n v="435.9720448571946"/>
        <n v="435.628385108128"/>
        <n v="435.0732424366153"/>
        <n v="320.88843030374284"/>
        <n v="323.5190246625953"/>
        <n v="78.1825216429885"/>
        <n v="323.3422705055997"/>
        <n v="323.71541816971524"/>
        <n v="323.2833524537575"/>
        <n v="435.2315468304246"/>
        <n v="432.983723189697"/>
        <n v="435.8133364783969"/>
        <n v="435.9984513668889"/>
        <n v="435.7604465104662"/>
        <n v="434.94065200607116"/>
        <n v="435.522441654778"/>
        <n v="298967.6533510065"/>
        <n v="5612.57462430954"/>
        <n v="3322.5667356777194"/>
        <n v="7259.057046718597"/>
        <n v="4527.54090801239"/>
        <n v="2261.931372566223"/>
        <n v="6156.4118694305425"/>
        <n v="2550.589983153447"/>
        <n v="1859.1465570925175"/>
        <n v="2551.6098112155423"/>
        <n v="564.9847463680753"/>
        <n v="6995.449401855469"/>
        <n v="35165.08795452118"/>
        <n v="493.39254250956657"/>
        <n v="710.4852605141768"/>
        <n v="1657.7989456843552"/>
        <n v="47.020627034902574"/>
        <n v="95.65272313103677"/>
        <n v="392.82534817415603"/>
        <n v="504.64216924190526"/>
        <n v="605.543277130127"/>
        <n v="726.665595536232"/>
        <n v="1211.086554260254"/>
        <n v="1453.2628761720657"/>
        <n v="242.24463681221008"/>
        <n v="504.6148432817459"/>
        <n v="5465.9994169759"/>
        <n v="3235.798990383348"/>
        <n v="7069.46689451699"/>
        <n v="1211.0728912801742"/>
        <n v="1453.2902021322252"/>
        <n v="201.84320471668244"/>
        <n v="55402.346210479736"/>
        <n v="141720.3910150528"/>
        <n v="1418.7615534782408"/>
        <n v="1555.5683210468292"/>
        <n v="1672.0975374984741"/>
        <n v="43241.21082687378"/>
        <n v="30607.025765419006"/>
        <n v="430.068926076889"/>
        <n v="359.01350934028625"/>
        <n v="199.04382781028747"/>
        <n v="135.94815826416016"/>
        <n v="1223.5334243774414"/>
        <n v="1872.4406127929688"/>
        <n v="2061.646812438965"/>
        <n v="163179.83573913574"/>
        <n v="12398.612186431885"/>
        <n v="98057.86487579346"/>
        <n v="114702.16233444214"/>
        <n v="8750.272315979004"/>
        <n v="150004.66827392578"/>
        <n v="421.6907553577423"/>
        <n v="1012.1434788322449"/>
        <n v="373.52966448520647"/>
        <n v="2559.8245658254623"/>
        <n v="2504.890678625107"/>
        <n v="6522.157772583962"/>
        <n v="451.4309318267517"/>
        <n v="1083.4342394409332"/>
        <n v="148.97220047235106"/>
        <n v="650.0605421361954"/>
        <n v="1300.1210827440264"/>
        <n v="541.7171120786438"/>
        <n v="1516.807933688942"/>
        <n v="51139.237480163574"/>
        <n v="81626.09059333801"/>
        <n v="1523.5636100125992"/>
        <n v="1670.4786724066398"/>
        <n v="1795.6285403726852"/>
        <n v="19942.19518661499"/>
        <n v="2200.8343596458435"/>
        <n v="1014.3277600765227"/>
        <n v="76883.40598964691"/>
        <n v="6494.891304254532"/>
        <n v="8138.921513605117"/>
        <n v="1999.4962005615234"/>
        <n v="5168.836532354355"/>
        <n v="1923.1265540122986"/>
        <n v="13795.135244846344"/>
        <n v="48989.04545278549"/>
        <n v="3009.658343553543"/>
        <n v="978.8021949833021"/>
        <n v="18739.99786376953"/>
        <n v="3681.5993137583437"/>
        <n v="4502.687509356656"/>
        <n v="7655.306707780159"/>
        <n v="1783.9817738253632"/>
        <n v="1529.1272347077727"/>
        <n v="530.9469564958628"/>
        <n v="1274.2726955896246"/>
        <n v="424.75756519635576"/>
        <n v="637.1363477948123"/>
        <n v="764.5636173538863"/>
        <n v="181256.6728811264"/>
        <n v="1402.0424208078036"/>
        <n v="1652.4071388094608"/>
        <n v="1402.8420647741318"/>
        <n v="1537.2393685286352"/>
        <n v="20408.309844970703"/>
        <n v="9495.693592071533"/>
        <n v="425.23118600341303"/>
        <n v="511.2835107118813"/>
        <n v="806.9777943455632"/>
        <n v="7553.537601736708"/>
        <n v="4601.050732670907"/>
        <n v="2150.280920857089"/>
        <n v="541.3433936680995"/>
        <n v="649.6120724015348"/>
        <n v="38.95507060814748"/>
        <n v="1559.0689737640525"/>
        <n v="779.5344868820263"/>
        <n v="94991.47737121582"/>
        <n v="46.20907208367904"/>
        <n v="1818.9138027245742"/>
        <n v="27092.948455810547"/>
        <n v="2609.6124197572967"/>
        <n v="543.6692471630788"/>
        <n v="1439.0623122490622"/>
        <n v="1696.037725150488"/>
        <n v="1577.8290352160973"/>
        <n v="124801.7025232315"/>
        <n v="53759.99022960663"/>
        <n v="29501.037145614624"/>
        <n v="8911.009856700897"/>
        <n v="108145.9004073143"/>
        <n v="2242.9013258557607"/>
        <n v="2728.3778033137523"/>
        <n v="2505.0586236828995"/>
        <n v="1659.6543445587158"/>
        <n v="19011.601000785828"/>
        <n v="126731.75266599655"/>
        <n v="33723.62135410309"/>
        <n v="277158.31709861755"/>
        <n v="36713.72064828873"/>
        <n v="334.00181196284433"/>
        <n v="648.3564585158715"/>
        <n v="4.047316074371338"/>
        <n v="5973.372283476566"/>
        <n v="6956.694310826126"/>
        <n v="6956.096183072517"/>
        <n v="457.1798371106217"/>
        <n v="507.9775967894422"/>
        <n v="609.5731161474956"/>
        <n v="731.4877393767473"/>
        <n v="406.3820774318012"/>
        <n v="853.4023626064114"/>
        <n v="30807.791103363037"/>
        <n v="64522.6699590683"/>
        <n v="31880.110989570618"/>
        <n v="49898.25168514252"/>
        <n v="26971.46849155426"/>
        <n v="35334.91242980957"/>
        <n v="688.6070342063904"/>
        <n v="2812.7291564941406"/>
        <n v="3591.9070098876955"/>
        <n v="4992.3034121513365"/>
        <n v="69.99911031723022"/>
        <n v="2698.486412525177"/>
        <n v="274.61189432144164"/>
        <n v="486.3424536765478"/>
        <n v="335.24576903941374"/>
        <n v="9122.840076694154"/>
        <n v="12258.096282920014"/>
        <n v="283.30628369515915"/>
        <n v="463.88999047411306"/>
        <n v="371.1119923793747"/>
        <n v="556.6679885688513"/>
        <n v="668.0015862829588"/>
        <n v="779.3351839966448"/>
        <n v="81222.0203704834"/>
        <n v="39684.539494514465"/>
        <n v="7102.748870849609"/>
        <n v="82700.29573440552"/>
        <n v="48667.848348617554"/>
        <n v="21775.06543636322"/>
        <n v="603.6475519012785"/>
        <n v="724.3770724026919"/>
        <n v="503.03960128150464"/>
        <n v="9889.487788851757"/>
        <n v="7183.73814017016"/>
        <n v="340.88308039482274"/>
        <n v="5251.3523521001525"/>
        <n v="7768.661109627199"/>
        <n v="5157.162027456465"/>
        <n v="385.56151459013836"/>
        <n v="578.3422718877016"/>
        <n v="694.0107262652419"/>
        <n v="481.9518932501434"/>
        <n v="694.0107262522727"/>
        <n v="809.6791806442787"/>
        <n v="1349.4653012400713"/>
        <n v="1927.8075732001018"/>
        <n v="722.927839700628"/>
        <n v="240.9759466001307"/>
        <n v="867.5134079400458"/>
        <n v="25189.683395385742"/>
        <n v="5572.2947998046875"/>
        <n v="10791.123138427734"/>
        <n v="53628.13941192627"/>
        <n v="295.2484558105469"/>
        <n v="1378.5191986083985"/>
        <n v="2972.2370956420896"/>
        <n v="11476.902770996094"/>
        <n v="153.31397652626038"/>
        <n v="559.7259414196014"/>
        <n v="881.4254379272461"/>
        <n v="42288.77604317665"/>
        <n v="51830.07041835785"/>
        <n v="398.9364825600255"/>
        <n v="463.7636609766091"/>
        <n v="543.550957488406"/>
        <n v="749.1726716637455"/>
        <n v="874.0347836077922"/>
        <n v="520.2587997802293"/>
        <n v="624.3105597196989"/>
        <n v="437.01739181111486"/>
        <n v="1625.4965937856223"/>
        <n v="4517.927417312472"/>
        <n v="802.4471725698746"/>
        <n v="104587.17438031292"/>
        <n v="24730.277342748643"/>
        <n v="16608.198688459397"/>
        <n v="37971.63562774658"/>
        <n v="3141.9426136016846"/>
        <n v="4631.936017990112"/>
        <n v="3853.6727180480957"/>
        <n v="3983.237361907959"/>
        <n v="3427.3350048065186"/>
        <n v="4263.3771324157715"/>
        <n v="3987.6145458221436"/>
        <n v="3357.3000621795654"/>
        <n v="4193.342189788818"/>
        <n v="24682.940092086792"/>
        <n v="3689.966039657593"/>
        <n v="4495.367879867554"/>
        <n v="3186.589889526367"/>
        <n v="4604.797477722168"/>
        <n v="4709.518292527199"/>
        <n v="4144.374086689949"/>
        <n v="2984.8934734201434"/>
        <n v="2157.3341654491423"/>
        <n v="4763.337595925332"/>
        <n v="4648.063090977669"/>
        <n v="4620.436959619522"/>
        <n v="4491.827773566246"/>
        <n v="4434.056480970383"/>
        <n v="3844.01186378479"/>
        <n v="3810.6682279109955"/>
        <n v="3715.4026777315144"/>
        <n v="3482.9539957618713"/>
        <n v="3028.530249633789"/>
        <n v="2850.913221721649"/>
        <n v="2848.4773891592026"/>
        <n v="2399.766525473595"/>
        <n v="2349.5523225164416"/>
        <n v="2169.735187773704"/>
        <n v="2000.5996641349793"/>
        <n v="1595.5257932806014"/>
        <n v="3025.8217147541045"/>
        <n v="40448.65747082663"/>
        <n v="57124.81338787079"/>
        <n v="2325.148300027847"/>
        <n v="5396.51625374794"/>
        <n v="5306.93800983429"/>
        <n v="10086.27112364769"/>
        <n v="76547.05065555572"/>
        <n v="770.0639560855357"/>
        <n v="399.2765405199608"/>
        <n v="499.0956756500843"/>
        <n v="495.9380386652421"/>
        <n v="598.9148107802077"/>
        <n v="718.6977729365691"/>
        <n v="8038.155458450317"/>
        <n v="206705.32528066635"/>
        <n v="591.0303062152863"/>
        <n v="709.1941283798218"/>
        <n v="492.5076555633545"/>
        <n v="825.2890295464822"/>
        <n v="491.2434699677922"/>
        <n v="707.3905968132623"/>
        <n v="1560.975250033751"/>
        <n v="3448.332661819402"/>
        <n v="1338.1472120322937"/>
        <n v="39370.35437321663"/>
        <n v="26929.631994771957"/>
        <n v="42328.66911711693"/>
        <n v="47492.10804128647"/>
        <n v="155383.58693647385"/>
        <n v="48020.569173812866"/>
        <n v="157113.09609746933"/>
        <n v="37392.62861967087"/>
        <n v="1972.9215614318848"/>
        <n v="4907.749143886566"/>
        <n v="671.5192976951599"/>
        <n v="196641.11420822144"/>
        <n v="1542.6133007049561"/>
        <n v="149.02670044898986"/>
        <n v="298.5875467777252"/>
        <n v="681.0141052288994"/>
        <n v="472.92646203498583"/>
        <n v="756.6823393194024"/>
        <n v="454.0094035387872"/>
        <n v="227.00470179582072"/>
        <n v="233.51266095330476"/>
        <n v="566.2828897094727"/>
        <n v="471.92125403404236"/>
        <n v="401.7674112938772"/>
        <n v="602.6511169411086"/>
        <n v="723.1813403295645"/>
        <n v="843.7115637180203"/>
        <n v="502.20939888899176"/>
        <n v="1088.521839686712"/>
        <n v="6173.290196899655"/>
        <n v="1746.8177428720514"/>
        <n v="114213.99798297882"/>
        <n v="17801.645669937134"/>
        <n v="68031.76689147949"/>
        <n v="53444.622207164764"/>
        <n v="1940.6319379806519"/>
        <n v="25459.21571445465"/>
        <n v="87099.86713838577"/>
        <n v="5243.9491306304935"/>
        <n v="11624.131876516341"/>
        <n v="5959.033102989197"/>
        <n v="697.5385268061257"/>
        <n v="394.30479754022207"/>
        <n v="1673.6196692760732"/>
        <n v="525.4387333768152"/>
        <n v="1284.4057927003134"/>
        <n v="1401.1699556727344"/>
        <n v="2160.137014996233"/>
        <n v="487.8356302927649"/>
        <n v="1348.2820663452148"/>
        <n v="11509.875804901123"/>
        <n v="175.62082690504903"/>
        <n v="495.4074794026536"/>
        <n v="7643.406476564323"/>
        <n v="8612.45759308041"/>
        <n v="498.790980319513"/>
        <n v="453.89979203988247"/>
        <n v="15145.540735721588"/>
        <n v="37863.85183930397"/>
        <n v="98446.01478219032"/>
        <n v="1521.2219429016113"/>
        <n v="3803.0548572540283"/>
        <n v="9887.942628860474"/>
        <n v="17510.79992866516"/>
        <n v="4182.850671100617"/>
        <n v="289.88056306838985"/>
        <n v="869.6416892051698"/>
        <n v="192.8494122505188"/>
        <n v="747.7463059902191"/>
        <n v="4621.657369804382"/>
        <n v="38558.93712377548"/>
        <n v="814.5944682560133"/>
        <n v="794.4258180455101"/>
        <n v="938.8668758717163"/>
        <n v="24642.081489658358"/>
        <n v="186199.42534160614"/>
        <n v="18619.942534160615"/>
        <n v="4091.1329944610593"/>
        <n v="13986.29930820465"/>
        <n v="1365.6702183871716"/>
        <n v="728.3574498066768"/>
        <n v="220.4854063290596"/>
        <n v="1322.9124379743575"/>
        <n v="261.5032768249512"/>
        <n v="130.7516384124756"/>
        <n v="174.33551788330078"/>
        <n v="522.4684810638428"/>
        <n v="5804.188985824585"/>
        <n v="10567.745590209961"/>
        <n v="3383.1313848495483"/>
        <n v="24808.428208827972"/>
        <n v="47793.99616408348"/>
        <n v="929.5085329055787"/>
        <n v="22085.525002098082"/>
        <n v="5350.857751464843"/>
        <n v="3669.213891363144"/>
        <n v="299.53277022361755"/>
        <n v="43384.21857833862"/>
        <n v="308.20695533752445"/>
        <n v="69320.03954601288"/>
        <n v="1470.832740020752"/>
        <n v="682.886629295349"/>
        <n v="2824.0504264831543"/>
        <n v="1212.953713295548"/>
        <n v="676.8415754476147"/>
        <n v="735.4688740957932"/>
        <n v="1300.3089694023665"/>
        <n v="1704.2459686197158"/>
        <n v="3922.010693825701"/>
        <n v="910.5196459145441"/>
        <n v="413.7507083954343"/>
        <n v="501.60132261350486"/>
        <n v="21246.4195605278"/>
        <n v="78818.67565860748"/>
        <n v="65419.104813575745"/>
        <n v="397.0724243094223"/>
        <n v="493.403675312677"/>
        <n v="788.2998872638004"/>
        <n v="19940.431915283203"/>
        <n v="394.14994363217176"/>
        <n v="481.4771140768982"/>
        <n v="3621.9248890824165"/>
        <n v="5595.058594030842"/>
        <n v="2029.2692290253487"/>
        <n v="379.57162714004517"/>
        <n v="359.8779108333588"/>
        <n v="4285.077207756042"/>
        <n v="28237.927122974394"/>
        <n v="19216.617959976196"/>
        <n v="195.60231971740723"/>
        <n v="27576.66704149246"/>
        <n v="8889.038751602173"/>
        <n v="2570.6398051272563"/>
        <n v="1461.5840001106262"/>
        <n v="292.3168000221252"/>
        <n v="1119.2799406051636"/>
        <n v="146.1584000110626"/>
        <n v="194.5156401634216"/>
        <n v="6142.290253744126"/>
        <n v="8777.649079170227"/>
        <n v="142.89934673309327"/>
        <n v="762.1298492431641"/>
        <n v="271.1313934326172"/>
        <n v="1634.1105122138379"/>
        <n v="593.687218699891"/>
        <n v="558.4190599298795"/>
        <n v="279.35682439804077"/>
        <n v="370.0940847819602"/>
        <n v="542.6291853243346"/>
        <n v="3888.5249534818117"/>
        <n v="6733.192788510867"/>
        <n v="1510.8079331724477"/>
        <n v="546.1110992052758"/>
        <n v="436.88887946481896"/>
        <n v="1239.6387981164023"/>
        <n v="763.6174988013313"/>
        <n v="9801.825889587402"/>
        <n v="11363.333951950073"/>
        <n v="18469.072887420654"/>
        <n v="666.418890285492"/>
        <n v="511.88280861854554"/>
        <n v="405.88078157494226"/>
        <n v="507.3509769686778"/>
        <n v="2886.0119894599916"/>
        <n v="5812.9521039962765"/>
        <n v="3330.558354282379"/>
        <n v="8015.2887716293335"/>
        <n v="390.03071641921997"/>
        <n v="141039.06595420837"/>
        <n v="39399.83112504006"/>
        <n v="925.1298399106504"/>
        <n v="127.1799490841706"/>
        <n v="508.71979633594594"/>
        <n v="406.02876031473886"/>
        <n v="4984.99970055868"/>
        <n v="6823.412610471743"/>
        <n v="4268.867388117808"/>
        <n v="4579.842257083992"/>
        <n v="7623.987674743409"/>
        <n v="4534.350019097456"/>
        <n v="28991.929790496826"/>
        <n v="81560.93978881836"/>
        <n v="393.84800085587915"/>
        <n v="492.31000060700575"/>
        <n v="216.17872683048247"/>
        <n v="1190.3077181625365"/>
        <n v="6191.023391599655"/>
        <n v="8795.220908465386"/>
        <n v="488.8251615260304"/>
        <n v="390.7255084472549"/>
        <n v="742.1105630779266"/>
        <n v="140.1749610900879"/>
        <n v="2074.8246640491484"/>
        <n v="4184.825438261032"/>
        <n v="234.42325592041016"/>
        <n v="147.99872875213623"/>
        <n v="1855.3516045331955"/>
        <n v="6118.221773546935"/>
        <n v="5456.167616289854"/>
        <n v="5120.244095456601"/>
        <n v="306.4683952331543"/>
        <n v="283.31911182403564"/>
        <n v="5138.318881988525"/>
        <n v="3278.605613708496"/>
        <n v="2003.8342475891113"/>
      </sharedItems>
    </cacheField>
    <cacheField name="beneficiary" numFmtId="0">
      <sharedItems containsBlank="1">
        <s v="1FgdNoPRwo8oUsGVxWyivf3eyAvCF1NsBecZhbYU1Kb5HGx"/>
        <m/>
        <s v="157syWyZt7yPWbSPpjmVhzeYHA8pc3kk8eV1qUnHrAXeWJCU"/>
        <s v="13gzrNGhMUZpVsuH3rBTt9g3CJrs7iRVHagKicb3GD6RbppB"/>
        <s v="1qAsfc59XsRLiy3DZfc4buS4umW6Q4xaJcWALj1eguZTi75"/>
        <s v="15akZwzufEzFzfh18y4Q81Ci8TXyvH6hyUkRrxJED2MjEYhe"/>
        <s v="1HomBzZwkpQjhm3e9hQJ2AVFPmV4Ppon9ycCo91bh88xmGn"/>
        <s v="12WQMLv8itdKJ83R4y3qNGYCRrsU6bFjyd4ZvcE4tmJoSiPv"/>
        <s v="12wnTQnY3qUTCofi792fTdf9HpQQ6jmyxrVdwyT6X2Jed4Yg"/>
        <s v="16Hw2qwttttQ8tMCPLwnX3wegtsaTYD9gGakKbAHDb9PW3g5"/>
        <s v="14jHouxT1VbhBDw93VW8Z89p139Qgu7ECHz3zxM2CpQEDJDB"/>
        <s v="15Fyr14f5Eq9xxioo2JoNw53eZnCJNZBrob8ZYuXz4DTTouP"/>
        <s v="1pHpxvp2CYscDreozYQdBkJkUkLFQftxQTAwMs5M1a6GRBf"/>
        <s v="13YWynHAu8F8uKZFbQwvPgJ67xizvo21HCEQU3Ke8z1XHoyT"/>
        <s v="12owmS8Sobqxfx6KK9vk9e67FqnGpZdmxCFCRFptzZdsoujC"/>
        <s v="14EQvBy9h8xGbh2R3ustnkfkF514E7wpmHtg27gDaTLM2str"/>
        <s v="15MV2nX6BEoiBz8Ua2xNta19sVBKT7kiw2MEHdu2Jd9a4VaC"/>
        <s v="16WWmr2Xqgy5fna35GsNHXMU7vDBM12gzHCFGibQjSmKpAN"/>
        <s v="13Jpq4n3PXXaSAbJTMmFD78mXAzs8PzgUUQd5ve8saw7HQS5"/>
        <s v="13xAUHVDyG1v9LLHYtMm7XZFyKNVxoj47oWV431XQ9kjXN38"/>
        <s v="13TUNfEBCi6xw5ZQgxYAwbCsALSuDfqDWMfbHigZNgncuV6v"/>
        <s v="13JsTxizvEUEeewFagowtFQaWpHbADWCoSkTGAY7QTSkvtWF"/>
        <s v="12ELL9BzwsGGM948o3cBduLgxuBwpC6eUmgExTGnXqSfikqq"/>
        <s v="15V2eerTdn7GwAudPkLiWWq7PJdZinx7Lx7qSq9nTNTBHi2j"/>
        <s v="13pgVrB53DyS7wLeGWkDYUSBYBTageJDjEqXLqxsqJBismsV"/>
        <s v="15XF37GkxgRJakURR4jycdrJnqWQctT5yUPzqLn81TZmwBDF"/>
        <s v="15vvAhHcmop8PjP5QNr3mXzX1oesv6vjun25iSgMe9YpDezv"/>
        <s v="14Gn7SEmCgMX7Ukuppnw5TRjA7pao2HFpuJo39frB42tYLEh"/>
        <s v="16Lcg6kZiDywR3YEHDdi6nHQhGnCYTiE2gxQ92DDQq2SZ1PQ"/>
        <s v="14aGNTNA9RMbuy73V8LJRCNszmBtiiKEmYZjdXp4GFNo1fpt"/>
        <s v="16dApD2ox2qV2mA3u2xiR72kyAGE7MLbDxepZUFkcSJz3Gmw"/>
        <s v="12jNpcKMqYbiDhucsr6TDrto3MdRtrBLbuDvTh3FprZeVbpb"/>
        <s v="14dfHJDm27ep5eAtgXqr1wjUYnK3p5LhgzLcYVX3tHRFsVo9"/>
        <s v="14gL78nk3rVZamwGg33VuEa1koYC3rcoymFcPGXKbJ7JKyHZ"/>
        <s v="167xwLzY4z3uNBMQSdDJmPnLgPKBY1SRsvQXbyaeHcnwd4um"/>
        <s v="14tcZ9ibPGdMwb7XXE4QChgVuJU1xXTvDFpV3E1HpMajbBsH"/>
        <s v="14icei1ZMoG9QtKBFDk4y1eMR756q2TREuRAi2BanJ9MJVPL"/>
        <s v="14xSXydBVvuMMaNduDXwWcckt3BziSB8Sa7o34Jt9z2aMGxX"/>
        <s v="14wQoaBqk718MgNxp3qdpqHnEgmTTmTkcVnYuxMWWvYr3DXb"/>
        <s v="14fbxKv81FF9wxyidiD4jrYokbF428KJBrB5DsgipQp6Yrmm"/>
        <s v="15wepZh1jWNqxBjsgErm8HmYiE21n79c5krQJeTsYAjHddeM"/>
        <s v="14AakQ4jAmr2ytcrhfmaiHMpj5F9cR6wK1jRrdfC3N1oTbUz"/>
        <s v="1ArdZJtNUrZsfidfn1t69xHaSWwzf6PQNdLEUpcnVmbkZc5"/>
        <s v="13GtCixw3EZARj52CVbKLrsAzyc7dmmYhDV6quS5yeVCfnh1"/>
        <s v="1MrurrNb4VTrRJUXT6fGxHFdmwwscqHZUFkMistMsP8k5Nk"/>
        <s v="15XG22uwqzdqWuBV91zBEfdgZ9UK9eCff4sTBHH6hTvLQKAi"/>
        <s v="14d2kv44xf9nFnYdms32dYPKQsr5C9urbDzTz7iwU8iHb9az"/>
        <s v="1y6CPLgccsysCEii3M7jQF834GZsz9A3HMcZz3w7RjGPpBL"/>
        <s v="15iA5hpjUecWBbf38Nfegwmtyux25o3LrGaNodfZDxq5nXXE"/>
        <s v="123kFHVth2udmM79sn3RPQ81HukrQWCxA1vmTWkGHSvkR4k1"/>
        <s v="16ce9zrmiuAtdi9qv1tuiQ1RC1xR6y6NgnBcRtMoQeAobqpZ"/>
        <s v="1EHRUR7YL8aeqeCT4LGFq9qrTpEiH1dCikh3n2j1CSbL2c8"/>
        <s v="1333zsMafds2sKAr8nG3zwXTCHPYv2Nm6CRgakpu6YVGt7nM"/>
        <s v="15JNnCt8g2ZmHHs1UMNxx6YUUMf6zvK6DwtN8ds4Lu1NWWER"/>
        <s v="12e7u2ZtFo9Fxp3ZQhTqJHV619AyntdXwghKzkyWk4XFU4Sj"/>
        <s v="1U9NbBVpku7VYWtGE5CFTyyaTVTNBrfyXDNETK89uGDD6wm"/>
        <s v="1TtCbdG7LjYwry8bYK6zV3xq2XAnXod4jf2htxH2NE1Wf2Q"/>
        <s v="12upgS3u7rhcWSFCXuv2GFzvXvW6Qf2YKajZUnMBxz3LPjEi"/>
        <s v="12itHPhSz9YKzydpCBPSxewfAJYZuReRPTP5qSuD5LPSeA41"/>
        <s v="15PvcMShyUasPpKKTpgJckBbcdDNz1k52NWGfahVXP5ZSSh1"/>
        <s v="13dLY5aynbYDCy1DxQYQGjd4yy5uSeVtA4pLdR7SrcxZyvT1"/>
        <s v="15LpomjmegxcrVwT7zDPvScWtx6FVYoTLxEkSzqwr3po9TCc"/>
        <s v="12uRdiaA7utebXJBBgDNCPswvTxzTdHLd8hZDUJWL1rwcvzz"/>
        <s v="146ZZqm2cMHLf3ju7oc8M9JnPaAktuADAKThagKnXqzjPJbZ"/>
        <s v="14oK8ctVWT9D1xdaN3hcHz5RBMDFfzQ6vXBpNaZj8v83TnWA"/>
        <s v="13DxmMjYqto1AWsMUSkN8JYNHX6d2vBhuSmapB5iYnEiYaxX"/>
        <s v="15WPvoetNGCk6EyQbCodKAZFqrs2Q4Dk9d3k3Lk2F9nsiYUK"/>
        <s v="13eEKEbD3hvRJy1THBopwV3MrLjyGyND1gSb8H5UuXxDYTRV"/>
        <s v="14zKb5ZByuhLHEiwQFSDHmXovf3mUi8aeC5dHLZFqUo5rpef"/>
        <s v="14ay13nhw4QcqrHqWM75gXhVaZTZ5Qe7GUXiv8iueBzeHAwP"/>
        <s v="14R3uMgjsv4sZ6B5mp1HTL2it1EmJbBST7P7DjSiqwrYbnmr"/>
        <s v="12rgvnVZa3ci6hD9xMSn2qQZV6xkdc4Fb2ja2MPVQEodH3Cz"/>
        <s v="12oRVrKXBq1S4T1onxBEzqdpR5V1Uf8yE31dbuDZfQ8sGLWo"/>
        <s v="12mDFyhRGnP9LsL56GjP65QxFNgCUxFuNZQQG4DSxtR3Tgm7"/>
        <s v="12cnYWf4NvJVmuPFM8kQzc9CAM8Qtey1PvvxGDFd5aJ799XN"/>
        <s v="12WSnw6ocUpUFLGVvJwXoXRK9Gk7AC8AZ7cXkRakUgAjzLyx"/>
        <s v="12P1AJysFNNjDtTuXndBydMkcHZRjJxbw6zz1AgLhvA3JySd"/>
        <s v="12EhX2KXrzWqTtU5pENPyFrFrZfUgj7DouvTMU4FQ9Tfe6m3"/>
        <s v="1EvYZwJ25wgUzMqJ61AadwTtaHr6BVosPcyK4goohUDqmjY"/>
        <s v="13B5zGLfXBhRpiQ1xcnsNeqbHHcRRRpBCL41xCJxdYmYoHdW"/>
        <s v="11Ft2vZgZGuLyn9pZGSVDzYFkYQq2E23ywzRcJ6t2EdzkMA"/>
        <s v="1249Qsh72ZcXFjLEDKAp879SfmFpzQMqb1qQKcfkdZgqbt3a"/>
        <s v="12dR4JYh1iPkaJXLSTbqz9iUpm6diRces6wJ6SAjkhmnwixN"/>
        <s v="1emX4nsNHZwbbCej7UMC8gKNpXoy1K3ABwRmnVJLg5Z2PU6"/>
        <s v="12bprALAt9PYJ5gqcLpLfevnGH1Lfwnkk5CyZYaWqatGJ37i"/>
        <s v="1BqHUUwZ6kuRhFZTdbhPwSmwxVnGdCVJTsUf1FU2DXWtEwc"/>
        <s v="14zUPG9wpRdfNGLJqU2xcABBxXStd5d4TP8GHz2CFFZSbD4A"/>
        <s v="15cZn8K1DaE7qiBWK6mGFJMKYKjFrALTVwe5urpD9PzKSsPY"/>
        <s v="15D2JM548bqRuE45aDmeF2WqiKC56WtNnRmCxVSree9YKwVb"/>
        <s v="1yCg8NSCgjS4K5KDK5DZGhxUCxmgVyhyG6vBPn5wqUmLuYo"/>
        <s v="1vfmouKGWQEJSpUWRqYrYLZ865ps6M7TDSu5kgfSV6tPxLf"/>
        <s v="14BA8G99RW6xxgu4q3Ks5GVQaA5g4wApn4JPeXbLiEU2Pent"/>
        <s v="14DjaZJk7hXERyrvdoguLiuXeoagHPJFqiRiHNfeTNRohHVx"/>
        <s v="12aj1nedSqMsVhAH5LyYJtjKPNrFWYoEh4FeGmWW2aS4DQQh"/>
        <s v="1WgB9o954mkQi97f36azSwDt7SfRUQuJ1kCyb7Sv1WAUcSe"/>
        <s v="1qr2Xp6Yp94NRvTm4HbVDVZSRBFUnDkVxUjCvRfCyA2JYhh"/>
        <s v="1R9CkkELVZMhVjEMnMoxYAwyEo2riFgBWdt5BLk6BB6rN68"/>
        <s v="1gkGXWr2wr1CqYCKqGHRRsBhL9iCmTy7ubwVgeys4m4tJwQ"/>
        <s v="1n4GEdMsCriWRc4PqcQ2DFTRuufRk7J6kRrPZ9Ym4eRCWqM"/>
        <s v="14btqGNtzVpfwW9y5xYrcK7uSfgjGZKxcYAG3fJo6ujHUVS"/>
        <s v="1wzZiegQfdppPw7Ag3vhhXbYuw47uJLJ5G6eXcKc6feTS5x"/>
        <s v="15Y5pEv8Uk1mFPeFS6aSmExsbwCVv4R3T6vnZKm7sZZTmExp"/>
        <s v="14wDEEnVKZDXVXq2arAmkf1QmnTcwN4fzNJRFoM77YvFxa8T"/>
        <s v="16iEYsszKAiWj8vu5Qor5XC5DY48gkJeytviFGYuy17Uj8xg"/>
        <s v="13RBN6UF43sxkxUrd2H4QSJccvLNGr6HY4v3mN2WtW59WaNk"/>
        <s v="19C7X2ayEGaHbRb7obTd7u2crJhYm6W47XpyLC2jQBGdpif"/>
        <s v="16DFsCgUtntqaz6wiYEMwcco3RBCwo4Dz7doLTTeeudxZWhE"/>
        <s v="13343zPsd3yZhwpAphFysoVQA3De2vDMELVMxbgExpHB5UCg"/>
        <s v="12xRcHjvStkUYgzTh9vyqinN3tUpddgcPnSUcLXZ3ty44Mq1"/>
        <s v="15AZxmt271W7YBo41JrxCYJHqdXhyrXsHhm5paFkd5GpreGP"/>
        <s v="16fZxnwnnzArZ7SRhSWUcEhGCFk2XDUxD54VqtaKRmr6FhNR"/>
        <s v="145pagyyifxGeH1VjbrHf1cPsKasjNNLeAKrFynEfijJAu73"/>
        <s v="14x5RbyJxD6KvNyncbJQuJJJ3zHinXg57YKwhJ7q9T9aJq4n"/>
        <s v="12soSZUb7UbsC8iLrTy6dUVkKCfNvQxMMSRtvZJkfQL1BPRX"/>
        <s v="13UVJyLnbVp9RBZYFwFGyDvVd1y27Tt8tkntv6Q7JVPhFsTB"/>
        <s v="15wbv2fXuFoeRcrWK4Q1Y5oM9LfsJyGmMXaUWDoAWXpZzWSp"/>
        <s v="1t3rUtnBQYeEWjwyivvVgTAdnt3Ndm7rPoMtsXxqbN9zery"/>
        <s v="15FsX8EdUftorgXBjtgbdD1NesqVPwfJPL79V5JDvk2CCc9x"/>
        <s v="14WBgUYr1scUwR5rvx7DwgMUhHtdtRyHMkurkU4AZ7wRgFxC"/>
        <s v="13jMGskc98pqSG4xf7KLNRzyjtr26jUxbJnQerrqD4dKyvsh"/>
        <s v="16He6v8w7FYToooNkPudf7YtaEiceLfaXJ3hJwJRGcSPGTgo"/>
        <s v="12mRyiCp9zdh1wEVW5gLLiFBxDPKks72rRXmSupyEK3VAMLf"/>
        <s v="15qz4ZLeyXp1i4Jbx7AXiUQVCCLWVXu3dLjcTPHY3v9KGAvL"/>
        <s v="12sMWVvgGNnRrhor2aUskxNq42EiTs4b2AMoCs5RrkVtNs2e"/>
        <s v="1316cTZeHz8HtEjaJRHu8sHbp9brtUmy2LiP74KZXgXhifry"/>
        <s v="1xtra1x2rXfWUxvFqscvUfjuDSx8AdEGhzADsYayZyicWsS"/>
        <s v="112FKz5UNxjXqe3Wowe73a8FHnR5B4R9qi2pbMaXJczGNJsx"/>
        <s v="12Qn3skJCjfbfeU6PCeAA9oV2NFe1xWMoHcEe9LVvFBHA2ei"/>
        <s v="14T3MFxNa4d7pyjRAdKU6tLC8sfde1HBLGNMHKCMFqjWRrrM"/>
        <s v="13ianMHbMJ3J1A7Ft769X2zXgppQzheRMRUFG7AQ77soJVk1"/>
        <s v="16X3CtQVwBvHGJCquvLw1ayG5SWk4qKUHudBDpQVGXBdvqdg"/>
        <s v="15PUkSRWuefDSLbEYp39MJ1zxShrratU4SXaLZanL8Zkren3"/>
        <s v="14oR2K2srg1jTZFxgJ39RttTpWanAmV27qqvxEL5YUeNZv3x"/>
        <s v="138jUztFkrSSYHpBs1EoNNjVLG7hYr7UZYAy4NRQGPhbb6VY"/>
        <s v="15DCme2GJxLz5yBeD3tkz5JFVtRyrBT7pham9aMGGT62yh3c"/>
        <s v="14wyzJLVcCvjXcBnB4DTYvtbobmri5fjAQQKwaRA3JeCxLos"/>
        <s v="13WVhKkqxEzCGqzn7yAT595oDeyRCHEDdW2rUUva5UYaKe3C"/>
        <s v="13cLXqkmiEn983QXBoF4Z8KAxyB2ryinm2p43r3qzWrVYwrv"/>
        <s v="12QHu3wumQWxYWXvZJyYuvLSR7H9tJs3jmgdQvL4jkRdG2pn"/>
        <s v="157HbMDJzgicoMvkTGfUQaw1XhknX8iyMU6iqwkZG7eutNJQ"/>
        <s v="15V3YDhibKoqFgQwZtyGNMDPyNtf8XUH2GU7BgRUqCQ1V9ku"/>
        <s v="1eeBEsvYXfjHzwTPYojFnf7XxmJkcTrdTzGfd6zm9fThpC5"/>
        <s v="13uwV8CBHjv25W3GACLPzzvTu2v9USc2yCQdhrqPhyM3vx6w"/>
        <s v="1gatoakSkH4be8KD9Ekj5xCXMdAiGxieg2NfTg41s2UME5J"/>
        <s v="1srcFWVcPn2oXEKuddMMTGCLQMDdRqxKKo9qpFTi8PA7NW1"/>
        <s v="15AVkixLRA3U7DJbLkmWSzAT4HTbpVeTBqPmsYZThmp2ykBL"/>
        <s v="12pUXtKj7jD3yaxnK6TWKBsxS1JpLUceBKZKMPMH6RiZvjr4"/>
        <s v="13nvTTfbnrxtHsKNqyXK4aWbwmSa4iGYq3UbrEwirZaG4Tmp"/>
        <s v="1Z6t6PFDNHdjGgfud2YDyE1eyxxbP7EvwYfy3QpHTcEmLp5"/>
        <s v="12QRC12udxzxSyFj9Sqs8tE6fzYtuWEjzuRN93CZk85GaSxr"/>
        <s v="163DJtcT4jwNgaMuUkBev8u9FLTP9YGZ4Ari6iBYGXs2RviA"/>
        <s v="15ho9b7DHy1gBxrHCEdi3h38rsJ3A6cSyFzWY1q7JoptW1Jn"/>
        <s v="13jTmeDrv75yy8DVrmTQ5fFs4Dqdo3STF8uRG2DVqAJMgYxe"/>
        <s v="15nKYvAm8Yu9QVK65JWrhfyabhHkWywg21X9gX4GFJo3v4cT"/>
        <s v="14MVAs6jPc7bPW33fC7eTwz4Zf1pD3KWW4tQtrHWUd9w1Phx"/>
        <s v="1fN87Fgj5BUhezFgbLiGbXTMrBVggnmYBX9anzMBky8KaJ5"/>
        <s v="17Mhc2sYRBswwpYiTQp2u1C1DoLQtCs9eDdrAqM1DAHvwee"/>
        <s v="16LjHWJ51bki8X654uCW65ZV7kiAMBDXkay3fWuhxnKLZX99"/>
        <s v="1eAL59EPokQFG4putYKwBjygGu3ewoHtyK3BSrgCMhM9ijf"/>
        <s v="12QzxRyL6ctkHHX8v92f2YUkgy9MGg6SUPCAwk5xUFsXhT1m"/>
        <s v="15tUgqVfVJTMTXGUSGXtV7GwbSDXm73Mga5SnEanbTqELqCi"/>
        <s v="16RgupyxyQJU7UDHX1FF5cjaSjceJ4iVK1nzePMzbsx1nxM4"/>
        <s v="14Uypo3euFeeVJYnUpExxSLbPrc57NTTKzbYHUA6Y5CmUKmr"/>
        <s v="1LXianUEPnzmJiL9Kb4hg56zKyJztqbwh5x8QdUknYuLbQN"/>
        <s v="1C42oGF3s8ztCsc22MA4LKd8BogMJNdVmCgtTXGfxqwjrSb"/>
        <s v="1A3CAKernZo3hGaQYNmfuhK1wLG51VPhV95VH7NrHPVAk8M"/>
        <s v="1KYJX482SpWZXLwtmspF3HiK3TQjms1jH67i4PqENfzYsoC"/>
        <s v="1gvSXTysfJ5F9tjMtuACQyp1dxbLDoYNr7HEQNE2N4dfUXH"/>
        <s v="126uimsLf3xV4BdPWFVntD49ANsN4vJvV8o5SCdRXiUwYS9f"/>
        <s v="16G7wZerqxib8YMDn3FKVfSMp1hky159JdhcGqHzy65F6RXE"/>
        <s v="1t67YMM4myXZ745px9a8PNWhU8FMyYJf5uXGowuwSAnp4x8"/>
        <s v="13B5YyS8u93FKbZYRFGh1BFwYjn5a8zhAJqEXtAWNmY7HzEu"/>
        <s v="1659xQWWCox1Kvems1aSi7sVbECLmyHT4Q5i39pZHMJb8tVc"/>
        <s v="13C9eaMNJPpEqEKRsEJ9P4DKxkb7XWQzeugEfdJkGdVFQPYh"/>
        <s v="15Sn8yJMmGEBMwZYLyr9bV49CPg3apGLNpCT1EdbtYgrnKhr"/>
        <s v="1rv96b4irpdH1dZE767TWzjwWxjH3ctSJRiF6juPVbW5udE"/>
        <s v="13mhGhH1XusScBGqv6GDy7okBTA28hErQgzdibiM1cUgzNgM"/>
        <s v="12aTyHELXwh9jD18FdvsPoNXJsf5cg49Ne7sD2BX6QvuP3GE"/>
        <s v="16DNbAdyy6QsTPdDDHL5gt7FaeAQ1UioJA6Pj7aUGJERveFd"/>
        <s v="158sHoKeq7ZesHMLcp2MkxFQpd7caEW6Rcy1md3AK1fuX8ak"/>
        <s v="14rQsJw6kiCEELTTeJ3yTaHWSFRhivuikAb82qKXJ7igeB6v"/>
        <s v="1NFfEH3yspdEgLnhZ5QWgb7B2z5LNCAE3HUo5nDxF5MqTcj"/>
        <s v="15UQ1nhCRRJoWf1C4LBraqCVXS91qPiWLiWQfnS3k8Dk4R79"/>
        <s v="14YXgiAqian6PWkABXGVhKB43tmbqMwscHLdhHi1qQVBeVQM"/>
        <s v="13g68Lsiu9PvD3Ro8HrM2rmhUPE38rCf4QhyA1FqiYhiEtgB"/>
        <s v="19bsWyxxQs5o2bpAABJD3cRtkRUBqUHZJiyq2zv31jQFRzG"/>
        <s v="12kSJsUGe6eMLqnibadLBJProwwNJBhfC3grB4yoGgkzff2U"/>
        <s v="13u3eUBZyVL1yvFjXXhDizT9wtsyFMPuvgqXXExLJvDnZSP4"/>
        <s v="123xYo8RqXR6mmCE7pxUh2YG5RnkJi4uj6C3vn4MpDvoyJQT"/>
        <s v="14zU4FXuYU2wmi2PfXLADZW92NRYEw8nfUEvi7sqiJLafJ3A"/>
        <s v="149BsxLw1jXeDnbh9WHd7Pezxyfnpwo3oYnJWWUEPQhsJkDm"/>
        <s v="13jNQeBeocjcKobMqBL9FpvSkQr2oQswFJrn2sy4tNNe8E5f"/>
        <s v="1ABthvYadBjA3vVKZ5caTPvc8qb8WMSng79mf7kxQnzfAij"/>
        <s v="15rox1e8G2SWg6EpyfiGVoH8q63shGXpXSmp7Sz8LYsUTfuN"/>
        <s v="15VRHQD9B2bhzjRxadArYu92uWPrE3GmvFb4NjqUNMqfhgUs"/>
        <s v="16chRF6zGohwhrCvotxt3sB1sLz3pgewC5th123mLoThhQAo"/>
        <s v="15ofDV8nx95Mrfq9rgLfe48GAf8Xcu12WG7cG5HTHFm7AR14"/>
        <s v="15g8f9DZoEjJnneMUREZ1JgGgtmqEmhxAGCJ4JtZNjT8SiZ2"/>
        <s v="13Ec62Cvw9jmPxA23EidSwASPs9X2Vohqv9RCogCfDvXC4c8"/>
        <s v="14xeAxD7LSJQmNXn2RQcm6WTJiByv6HKn6T8fTjqX1HeCMwR"/>
        <s v="125hDLmQApLutC9S1VQSnvFxk52iMCgyBfQtvk3hA57kzCPc"/>
        <s v="133VgJJgp1s9wxLqgCFxYx6T873hZQNchJM9tmbU6NkYaaqW"/>
        <s v="165n5jnbbkjZNyWaGMDaPzFARr3R89wb7eNtaG9erz2HUyey"/>
        <s v="16jLz2P4i3zorb3tTxk2HR6LKMCkRbo11DfVgjckzjHkPeui"/>
        <s v="13tGJdtNavQZEovGV2ovNtq5ckfyCLS4RiPVwaVfvXq2Jub3"/>
        <s v="14ogWEsaFHYk1rDcRMLVApekUd3np4e1ker81tBF6odd39Q9"/>
        <s v="16S4PEmaYJkP6M8LHqWc7gSg5YVXNPbiGZbsicrgDkmdyf2w"/>
        <s v="12zgSMDwF5xpzcksvEdDzcSFouFNroXGRffgnhogSk1kR7iS"/>
        <s v="14z9caBTF58zah1R7HZbUjMc8Lc5H4tz3sJ5JTaxBYkjWxnU"/>
        <s v="15uvBEdyLUCH4ZEjaQCcWv2afVxLRsdpRaSgMGvdHaDTiPWn"/>
        <s v="13EoVLNYDR7YCEkzX1rGEGEutE1mpCuu7UDmca4BfjRmGCit"/>
        <s v="14RuJvWbTGjC17QnyeXULBVdaRQpYgPcqz6EL5PgNX9jM4KU"/>
        <s v="167dwA1UDmWSBRrFd9dXqXjdk1NRhqVjenT2FbHGDyy44GjS"/>
        <s v="15reUHgnkE9QeH9zUoduCVYAbksTmQXvpMd6L95rBhTNFuGw"/>
        <s v="121Rs6fKm8nguHnvPfG1Cq3ctFuNAVZGRmghwkJwHpKxKjbx"/>
        <s v="13NevqvUKVA8VbQEksjkrT2W7p8wKDyAdZd4CjpsaiPDu1vT"/>
        <s v="166LkcArPr1fxYkWYFYfCnsB3HA8QY5vPTAzkxJCBDDKTMGv"/>
        <s v="1HrXYRi3stRzgPYNGaGMSxngbNAcPr4MLSVQY9PLCBVwvnw"/>
        <s v="14PiQ7uar36zPMgEckA7qWUahYheavRL6NHCbUCkXXRNrFSc"/>
        <s v="16JWPEVHTt1Xeyhw6WaYeXSKkWZCxhBDXX4LM3EwaBH4uSR1"/>
        <s v="14mZzbymFLQputQuxw2ern4BRKQ2igwMjbtrUz6m5BbVRBrc"/>
        <s v="1569WNv839m4iubJNkcp8wocAhXvdPsmLwms6fKXehTiQrkt"/>
        <s v="16Jbt5zru6XdUx1jYRV8AZtGk76ujtUNdd1UVWVVkVvGZ31L"/>
        <s v="14Z3KThT7jK4LtEwq8yshGWkx18BZy5eaW3mmAZKPePH95Xk"/>
        <s v="14H1xWm7LFz8u9FJ2roq9DDymUMyARz5gY736i5TMaSwvKC3"/>
        <s v="13msbKcRkxBR4uypvpnNhF5uarJ8Vqkr1ffrn9eko25QRgo1"/>
        <s v="15jVYrjFWz1aqkJhuzdBGeF1nKcfnVhUUWxyYxiC4tSezMm9"/>
        <s v="136t5kE5YfC1n64Y9Ta6eLYSHaSzTthgHSevmyAPjmJ65V1L"/>
        <s v="15G4hfDNtNhRc82As8Ep2YfvpM5xVdX7De3P9qSdHerGA6wC"/>
        <s v="1st63Adu7W4cB268CvKHfMwq5rJQkzTitBnWsvGrAx83iiT"/>
        <s v="14swtaH1B1rNc4aNHGnW1NC9r7rox11cvqXD7LGjuiujVM6"/>
        <s v="13rR4nr2HvzqQjDMVSmkYverHBxoMKsSr2WriGxwKxG69FcA"/>
        <s v="1Gta7cam3qzcmZkrzwea7ZDgzty1EgP8cCAwWpayw64GtYN"/>
        <s v="13hAqNjMMmvEhk3bEeAB2pHePpc4FfiQQviZefm4G9rvKyfT"/>
        <s v="12Sv81DXeah1B8edXhy7EFgqc68mj9V6zYYoayjGYxSQuebA"/>
        <s v="1eMGwHEaertoHK4GFvY7X4y3qZzEQ13nTdz8G7SAzXnDH2G"/>
        <s v="13H9Z6R1GaWnx7nvX1hgFXPCpzFb76kKEJ3jvy741yJkrz8g"/>
        <s v="123LuJKS65HaBbLSdDS46ByeC7bvQwA1iUhTpmjigQAfUKpK"/>
        <s v="12CHAK3YxJG5pGW6JAGp6Daj8ruRfPwCNbPM7jU8mC2zh2qD"/>
        <s v="13pbJnmDtgzcmjWSkpsazznFzsFNbMvKwsktxqgHtyJqXRhu"/>
        <s v="157CJLc4aa5zV7gij54DJCHGactsWcxbpnbRhY4p82dCW2KQ"/>
        <s v="12mvRSJUwpf6VfWLmgEJjcQgzzh2bCTSvFDwrykmijdzqS5m"/>
        <s v="13us6Meuo1u7hi7jers7Mh5LTfNEiFDA5g6qEUNeCc2FPEpy"/>
        <s v="14zeBBNT5poHFQwQXFYHoUhgLbsHrpscu2QGRiCNSqH1gf73"/>
        <s v="14m6YPTpa64jusibkvvCov4XsxW2ig7Hy3n23GpN9YVTqhUd"/>
        <s v="13R6AmmjuipkFoR75m9w57ngGed2p5vqCZjT1K3kjf5D28mU"/>
        <s v="13wTKVf96CDX36uBedQ6yiksz4GUQuqo2gfKoTX5EqY5yoDZ"/>
        <s v="13ug3JKbtky4qcZ2SR7kbCrk9tyZMymHxLhPBGLacPmonmEW"/>
        <s v="1ndvErzA6F2gHFXwEqjcPd7qtGnsZDiStpSj4A8LytDJRhf"/>
        <s v="15ibGdxo2BMnfHTafuu9MMS9cGt8WneGeWcpwkrG32Zcn8gV"/>
        <s v="13wmvijsjiRRinbf6g3yp6ZcktsqsjAfQfztGPqy8ipNtAEj"/>
        <s v="14PAhG3VayzwH7B38mWP7GqjaMVjzPqGUKA23Xk5hLMuRWeK"/>
        <s v="12okq3NN2F9SfwrY6MGApoUDQnJY9dijkyXPtLzzbdNcV5du"/>
        <s v="1VhpWfsZ9zamjxnJQWJ6SVZRrhzAbyp11udmB9VM1ZVtPzt"/>
        <s v="14V4wQA94N6fddsvCxRFLmvgd9ioueJpxgVogyV8FCfCnPsu"/>
        <s v="15EAQHGMubtYTvXtQJtM8sVznqTjNHPoms1RYq8g6C5oHBoe"/>
        <s v="1NffySg1JFijUrJhbYwox4XjD5qdLmUjaD5pQm2BwsLQcP3"/>
        <s v="1EKRJey3fBmXVZS5CpLkRrEN9HxxYrXKrm7rYTxuTDKKZTz"/>
        <s v="1g7gWHPydxLk71dwAzWF82dPCjrpJRbiTBYcJiNxTY8hZFi"/>
        <s v="1ZP6xigiPXU7hHoj3ywHF1jQ4cAv4Jpw4Q4wy7aBHem6erj"/>
        <s v="12F6yq8qJAULFKvrkVFTXnXfMhtHK7vf73ZKzugNqec7pTx9"/>
        <s v="16akMyoCUJdMiLfSLAendRrm4XFcdG3h4bjvDCWgeSMwD6gT"/>
        <s v="13gkjA3996REhFthyyPu596nzDdSbb1RXEEFwWaY2yLYL2Uk"/>
        <s v="15DPQskycLALmFjGnsB212D1oxDJC2NscHeC65kaWnK62Pcm"/>
        <s v="16FTioT9KiA7hEzDWz8eePdWhLLDEeJZyqXykiHSusNfY8kx"/>
        <s v="12GXLTbzNvXP51scYwZWi1KDdAygsS8TS8Mm8zGdvgV1RpEN"/>
        <s v="15ttNeS1nfEUKKw71UADWxKFBPuzuusDyL633iTySG1SHBub"/>
        <s v="13m5rH4tYcuEj6SM2AmDVmgZo4PFQNmm8qohaSAr73jrqWuU"/>
        <s v="15KRgf9qoRWodsws7REF1WXpsaJDys1igLf7rEaHWndTDasF"/>
        <s v="14gkEwCgG9AbaNPMLBgAh4V9YEdy8LbtS76ER2GVATF3qSr6"/>
        <s v="12nVpyJNX4UyVAx9wYPVA7FaB2MDJnEPSXuNknJyoWvQXD3B"/>
        <s v="1HPKZzzd9nyr2DdvtPxytNMZm3Ld5nh3BBY4Ecgg9JxgL7G"/>
        <s v="12auQ2MnukZEZcjQcKQcygRXerebcUuG5kvy2R95rYaUCcuR"/>
        <s v="16HqymHVxdLtK8jtbur7DusQrfLAVEJZfsQijfxVwhQHiTgU"/>
        <s v="15kFaHsh7qgnzBzAgyjDrxB9fhySEXGCRNDG4UK4gAZTD2TN"/>
        <s v="14j7N612MVBzLDw5rctvExdkF6P73uCoSdkFzdLDFJUYeb9n"/>
        <s v="14EFjQ2iut5WMgYDXNo9pSbMVEczwMuta1SddJ6KhTvGHU7F"/>
        <s v="12EaHwLhfcYrU4vHtiKpp4VgVHtBEMQa1yzUpe1BJi4VD3Kp"/>
        <s v="1c733KazWsgMkCNSft7DPKYFv3zhs9PTbXksXxND46R9TS6"/>
        <s v="151fSxLtpjaBRLGoo1DQB8n8ERLNR6ZduBnmjyzpypegJQp9"/>
        <s v="16NsH1tTBATkX82ZKRjQ6LB7nnePDoAupR3ZxPvDpcp6VWWa"/>
        <s v="15yPxY4HBSp6oS765bKGSDUF8wnsoG5soLhw3EC1gKe5GJWa"/>
        <s v="16YTH2eUZNH3ASDvHqyADyGhjcyxGfGXeo5q8z8DgVSn9xvZ"/>
        <s v="13p7Fnvg9aYFpumyBF7GRhA1HH1oMZArAc3XX7dQCpX5qMTW"/>
        <s v="13iWJcXHfxLuX1dum8N9LPJY5Uhr5aVEE491hofUVtkgHDaB"/>
        <s v="14wSnALBUv51KjbnFhb4wBMLcqzh5kAsAM9XXFvLZQAE6NPG"/>
        <s v="13CeHxBVttt4oeLNxbuhULNWfwnF4ykgPu69ejDKgdVUHg6w"/>
        <s v="14hBwSVmH7MKfbcGDW6D79zPaFKfRUAn6sAuz9UY8ZDCm4rt"/>
        <s v="1C5wY8SubUnURiDQUbQ5U4V9sL3hzjwiLiveGp1X4idptRq"/>
        <s v="13kyP9tRzQkShbY2cNUuwrpAfDTCksyHsGzkZ646WiX54xwJ"/>
        <s v="16AnoF5NQY3xZ6ovcsTWBhQDxWKB7AcExbj9u3a1juGtmTJ3"/>
        <s v="157gLBq5hiLsG1LYZzDw5xTWpgKrEK4bBPnfwwJgK7BCtyZa"/>
        <s v="13RRFsP5dqAZpm8PmnLXQn8QvsYPyTdEW9FiE3UbkaTEGaem"/>
        <s v="13L1z3C2TWR1Q6LB4JNrH9zsW59FcjqK2uKXaqVqdy4XmD6f"/>
        <s v="13Sj951PJzxMYMcrdmkkh6TGpnMA4VTwmDqvrBCiY1jEVQ6X"/>
        <s v="15iZD84rHAjuvaiKXBj2YAEPRJ8Tt4VS1M79HsYhieTvtJR4"/>
        <s v="14fhQS5myHCh3AQZZoELKpQuy2AfNe5am3PzTDvKi7i172n5"/>
      </sharedItems>
    </cacheField>
    <cacheField name="proposal_time" numFmtId="168">
      <sharedItems containsSemiMixedTypes="0" containsDate="1" containsString="0">
        <d v="2024-06-18T00:00:00Z"/>
        <d v="2024-06-17T00:00:00Z"/>
        <d v="2024-06-16T00:00:00Z"/>
        <d v="2024-06-14T00:00:00Z"/>
        <d v="2024-06-12T00:00:00Z"/>
        <d v="2024-06-11T00:00:00Z"/>
        <d v="2024-06-10T00:00:00Z"/>
        <d v="2024-06-09T00:00:00Z"/>
        <d v="2024-06-08T00:00:00Z"/>
        <d v="2024-06-06T00:00:00Z"/>
        <d v="2024-06-05T00:00:00Z"/>
        <d v="2024-06-04T00:00:00Z"/>
        <d v="2024-06-03T00:00:00Z"/>
        <d v="2024-06-02T00:00:00Z"/>
        <d v="2024-06-01T00:00:00Z"/>
        <d v="2024-05-31T00:00:00Z"/>
        <d v="2024-05-29T00:00:00Z"/>
        <d v="2024-05-28T00:00:00Z"/>
        <d v="2024-05-27T00:00:00Z"/>
        <d v="2024-05-26T00:00:00Z"/>
        <d v="2024-05-25T00:00:00Z"/>
        <d v="2024-05-22T00:00:00Z"/>
        <d v="2024-05-21T00:00:00Z"/>
        <d v="2024-05-20T00:00:00Z"/>
        <d v="2024-05-19T00:00:00Z"/>
        <d v="2024-05-16T00:00:00Z"/>
        <d v="2024-05-15T00:00:00Z"/>
        <d v="2024-05-14T00:00:00Z"/>
        <d v="2024-05-13T00:00:00Z"/>
        <d v="2024-05-12T00:00:00Z"/>
        <d v="2024-05-09T00:00:00Z"/>
        <d v="2024-05-07T00:00:00Z"/>
        <d v="2024-05-05T00:00:00Z"/>
        <d v="2024-05-02T00:00:00Z"/>
        <d v="2024-05-01T00:00:00Z"/>
        <d v="2024-04-30T00:00:00Z"/>
        <d v="2024-04-29T00:00:00Z"/>
        <d v="2024-04-28T00:00:00Z"/>
        <d v="2024-04-27T00:00:00Z"/>
        <d v="2024-04-26T00:00:00Z"/>
        <d v="2024-04-24T00:00:00Z"/>
        <d v="2024-04-20T00:00:00Z"/>
        <d v="2024-04-19T00:00:00Z"/>
        <d v="2024-04-18T00:00:00Z"/>
        <d v="2024-04-14T00:00:00Z"/>
        <d v="2024-04-13T00:00:00Z"/>
        <d v="2024-04-09T00:00:00Z"/>
        <d v="2024-04-08T00:00:00Z"/>
        <d v="2024-04-06T00:00:00Z"/>
        <d v="2024-04-05T00:00:00Z"/>
        <d v="2024-04-03T00:00:00Z"/>
        <d v="2024-04-02T00:00:00Z"/>
        <d v="2024-03-31T00:00:00Z"/>
        <d v="2024-03-30T00:00:00Z"/>
        <d v="2024-03-29T00:00:00Z"/>
        <d v="2024-03-27T00:00:00Z"/>
        <d v="2024-03-26T00:00:00Z"/>
        <d v="2024-03-16T00:00:00Z"/>
        <d v="2024-03-15T00:00:00Z"/>
        <d v="2024-03-14T00:00:00Z"/>
        <d v="2024-03-08T00:00:00Z"/>
        <d v="2024-03-06T00:00:00Z"/>
        <d v="2024-03-05T00:00:00Z"/>
        <d v="2024-03-04T00:00:00Z"/>
        <d v="2024-03-03T00:00:00Z"/>
        <d v="2024-03-01T00:00:00Z"/>
        <d v="2024-02-29T00:00:00Z"/>
        <d v="2024-02-28T00:00:00Z"/>
        <d v="2024-02-25T00:00:00Z"/>
        <d v="2024-02-21T00:00:00Z"/>
        <d v="2024-02-19T00:00:00Z"/>
        <d v="2024-02-18T00:00:00Z"/>
        <d v="2024-02-17T00:00:00Z"/>
        <d v="2024-02-12T00:00:00Z"/>
        <d v="2024-02-11T00:00:00Z"/>
        <d v="2024-02-09T00:00:00Z"/>
        <d v="2024-02-05T00:00:00Z"/>
        <d v="2024-02-04T00:00:00Z"/>
        <d v="2024-02-02T00:00:00Z"/>
        <d v="2024-02-01T00:00:00Z"/>
        <d v="2024-01-31T00:00:00Z"/>
        <d v="2024-01-28T00:00:00Z"/>
        <d v="2024-01-25T00:00:00Z"/>
        <d v="2024-01-24T00:00:00Z"/>
        <d v="2024-01-20T00:00:00Z"/>
        <d v="2024-01-19T00:00:00Z"/>
        <d v="2024-01-15T00:00:00Z"/>
        <d v="2024-01-09T00:00:00Z"/>
        <d v="2024-01-08T00:00:00Z"/>
        <d v="2024-01-04T00:00:00Z"/>
        <d v="2024-01-02T00:00:00Z"/>
        <d v="2024-01-01T00:00:00Z"/>
        <d v="2023-12-31T00:00:00Z"/>
        <d v="2023-12-25T00:00:00Z"/>
        <d v="2023-12-24T00:00:00Z"/>
        <d v="2023-12-19T00:00:00Z"/>
        <d v="2023-12-17T00:00:00Z"/>
        <d v="2023-12-05T00:00:00Z"/>
        <d v="2023-12-02T00:00:00Z"/>
        <d v="2023-11-29T00:00:00Z"/>
        <d v="2023-11-25T00:00:00Z"/>
        <d v="2023-11-18T00:00:00Z"/>
        <d v="2023-11-12T00:00:00Z"/>
        <d v="2023-11-03T00:00:00Z"/>
        <d v="2023-11-02T00:00:00Z"/>
        <d v="2023-11-01T00:00:00Z"/>
        <d v="2023-10-31T00:00:00Z"/>
        <d v="2023-10-30T00:00:00Z"/>
        <d v="2023-10-24T00:00:00Z"/>
        <d v="2023-10-23T00:00:00Z"/>
        <d v="2023-10-15T00:00:00Z"/>
        <d v="2023-10-14T00:00:00Z"/>
        <d v="2023-10-11T00:00:00Z"/>
        <d v="2023-10-09T00:00:00Z"/>
        <d v="2023-10-08T00:00:00Z"/>
        <d v="2023-10-07T00:00:00Z"/>
        <d v="2023-10-01T00:00:00Z"/>
        <d v="2023-09-30T00:00:00Z"/>
        <d v="2023-09-29T00:00:00Z"/>
        <d v="2023-09-26T00:00:00Z"/>
        <d v="2023-09-17T00:00:00Z"/>
        <d v="2023-09-14T00:00:00Z"/>
        <d v="2023-09-13T00:00:00Z"/>
        <d v="2023-09-12T00:00:00Z"/>
        <d v="2023-08-30T00:00:00Z"/>
        <d v="2023-08-29T00:00:00Z"/>
        <d v="2023-08-28T00:00:00Z"/>
        <d v="2023-08-26T00:00:00Z"/>
        <d v="2023-08-05T00:00:00Z"/>
        <d v="2023-08-02T00:00:00Z"/>
        <d v="2023-08-01T00:00:00Z"/>
        <d v="2023-07-29T00:00:00Z"/>
        <d v="2023-07-25T00:00:00Z"/>
        <d v="2023-07-16T00:00:00Z"/>
        <d v="2023-07-05T00:00:00Z"/>
        <d v="2023-07-02T00:00:00Z"/>
        <d v="2023-07-01T00:00:00Z"/>
        <d v="2023-06-25T00:00:00Z"/>
        <d v="2023-06-21T00:00:00Z"/>
        <d v="2023-06-14T00:00:00Z"/>
        <d v="2023-06-12T00:00:00Z"/>
        <d v="2023-06-11T00:00:00Z"/>
        <d v="2023-06-10T00:00:00Z"/>
        <d v="2023-06-06T00:00:00Z"/>
        <d v="2023-06-01T00:00:00Z"/>
        <d v="2023-05-31T00:00:00Z"/>
        <d v="2023-05-30T00:00:00Z"/>
        <d v="2023-05-24T00:00:00Z"/>
        <d v="2023-05-22T00:00:00Z"/>
        <d v="2023-05-15T00:00:00Z"/>
        <d v="2023-05-08T00:00:00Z"/>
        <d v="2023-05-04T00:00:00Z"/>
        <d v="2023-05-03T00:00:00Z"/>
        <d v="2023-05-02T00:00:00Z"/>
        <d v="2023-04-25T00:00:00Z"/>
        <d v="2023-04-16T00:00:00Z"/>
        <d v="2023-04-14T00:00:00Z"/>
        <d v="2023-04-12T00:00:00Z"/>
        <d v="2023-04-06T00:00:00Z"/>
        <d v="2023-04-04T00:00:00Z"/>
        <d v="2023-04-03T00:00:00Z"/>
        <d v="2023-04-02T00:00:00Z"/>
        <d v="2023-04-01T00:00:00Z"/>
        <d v="2023-03-29T00:00:00Z"/>
        <d v="2023-03-25T00:00:00Z"/>
        <d v="2023-03-12T00:00:00Z"/>
        <d v="2023-03-09T00:00:00Z"/>
        <d v="2023-03-08T00:00:00Z"/>
        <d v="2023-03-07T00:00:00Z"/>
        <d v="2023-03-06T00:00:00Z"/>
        <d v="2023-02-22T00:00:00Z"/>
        <d v="2023-02-20T00:00:00Z"/>
        <d v="2023-02-13T00:00:00Z"/>
        <d v="2023-02-05T00:00:00Z"/>
        <d v="2023-02-01T00:00:00Z"/>
        <d v="2023-01-28T00:00:00Z"/>
        <d v="2023-01-23T00:00:00Z"/>
        <d v="2023-01-22T00:00:00Z"/>
        <d v="2023-01-15T00:00:00Z"/>
        <d v="2023-01-09T00:00:00Z"/>
        <d v="2022-12-31T00:00:00Z"/>
        <d v="2022-12-29T00:00:00Z"/>
        <d v="2022-12-20T00:00:00Z"/>
        <d v="2022-12-18T00:00:00Z"/>
        <d v="2022-12-08T00:00:00Z"/>
        <d v="2022-12-06T00:00:00Z"/>
        <d v="2022-12-05T00:00:00Z"/>
        <d v="2022-12-04T00:00:00Z"/>
        <d v="2022-12-01T00:00:00Z"/>
        <d v="2022-11-30T00:00:00Z"/>
        <d v="2022-11-23T00:00:00Z"/>
        <d v="2022-11-21T00:00:00Z"/>
        <d v="2022-11-20T00:00:00Z"/>
        <d v="2022-11-14T00:00:00Z"/>
        <d v="2022-11-09T00:00:00Z"/>
        <d v="2022-11-07T00:00:00Z"/>
        <d v="2022-11-05T00:00:00Z"/>
        <d v="2022-11-02T00:00:00Z"/>
        <d v="2022-11-01T00:00:00Z"/>
        <d v="2022-10-19T00:00:00Z"/>
        <d v="2022-10-12T00:00:00Z"/>
        <d v="2022-10-02T00:00:00Z"/>
        <d v="2022-09-26T00:00:00Z"/>
        <d v="2022-09-25T00:00:00Z"/>
        <d v="2022-09-19T00:00:00Z"/>
        <d v="2022-09-13T00:00:00Z"/>
        <d v="2022-09-03T00:00:00Z"/>
        <d v="2022-08-31T00:00:00Z"/>
        <d v="2022-08-28T00:00:00Z"/>
        <d v="2022-08-14T00:00:00Z"/>
        <d v="2022-08-06T00:00:00Z"/>
        <d v="2022-07-31T00:00:00Z"/>
        <d v="2022-07-07T00:00:00Z"/>
        <d v="2022-07-03T00:00:00Z"/>
        <d v="2022-07-02T00:00:00Z"/>
        <d v="2022-06-20T00:00:00Z"/>
        <d v="2022-06-02T00:00:00Z"/>
        <d v="2022-05-31T00:00:00Z"/>
        <d v="2022-05-22T00:00:00Z"/>
        <d v="2022-05-14T00:00:00Z"/>
        <d v="2022-05-11T00:00:00Z"/>
        <d v="2022-05-04T00:00:00Z"/>
        <d v="2022-05-03T00:00:00Z"/>
      </sharedItems>
    </cacheField>
    <cacheField name="last_status_change" numFmtId="168">
      <sharedItems containsSemiMixedTypes="0" containsDate="1" containsString="0">
        <d v="2024-06-26T00:00:00Z"/>
        <d v="2024-06-17T00:00:00Z"/>
        <d v="2024-06-25T00:00:00Z"/>
        <d v="2024-06-16T00:00:00Z"/>
        <d v="2024-06-14T00:00:00Z"/>
        <d v="2024-06-23T00:00:00Z"/>
        <d v="2024-06-12T00:00:00Z"/>
        <d v="2024-06-22T00:00:00Z"/>
        <d v="2024-06-18T00:00:00Z"/>
        <d v="2024-06-19T00:00:00Z"/>
        <d v="2024-06-20T00:00:00Z"/>
        <d v="2024-06-09T00:00:00Z"/>
        <d v="2024-06-08T00:00:00Z"/>
        <d v="2024-06-24T00:00:00Z"/>
        <d v="2024-06-21T00:00:00Z"/>
        <d v="2024-06-13T00:00:00Z"/>
        <d v="2024-06-15T00:00:00Z"/>
        <d v="2024-06-04T00:00:00Z"/>
        <d v="2024-06-05T00:00:00Z"/>
        <d v="2024-06-11T00:00:00Z"/>
        <d v="2024-06-10T00:00:00Z"/>
        <d v="2024-06-01T00:00:00Z"/>
        <d v="2024-05-29T00:00:00Z"/>
        <d v="2024-06-07T00:00:00Z"/>
        <d v="2024-06-06T00:00:00Z"/>
        <d v="2024-05-26T00:00:00Z"/>
        <d v="2024-06-03T00:00:00Z"/>
        <d v="2024-06-02T00:00:00Z"/>
        <d v="2024-05-31T00:00:00Z"/>
        <d v="2024-05-30T00:00:00Z"/>
        <d v="2024-05-28T00:00:00Z"/>
        <d v="2024-05-27T00:00:00Z"/>
        <d v="2024-05-19T00:00:00Z"/>
        <d v="2024-05-22T00:00:00Z"/>
        <d v="2024-05-18T00:00:00Z"/>
        <d v="2024-05-21T00:00:00Z"/>
        <d v="2024-05-20T00:00:00Z"/>
        <d v="2024-05-24T00:00:00Z"/>
        <d v="2024-05-17T00:00:00Z"/>
        <d v="2024-05-16T00:00:00Z"/>
        <d v="2024-05-08T00:00:00Z"/>
        <d v="2024-05-11T00:00:00Z"/>
        <d v="2024-05-10T00:00:00Z"/>
        <d v="2024-05-15T00:00:00Z"/>
        <d v="2024-05-09T00:00:00Z"/>
        <d v="2024-05-13T00:00:00Z"/>
        <d v="2024-04-28T00:00:00Z"/>
        <d v="2024-05-07T00:00:00Z"/>
        <d v="2024-05-05T00:00:00Z"/>
        <d v="2024-05-04T00:00:00Z"/>
        <d v="2024-05-03T00:00:00Z"/>
        <d v="2024-05-06T00:00:00Z"/>
        <d v="2024-05-23T00:00:00Z"/>
        <d v="2024-05-02T00:00:00Z"/>
        <d v="2024-05-01T00:00:00Z"/>
        <d v="2024-04-29T00:00:00Z"/>
        <d v="2024-04-21T00:00:00Z"/>
        <d v="2024-04-27T00:00:00Z"/>
        <d v="2024-04-23T00:00:00Z"/>
        <d v="2024-04-24T00:00:00Z"/>
        <d v="2024-04-19T00:00:00Z"/>
        <d v="2024-04-15T00:00:00Z"/>
        <d v="2024-04-18T00:00:00Z"/>
        <d v="2024-04-16T00:00:00Z"/>
        <d v="2024-05-14T00:00:00Z"/>
        <d v="2024-04-14T00:00:00Z"/>
        <d v="2024-04-13T00:00:00Z"/>
        <d v="2024-04-11T00:00:00Z"/>
        <d v="2024-04-10T00:00:00Z"/>
        <d v="2024-04-08T00:00:00Z"/>
        <d v="2024-04-20T00:00:00Z"/>
        <d v="2024-04-22T00:00:00Z"/>
        <d v="2024-04-03T00:00:00Z"/>
        <d v="2024-04-05T00:00:00Z"/>
        <d v="2024-03-28T00:00:00Z"/>
        <d v="2024-04-04T00:00:00Z"/>
        <d v="2024-04-02T00:00:00Z"/>
        <d v="2024-04-06T00:00:00Z"/>
        <d v="2024-04-07T00:00:00Z"/>
        <d v="2024-03-24T00:00:00Z"/>
        <d v="2024-03-26T00:00:00Z"/>
        <d v="2024-03-27T00:00:00Z"/>
        <d v="2024-03-29T00:00:00Z"/>
        <d v="2024-03-16T00:00:00Z"/>
        <d v="2024-05-12T00:00:00Z"/>
        <d v="2024-03-14T00:00:00Z"/>
        <d v="2024-03-15T00:00:00Z"/>
        <d v="2024-03-04T00:00:00Z"/>
        <d v="2024-03-13T00:00:00Z"/>
        <d v="2024-03-12T00:00:00Z"/>
        <d v="2024-03-10T00:00:00Z"/>
        <d v="2024-03-09T00:00:00Z"/>
        <d v="2024-03-20T00:00:00Z"/>
        <d v="2024-03-11T00:00:00Z"/>
        <d v="2024-03-19T00:00:00Z"/>
        <d v="2024-03-07T00:00:00Z"/>
        <d v="2024-03-05T00:00:00Z"/>
        <d v="2024-03-06T00:00:00Z"/>
        <d v="2024-03-21T00:00:00Z"/>
        <d v="2024-03-18T00:00:00Z"/>
        <d v="2024-02-27T00:00:00Z"/>
        <d v="2024-02-26T00:00:00Z"/>
        <d v="2024-02-28T00:00:00Z"/>
        <d v="2024-02-29T00:00:00Z"/>
        <d v="2024-03-01T00:00:00Z"/>
        <d v="2024-02-20T00:00:00Z"/>
        <d v="2024-03-23T00:00:00Z"/>
        <d v="2024-03-02T00:00:00Z"/>
        <d v="2024-02-21T00:00:00Z"/>
        <d v="2024-02-23T00:00:00Z"/>
        <d v="2024-02-25T00:00:00Z"/>
        <d v="2024-02-17T00:00:00Z"/>
        <d v="2024-02-14T00:00:00Z"/>
        <d v="2024-02-05T00:00:00Z"/>
        <d v="2024-02-18T00:00:00Z"/>
        <d v="2024-02-19T00:00:00Z"/>
        <d v="2024-02-22T00:00:00Z"/>
        <d v="2024-02-13T00:00:00Z"/>
        <d v="2024-02-12T00:00:00Z"/>
        <d v="2024-02-11T00:00:00Z"/>
        <d v="2024-02-15T00:00:00Z"/>
        <d v="2024-02-10T00:00:00Z"/>
        <d v="2024-02-09T00:00:00Z"/>
        <d v="2024-02-06T00:00:00Z"/>
        <d v="2024-02-02T00:00:00Z"/>
        <d v="2024-02-01T00:00:00Z"/>
        <d v="2024-01-30T00:00:00Z"/>
        <d v="2024-01-28T00:00:00Z"/>
        <d v="2024-01-29T00:00:00Z"/>
        <d v="2024-01-16T00:00:00Z"/>
        <d v="2024-01-24T00:00:00Z"/>
        <d v="2024-03-31T00:00:00Z"/>
        <d v="2024-01-27T00:00:00Z"/>
        <d v="2024-01-17T00:00:00Z"/>
        <d v="2024-01-15T00:00:00Z"/>
        <d v="2024-01-13T00:00:00Z"/>
        <d v="2024-01-11T00:00:00Z"/>
        <d v="2024-01-09T00:00:00Z"/>
        <d v="2024-01-10T00:00:00Z"/>
        <d v="2024-01-05T00:00:00Z"/>
        <d v="2024-01-02T00:00:00Z"/>
        <d v="2024-01-03T00:00:00Z"/>
        <d v="2023-12-27T00:00:00Z"/>
        <d v="2024-01-06T00:00:00Z"/>
        <d v="2023-12-30T00:00:00Z"/>
        <d v="2024-01-18T00:00:00Z"/>
        <d v="2023-12-17T00:00:00Z"/>
        <d v="2023-12-13T00:00:00Z"/>
        <d v="2023-12-19T00:00:00Z"/>
        <d v="2023-12-08T00:00:00Z"/>
        <d v="2023-12-12T00:00:00Z"/>
        <d v="2023-12-09T00:00:00Z"/>
        <d v="2023-12-04T00:00:00Z"/>
        <d v="2023-12-05T00:00:00Z"/>
        <d v="2023-12-03T00:00:00Z"/>
        <d v="2023-12-20T00:00:00Z"/>
        <d v="2023-11-20T00:00:00Z"/>
        <d v="2023-11-11T00:00:00Z"/>
        <d v="2023-11-12T00:00:00Z"/>
        <d v="2023-11-10T00:00:00Z"/>
        <d v="2023-11-09T00:00:00Z"/>
        <d v="2023-11-08T00:00:00Z"/>
        <d v="2023-11-01T00:00:00Z"/>
        <d v="2023-11-06T00:00:00Z"/>
        <d v="2023-11-02T00:00:00Z"/>
        <d v="2023-11-04T00:00:00Z"/>
        <d v="2023-11-19T00:00:00Z"/>
        <d v="2023-10-23T00:00:00Z"/>
        <d v="2023-10-24T00:00:00Z"/>
        <d v="2023-10-29T00:00:00Z"/>
        <d v="2023-10-22T00:00:00Z"/>
        <d v="2023-12-25T00:00:00Z"/>
        <d v="2023-10-18T00:00:00Z"/>
        <d v="2023-10-16T00:00:00Z"/>
        <d v="2023-10-15T00:00:00Z"/>
        <d v="2023-10-10T00:00:00Z"/>
        <d v="2023-10-11T00:00:00Z"/>
        <d v="2023-10-13T00:00:00Z"/>
        <d v="2023-10-08T00:00:00Z"/>
        <d v="2023-10-09T00:00:00Z"/>
        <d v="2023-10-07T00:00:00Z"/>
        <d v="2023-10-14T00:00:00Z"/>
        <d v="2023-09-27T00:00:00Z"/>
        <d v="2023-09-26T00:00:00Z"/>
        <d v="2023-09-14T00:00:00Z"/>
        <d v="2023-09-17T00:00:00Z"/>
        <d v="2023-09-13T00:00:00Z"/>
        <d v="2023-09-08T00:00:00Z"/>
        <d v="2023-09-07T00:00:00Z"/>
        <d v="2023-08-30T00:00:00Z"/>
        <d v="2023-09-06T00:00:00Z"/>
        <d v="2023-09-09T00:00:00Z"/>
        <d v="2023-09-28T00:00:00Z"/>
        <d v="2023-09-23T00:00:00Z"/>
        <d v="2023-10-12T00:00:00Z"/>
        <d v="2023-08-14T00:00:00Z"/>
        <d v="2023-08-17T00:00:00Z"/>
        <d v="2023-08-15T00:00:00Z"/>
        <d v="2023-08-10T00:00:00Z"/>
        <d v="2023-08-02T00:00:00Z"/>
        <d v="2023-08-11T00:00:00Z"/>
        <d v="2023-08-09T00:00:00Z"/>
        <d v="2023-08-20T00:00:00Z"/>
        <d v="2023-08-12T00:00:00Z"/>
        <d v="2023-08-08T00:00:00Z"/>
        <d v="2023-10-30T00:00:00Z"/>
        <d v="2023-08-19T00:00:00Z"/>
        <d v="2023-08-04T00:00:00Z"/>
        <d v="2023-09-16T00:00:00Z"/>
        <d v="2023-08-06T00:00:00Z"/>
        <d v="2023-07-15T00:00:00Z"/>
        <d v="2023-07-10T00:00:00Z"/>
        <d v="2023-07-11T00:00:00Z"/>
        <d v="2023-07-12T00:00:00Z"/>
        <d v="2023-07-14T00:00:00Z"/>
        <d v="2023-07-09T00:00:00Z"/>
        <d v="2023-07-13T00:00:00Z"/>
        <d v="2023-07-04T00:00:00Z"/>
        <d v="2023-06-26T00:00:00Z"/>
        <d v="2023-06-23T00:00:00Z"/>
        <d v="2023-06-21T00:00:00Z"/>
        <d v="2023-06-22T00:00:00Z"/>
        <d v="2023-06-20T00:00:00Z"/>
        <d v="2023-06-24T00:00:00Z"/>
        <d v="2023-06-11T00:00:00Z"/>
        <d v="2023-06-19T00:00:00Z"/>
        <d v="2023-06-15T00:00:00Z"/>
        <d v="2023-07-01T00:00:00Z"/>
        <d v="2023-06-17T00:00:00Z"/>
        <d v="2023-06-10T00:00:00Z"/>
        <d v="2023-06-09T00:00:00Z"/>
        <d v="2023-06-08T00:00:00Z"/>
        <d v="2023-06-16T00:00:00Z"/>
        <d v="2023-06-14T00:00:00Z"/>
        <d v="2023-06-07T00:00:00Z"/>
        <d v="2023-06-03T00:00:00Z"/>
        <d v="2023-05-24T00:00:00Z"/>
        <d v="2023-05-30T00:00:00Z"/>
        <d v="2023-06-01T00:00:00Z"/>
        <d v="2023-05-31T00:00:00Z"/>
        <d v="2023-06-05T00:00:00Z"/>
        <d v="2023-06-02T00:00:00Z"/>
        <d v="2023-05-16T00:00:00Z"/>
        <d v="2023-05-13T00:00:00Z"/>
        <d v="2023-05-12T00:00:00Z"/>
        <d v="2023-05-11T00:00:00Z"/>
        <d v="2023-05-14T00:00:00Z"/>
        <d v="2023-05-10T00:00:00Z"/>
        <d v="2023-05-20T00:00:00Z"/>
        <d v="2023-04-24T00:00:00Z"/>
        <d v="2023-04-29T00:00:00Z"/>
        <d v="2023-04-26T00:00:00Z"/>
        <d v="2023-04-22T00:00:00Z"/>
        <d v="2023-04-15T00:00:00Z"/>
        <d v="2023-04-27T00:00:00Z"/>
        <d v="2023-04-16T00:00:00Z"/>
        <d v="2023-04-17T00:00:00Z"/>
        <d v="2023-04-12T00:00:00Z"/>
        <d v="2023-04-13T00:00:00Z"/>
        <d v="2023-04-11T00:00:00Z"/>
        <d v="2023-07-03T00:00:00Z"/>
        <d v="2023-04-02T00:00:00Z"/>
        <d v="2023-04-14T00:00:00Z"/>
        <d v="2023-04-07T00:00:00Z"/>
        <d v="2023-04-09T00:00:00Z"/>
        <d v="2023-03-23T00:00:00Z"/>
        <d v="2023-03-22T00:00:00Z"/>
        <d v="2023-03-18T00:00:00Z"/>
        <d v="2023-03-20T00:00:00Z"/>
        <d v="2023-03-08T00:00:00Z"/>
        <d v="2023-03-17T00:00:00Z"/>
        <d v="2023-03-19T00:00:00Z"/>
        <d v="2023-03-16T00:00:00Z"/>
        <d v="2023-03-15T00:00:00Z"/>
        <d v="2023-03-24T00:00:00Z"/>
        <d v="2023-04-04T00:00:00Z"/>
        <d v="2023-03-05T00:00:00Z"/>
        <d v="2023-03-03T00:00:00Z"/>
        <d v="2023-02-21T00:00:00Z"/>
        <d v="2023-02-26T00:00:00Z"/>
        <d v="2023-03-12T00:00:00Z"/>
        <d v="2023-02-15T00:00:00Z"/>
        <d v="2023-02-11T00:00:00Z"/>
        <d v="2023-02-07T00:00:00Z"/>
        <d v="2023-02-03T00:00:00Z"/>
        <d v="2023-02-06T00:00:00Z"/>
        <d v="2023-02-05T00:00:00Z"/>
        <d v="2023-01-23T00:00:00Z"/>
        <d v="2023-01-25T00:00:00Z"/>
        <d v="2023-01-14T00:00:00Z"/>
        <d v="2023-01-09T00:00:00Z"/>
        <d v="2023-01-08T00:00:00Z"/>
        <d v="2023-01-15T00:00:00Z"/>
        <d v="2023-01-07T00:00:00Z"/>
        <d v="2022-12-31T00:00:00Z"/>
        <d v="2023-01-01T00:00:00Z"/>
        <d v="2022-12-17T00:00:00Z"/>
        <d v="2022-12-14T00:00:00Z"/>
        <d v="2022-12-19T00:00:00Z"/>
        <d v="2022-12-13T00:00:00Z"/>
        <d v="2022-12-10T00:00:00Z"/>
        <d v="2022-12-02T00:00:00Z"/>
        <d v="2022-12-01T00:00:00Z"/>
        <d v="2022-11-29T00:00:00Z"/>
        <d v="2022-12-03T00:00:00Z"/>
        <d v="2022-12-16T00:00:00Z"/>
        <d v="2022-11-23T00:00:00Z"/>
        <d v="2023-01-04T00:00:00Z"/>
        <d v="2022-12-12T00:00:00Z"/>
        <d v="2023-06-04T00:00:00Z"/>
        <d v="2022-11-24T00:00:00Z"/>
        <d v="2022-12-07T00:00:00Z"/>
        <d v="2022-11-17T00:00:00Z"/>
        <d v="2022-11-15T00:00:00Z"/>
        <d v="2022-11-16T00:00:00Z"/>
        <d v="2022-11-14T00:00:00Z"/>
        <d v="2022-11-11T00:00:00Z"/>
        <d v="2022-11-10T00:00:00Z"/>
        <d v="2022-11-12T00:00:00Z"/>
        <d v="2022-11-09T00:00:00Z"/>
        <d v="2022-11-21T00:00:00Z"/>
        <d v="2022-10-27T00:00:00Z"/>
        <d v="2022-11-01T00:00:00Z"/>
        <d v="2022-10-23T00:00:00Z"/>
        <d v="2022-10-11T00:00:00Z"/>
        <d v="2022-10-12T00:00:00Z"/>
        <d v="2022-10-10T00:00:00Z"/>
        <d v="2022-10-09T00:00:00Z"/>
        <d v="2022-10-04T00:00:00Z"/>
        <d v="2022-10-02T00:00:00Z"/>
        <d v="2022-09-28T00:00:00Z"/>
        <d v="2022-09-23T00:00:00Z"/>
        <d v="2022-09-13T00:00:00Z"/>
        <d v="2022-09-11T00:00:00Z"/>
        <d v="2022-09-08T00:00:00Z"/>
        <d v="2022-09-10T00:00:00Z"/>
        <d v="2022-09-09T00:00:00Z"/>
        <d v="2022-09-12T00:00:00Z"/>
        <d v="2022-09-05T00:00:00Z"/>
        <d v="2022-09-06T00:00:00Z"/>
        <d v="2022-08-23T00:00:00Z"/>
        <d v="2022-08-15T00:00:00Z"/>
        <d v="2022-08-08T00:00:00Z"/>
        <d v="2022-08-09T00:00:00Z"/>
        <d v="2022-07-17T00:00:00Z"/>
        <d v="2022-07-18T00:00:00Z"/>
        <d v="2022-07-11T00:00:00Z"/>
        <d v="2022-07-30T00:00:00Z"/>
        <d v="2022-08-07T00:00:00Z"/>
        <d v="2022-07-03T00:00:00Z"/>
        <d v="2022-06-13T00:00:00Z"/>
        <d v="2022-06-11T00:00:00Z"/>
        <d v="2022-06-12T00:00:00Z"/>
        <d v="2022-06-09T00:00:00Z"/>
        <d v="2022-06-02T00:00:00Z"/>
        <d v="2022-05-30T00:00:00Z"/>
        <d v="2022-06-22T00:00:00Z"/>
        <d v="2023-03-29T00:00:00Z"/>
        <d v="2022-05-26T00:00:00Z"/>
        <d v="2022-05-27T00:00:00Z"/>
        <d v="2022-05-25T00:00:00Z"/>
        <d v="2022-05-20T00:00:00Z"/>
        <d v="2022-05-22T00:00:00Z"/>
        <d v="2022-05-14T00:00:00Z"/>
        <d v="2022-05-13T00:00:00Z"/>
      </sharedItems>
    </cacheField>
    <cacheField name="USD latest" numFmtId="164">
      <sharedItems containsSemiMixedTypes="0" containsString="0" containsNumber="1">
        <n v="35232.61980390549"/>
        <n v="1661.539273376465"/>
        <n v="799.1253149318695"/>
        <n v="7621.086978607178"/>
        <n v="70.22654473304749"/>
        <n v="41.526930532455445"/>
        <n v="89.69902135848999"/>
        <n v="377.5776032114029"/>
        <n v="242.2124834442139"/>
        <n v="4644.316464500427"/>
        <n v="55731.566547966"/>
        <n v="58518.20263187408"/>
        <n v="124003.2264995575"/>
        <n v="1060.1193161535264"/>
        <n v="668.1306505203247"/>
        <n v="694.6138867378235"/>
        <n v="113148.29584121704"/>
        <n v="1762.4470310211184"/>
        <n v="2994.8044939041138"/>
        <n v="119066.73669815063"/>
        <n v="126.7980115032196"/>
        <n v="61.677723101390264"/>
        <n v="257.5258483399199"/>
        <n v="328.54677208475346"/>
        <n v="357.99055459884687"/>
        <n v="315.64095103942986"/>
        <n v="320.8054135333235"/>
        <n v="236.02251081537813"/>
        <n v="236.23973609798864"/>
        <n v="30.860841274261475"/>
        <n v="49.948990025520324"/>
        <n v="45.44960260391235"/>
        <n v="37.59411573410034"/>
        <n v="27.589775848388673"/>
        <n v="35.34709453582764"/>
        <n v="125.85612177848816"/>
        <n v="901.6976714134215"/>
        <n v="176.74845457077026"/>
        <n v="62.82421875476837"/>
        <n v="182.80840158462524"/>
        <n v="190.66388845443723"/>
        <n v="170.96906065940857"/>
        <n v="206.82374715805054"/>
        <n v="95.5002760887146"/>
        <n v="43.971205258369444"/>
        <n v="71.38854500770569"/>
        <n v="50.52377702236175"/>
        <n v="119.55569534301758"/>
        <n v="182.3224353981018"/>
        <n v="62.23945409005628"/>
        <n v="320.2345503686874"/>
        <n v="236.0791935027304"/>
        <n v="242.30956272636146"/>
        <n v="328.6272341609642"/>
        <n v="320.2083292414322"/>
        <n v="383.7699204645901"/>
        <n v="319.78179682430147"/>
        <n v="320.3329750523227"/>
        <n v="33.23488213479967"/>
        <n v="62.401174347006304"/>
        <n v="66.97362014468268"/>
        <n v="337.9352293522467"/>
        <n v="319.2386709719507"/>
        <n v="376.68030641632043"/>
        <n v="236.20781226202232"/>
        <n v="283.13605350633713"/>
        <n v="277.9695937417626"/>
        <n v="260.0099955115321"/>
        <n v="235.91450873898427"/>
        <n v="385.44917994659824"/>
        <n v="338.6500831724007"/>
        <n v="320.07162271351103"/>
        <n v="320.2302801877466"/>
        <n v="106.61017894744873"/>
        <n v="10100.397920722962"/>
        <n v="10729.66358850956"/>
        <n v="9413.879392147064"/>
        <n v="9668.399629497528"/>
        <n v="11325.772105126382"/>
        <n v="10100.461719694138"/>
        <n v="1770.9429142570496"/>
        <n v="9063.149855589867"/>
        <n v="11327.162715973855"/>
        <n v="10001.09938867092"/>
        <n v="9173.222397475243"/>
        <n v="9704.435741209983"/>
        <n v="115327.31317520142"/>
        <n v="10490.011601448059"/>
        <n v="184.95071189403532"/>
        <n v="183.00705909252167"/>
        <n v="23.117575645446777"/>
        <n v="100.93517067909242"/>
        <n v="123.30082847595216"/>
        <n v="446.0788023471832"/>
        <n v="41.65930455207825"/>
        <n v="1400.280365190506"/>
        <n v="2257.4312506580354"/>
        <n v="2156.050510120392"/>
        <n v="2162.979289007187"/>
        <n v="9232.350807189941"/>
        <n v="1031.754123940468"/>
        <n v="1248.3312785625458"/>
        <n v="1033.6294545030594"/>
        <n v="3729.383812904358"/>
        <n v="3481.6910362243652"/>
        <n v="3184.159755706787"/>
        <n v="3310.2836775779724"/>
        <n v="4076.401873011589"/>
        <n v="118581.3500902472"/>
        <n v="48916.94271182947"/>
        <n v="51362.78985002833"/>
        <n v="225.33529389953614"/>
        <n v="4048.9341158866882"/>
        <n v="986.0417938232422"/>
        <n v="1756.3869452476501"/>
        <n v="1096.971495628357"/>
        <n v="1109.2970180511475"/>
        <n v="2465.1044845581055"/>
        <n v="1220.2267198562622"/>
        <n v="1084.6459732055664"/>
        <n v="3136.845456600189"/>
        <n v="1158.5991077423096"/>
        <n v="215.75273811064858"/>
        <n v="431.50547622129716"/>
        <n v="647.2582137169022"/>
        <n v="890.6416658629116"/>
        <n v="433.6046109199524"/>
        <n v="25890.31449758053"/>
        <n v="1851.8953415203093"/>
        <n v="2202.2520452928543"/>
        <n v="5765.491135425091"/>
        <n v="222.62417674064636"/>
        <n v="248.04281330108643"/>
        <n v="443.29702787399293"/>
        <n v="574.5294058799743"/>
        <n v="1276.4664776802063"/>
        <n v="469.8976652622223"/>
        <n v="902.1765504360199"/>
        <n v="150.34028601646423"/>
        <n v="429.5444564342499"/>
        <n v="1030.8450678300858"/>
        <n v="254.011125497818"/>
        <n v="242.31394017219543"/>
        <n v="281.9385991573334"/>
        <n v="531.8928327274323"/>
        <n v="1063.8492661762239"/>
        <n v="211.67593791484833"/>
        <n v="250.4810680627823"/>
        <n v="354.63762229919433"/>
        <n v="319.2084463119507"/>
        <n v="579.6443321609497"/>
        <n v="1353.062574148178"/>
        <n v="1489.4016927909852"/>
        <n v="819.240891828537"/>
        <n v="19.12883816719055"/>
        <n v="131.3032146692276"/>
        <n v="13.241208434104918"/>
        <n v="129.89470531463624"/>
        <n v="50.551411509513855"/>
        <n v="20.469974422454833"/>
        <n v="33.26317727088929"/>
        <n v="151.65423452854156"/>
        <n v="100.9304993391037"/>
        <n v="20.288630113601684"/>
        <n v="72.27221155166626"/>
        <n v="117.08359181880951"/>
        <n v="23.286624479293824"/>
        <n v="444.1349173784256"/>
        <n v="252.9655091342926"/>
        <n v="41919.99544620514"/>
        <n v="444.0031868457794"/>
        <n v="1220.3167371368409"/>
        <n v="1103.2648498344422"/>
        <n v="1287.8027549266817"/>
        <n v="1160.2392442035675"/>
        <n v="1337.9915057373046"/>
        <n v="75537.58044419289"/>
        <n v="6726.159330368042"/>
        <n v="15.027559327122018"/>
        <n v="12.045348277473536"/>
        <n v="13.692362123324825"/>
        <n v="97.25330212478637"/>
        <n v="98.17256304168701"/>
        <n v="113.18655602798461"/>
        <n v="100.36702636260986"/>
        <n v="1093.5293653964998"/>
        <n v="1495.823417739868"/>
        <n v="1364.2675193691255"/>
        <n v="1271.7666177654266"/>
        <n v="1384.651984062195"/>
        <n v="1631.9060892677307"/>
        <n v="106.72938254356386"/>
        <n v="247840.3480205536"/>
        <n v="4417.702824840546"/>
        <n v="111193.39516560556"/>
        <n v="1009.370979309082"/>
        <n v="1366.4064388465881"/>
        <n v="487.98233631134036"/>
        <n v="28.856916508674622"/>
        <n v="22.358869934082033"/>
        <n v="26.55115804672241"/>
        <n v="20.68195468902588"/>
        <n v="107.74180449485779"/>
        <n v="92.30020994663239"/>
        <n v="14.141985233306885"/>
        <n v="207.72787598133087"/>
        <n v="122.69429876327514"/>
        <n v="143.096767578125"/>
        <n v="5131.1506503105165"/>
        <n v="82224.64503097534"/>
        <n v="10727.649428367615"/>
        <n v="700064.2426943779"/>
        <n v="2493.086895465851"/>
        <n v="15965.617486953735"/>
        <n v="175.18899734497072"/>
        <n v="261.0761583328247"/>
        <n v="59.64794636726379"/>
        <n v="186.00056999206544"/>
        <n v="119.37017411231994"/>
        <n v="4209.637880458831"/>
        <n v="3730.0897500705714"/>
        <n v="2026.0174836826322"/>
        <n v="4746.215666885377"/>
        <n v="4049.83631980896"/>
        <n v="2477.1105112504956"/>
        <n v="724.5584197235108"/>
        <n v="24726.648113985062"/>
        <n v="1470.156380777359"/>
        <n v="226.96363166332245"/>
        <n v="24.413260092735293"/>
        <n v="24.920360450744628"/>
        <n v="233.83777729034423"/>
        <n v="919618.0729379654"/>
        <n v="129180.1940574646"/>
        <n v="566873.001636982"/>
        <n v="175550.89965200424"/>
        <n v="160924.67646884918"/>
        <n v="65.45032043893697"/>
        <n v="252.76935914229549"/>
        <n v="361.60025791350654"/>
        <n v="356.33793694999883"/>
        <n v="363.43063042264663"/>
        <n v="269.6168712402383"/>
        <n v="282.94508370199213"/>
        <n v="412.9777973710427"/>
        <n v="98.40794420577453"/>
        <n v="371.05718254466376"/>
        <n v="262.918901380946"/>
        <n v="286.08821683783776"/>
        <n v="265.27734147162744"/>
        <n v="297.6162720044068"/>
        <n v="45.975431140600556"/>
        <n v="68.18053680002535"/>
        <n v="126.7498216790012"/>
        <n v="254.76450644379332"/>
        <n v="280.86318130236094"/>
        <n v="109.33160294132931"/>
        <n v="379.2744664095732"/>
        <n v="395.16430891906117"/>
        <n v="372.792043097055"/>
        <n v="224.6713055380053"/>
        <n v="381.1454097230122"/>
        <n v="276.8539234396462"/>
        <n v="276.01295715569245"/>
        <n v="275.03508938482554"/>
        <n v="279.2203634464404"/>
        <n v="68.24621187365523"/>
        <n v="116.73576040605629"/>
        <n v="373.48588926679747"/>
        <n v="372.06228243235773"/>
        <n v="283.1409571360072"/>
        <n v="249.71118395768255"/>
        <n v="370.5859494187313"/>
        <n v="394.15455145252656"/>
        <n v="377.75670976939654"/>
        <n v="281.65393393510294"/>
        <n v="274.21881792986176"/>
        <n v="275.0405939093657"/>
        <n v="267.2728542930643"/>
        <n v="10369.899596214294"/>
        <n v="537.3726175594329"/>
        <n v="806.0589263391495"/>
        <n v="94813.20697569847"/>
        <n v="56692.587339019774"/>
        <n v="9057.816326141357"/>
        <n v="40132.50814533234"/>
        <n v="346.87674045562744"/>
        <n v="349.8929977416992"/>
        <n v="12133.753804206848"/>
        <n v="13612.328640460968"/>
        <n v="12814.235840320587"/>
        <n v="11603.184425354004"/>
        <n v="11824.971375465393"/>
        <n v="1030.5573329925537"/>
        <n v="29519.210612773895"/>
        <n v="16166.175353050232"/>
        <n v="43130.653908252716"/>
        <n v="29220.93856859207"/>
        <n v="2518.9582659816742"/>
        <n v="1610.6550031661986"/>
        <n v="6382.495803375245"/>
        <n v="669.8825268745422"/>
        <n v="718.2818030043165"/>
        <n v="1533.4421844839173"/>
        <n v="2267.484438140214"/>
        <n v="538.3173402786255"/>
        <n v="396.5607003688812"/>
        <n v="388.08622159957883"/>
        <n v="247.6021735191345"/>
        <n v="495.204347038269"/>
        <n v="969.2437187194823"/>
        <n v="990.408694076538"/>
        <n v="1189.0200632095336"/>
        <n v="1396.2033514976501"/>
        <n v="1664.495680913925"/>
        <n v="1426.6916682720184"/>
        <n v="625.320503616333"/>
        <n v="698.1016757488251"/>
        <n v="803.2192622423172"/>
        <n v="6665.497779846191"/>
        <n v="6669.936915206909"/>
        <n v="8574.355184874534"/>
        <n v="113.36371511936187"/>
        <n v="933.1538669013978"/>
        <n v="642.1954195833206"/>
        <n v="742.7923941612244"/>
        <n v="1308.8677543830872"/>
        <n v="1548.3113541603088"/>
        <n v="1412.1438364219666"/>
        <n v="1406.9012471866608"/>
        <n v="1332.4836755132676"/>
        <n v="1222.4968730020523"/>
        <n v="1542.5095554065704"/>
        <n v="1408.233640551567"/>
        <n v="1645.6526320695878"/>
        <n v="112.46565228939056"/>
        <n v="893.5599501037598"/>
        <n v="213.43379379272463"/>
        <n v="1414.125120306015"/>
        <n v="413.66097702026366"/>
        <n v="1610.3137095165253"/>
        <n v="868.1727773666382"/>
        <n v="1233.3365929031372"/>
        <n v="1677.6780560016632"/>
        <n v="323.45377459526065"/>
        <n v="2305.389199733734"/>
        <n v="54735.32352023601"/>
        <n v="8966.225616168977"/>
        <n v="20705.006443419454"/>
        <n v="5904.343799180984"/>
        <n v="1351.1200977230071"/>
        <n v="36097.085616230965"/>
        <n v="15198.436926941871"/>
        <n v="5175.742196502686"/>
        <n v="3981.881259475708"/>
        <n v="3606.496772670746"/>
        <n v="1844.4501023292542"/>
        <n v="5152.136165210724"/>
        <n v="3742.7451550636288"/>
        <n v="2255.145736217499"/>
        <n v="656.3135190205575"/>
        <n v="7.454471111297607"/>
        <n v="143770.574150486"/>
        <n v="308.17468872070316"/>
        <n v="68160.11169695854"/>
        <n v="34997.67335188389"/>
        <n v="69579.22166061401"/>
        <n v="2870.7400226593018"/>
        <n v="15992.91948223114"/>
        <n v="23518.594665527344"/>
        <n v="45391.62646865845"/>
        <n v="465198.0544750214"/>
        <n v="41306.89853858948"/>
        <n v="963.2288932800293"/>
        <n v="10992.547159194946"/>
        <n v="7606.97097158432"/>
        <n v="5077.851093162537"/>
        <n v="1902.391249622822"/>
        <n v="1937.1778937306406"/>
        <n v="561.3969394826889"/>
        <n v="202.073418006897"/>
        <n v="1995.9440061092375"/>
        <n v="374.2646263217926"/>
        <n v="24199.868242263794"/>
        <n v="55198.465101909635"/>
        <n v="389.8353935480118"/>
        <n v="155.9341574192047"/>
        <n v="896.1452024459838"/>
        <n v="935.6049445152282"/>
        <n v="368.13408330202105"/>
        <n v="441.76089996242524"/>
        <n v="1073.7526850624563"/>
        <n v="1239.2359408995628"/>
        <n v="184.06704165101053"/>
        <n v="188.71830059912958"/>
        <n v="377.43660119894605"/>
        <n v="723.0359381371152"/>
        <n v="754.8732023972052"/>
        <n v="29.740909171104434"/>
        <n v="48.48274219323568"/>
        <n v="51.89247265948422"/>
        <n v="281.6948983741978"/>
        <n v="217.49453625077962"/>
        <n v="179.0981720251789"/>
        <n v="279.5937921072583"/>
        <n v="322.3965811143757"/>
        <n v="291.62102207580864"/>
        <n v="279.57413977073645"/>
        <n v="318.8002035260672"/>
        <n v="279.98683883838237"/>
        <n v="199.67951050139402"/>
        <n v="209.98649114762802"/>
        <n v="185.6715676938991"/>
        <n v="16.265202474977755"/>
        <n v="16.942919244715014"/>
        <n v="48.30556476953304"/>
        <n v="51.70283456973422"/>
        <n v="282.92263919140436"/>
        <n v="213.15559350104596"/>
        <n v="194.45171778410725"/>
        <n v="188.2258860928975"/>
        <n v="289.58630958505177"/>
        <n v="288.7264811472726"/>
        <n v="311.9027658609055"/>
        <n v="280.65581876365763"/>
        <n v="282.3343892445127"/>
        <n v="179.37024338012793"/>
        <n v="200.4269333690288"/>
        <n v="48.12394919223329"/>
        <n v="51.50844619660959"/>
        <n v="177.3946339072891"/>
        <n v="189.92309542492163"/>
        <n v="190.82711604015506"/>
        <n v="261.37568740649937"/>
        <n v="267.13678411832643"/>
        <n v="288.72525965250645"/>
        <n v="305.72626193866785"/>
        <n v="285.76856360306783"/>
        <n v="318.7590668952652"/>
        <n v="194.4266295917879"/>
        <n v="189.43729144778987"/>
        <n v="10.843468316437905"/>
        <n v="367.45335963964465"/>
        <n v="372.8305578160286"/>
        <n v="530.1144199643135"/>
        <n v="523.8102043069398"/>
        <n v="352.636143401718"/>
        <n v="1015.5920929963833"/>
        <n v="289.6450452710152"/>
        <n v="289.1063587419033"/>
        <n v="276.93510069966317"/>
        <n v="210097.73074436188"/>
        <n v="106.03677791595459"/>
        <n v="110.56618728637696"/>
        <n v="108.42543115615845"/>
        <n v="118.45614910125732"/>
        <n v="113.56100072860718"/>
        <n v="144.1097502708435"/>
        <n v="138.17216777801514"/>
        <n v="106.77982635498047"/>
        <n v="104.60198774337769"/>
        <n v="102.8176589012146"/>
        <n v="142.77133512496948"/>
        <n v="146.95505905151367"/>
        <n v="146.792498588562"/>
        <n v="153.442467212677"/>
        <n v="103.95810718536377"/>
        <n v="112.53173961639405"/>
        <n v="134.86699533462524"/>
        <n v="115.447189617157"/>
        <n v="13259.994536542892"/>
        <n v="5314.168479442596"/>
        <n v="467.1802520751953"/>
        <n v="2947.822427749634"/>
        <n v="79512.80796408653"/>
        <n v="1280.5347719848633"/>
        <n v="952.879308393669"/>
        <n v="967.6657483386992"/>
        <n v="1238.167835292816"/>
        <n v="1458.5401177597046"/>
        <n v="1330.1965466880797"/>
        <n v="1554.9698379135132"/>
        <n v="985.4040548617362"/>
        <n v="1567.776867556572"/>
        <n v="1249.275669631958"/>
        <n v="1369.741920013428"/>
        <n v="331099.3791503906"/>
        <n v="89129.4979095459"/>
        <n v="572836.6336402893"/>
        <n v="193888.29879760742"/>
        <n v="5868.96904335022"/>
        <n v="169.134938621521"/>
        <n v="1149.2634201049805"/>
        <n v="1860.5223118305205"/>
        <n v="40872.924617958066"/>
        <n v="59456.45506744385"/>
        <n v="75947.90087280273"/>
        <n v="2312.0181079864506"/>
        <n v="4601.917474365235"/>
        <n v="320758.0207824707"/>
        <n v="88610.55618919373"/>
        <n v="546.7934859848023"/>
        <n v="271.1330865097046"/>
        <n v="1433.5506443023683"/>
        <n v="732.646708946228"/>
        <n v="1066.5456302261352"/>
        <n v="68.24646171662516"/>
        <n v="390.9941867572985"/>
        <n v="390.6824720188591"/>
        <n v="384.7079395342932"/>
        <n v="390.3967335088419"/>
        <n v="390.1109949988248"/>
        <n v="388.9160885019117"/>
        <n v="266.4220397681795"/>
        <n v="266.65226354569063"/>
        <n v="266.7231016318877"/>
        <n v="266.776230195659"/>
        <n v="266.1209779044713"/>
        <n v="389.82525648793137"/>
        <n v="14.228065610411777"/>
        <n v="22.231352516597063"/>
        <n v="68.24320615235312"/>
        <n v="390.89036459844397"/>
        <n v="390.39691453318113"/>
        <n v="391.30590149486153"/>
        <n v="388.215345825674"/>
        <n v="385.43644282836135"/>
        <n v="389.25418806759444"/>
        <n v="266.59917024356673"/>
        <n v="266.38669830017955"/>
        <n v="266.51064026708235"/>
        <n v="266.49293427143493"/>
        <n v="265.961754415158"/>
        <n v="390.68259615023516"/>
        <n v="68.24150434249302"/>
        <n v="391.02033359800106"/>
        <n v="390.241512060073"/>
        <n v="390.786687136535"/>
        <n v="390.4491978034036"/>
        <n v="390.0338263158659"/>
        <n v="390.26747277733193"/>
        <n v="265.6080996846111"/>
        <n v="264.5992596979563"/>
        <n v="262.40459025290403"/>
        <n v="266.5107459889214"/>
        <n v="389.33288693234414"/>
        <n v="17.6633077389534"/>
        <n v="193392.41333007812"/>
        <n v="92325.28769958306"/>
        <n v="359363.0323265076"/>
        <n v="2920.531482608738"/>
        <n v="2926.017765920468"/>
        <n v="2865.791148390172"/>
        <n v="9203.38834445408"/>
        <n v="9209.040836989096"/>
        <n v="3031.278122372464"/>
        <n v="279.05759090423584"/>
        <n v="558.1151818084717"/>
        <n v="280.63630992507933"/>
        <n v="334.0631265735626"/>
        <n v="507.3074194440842"/>
        <n v="841.9283234596253"/>
        <n v="1002.2124655246735"/>
        <n v="4603.481481407165"/>
        <n v="2547.992115053177"/>
        <n v="8923.775050792694"/>
        <n v="678.4724511623383"/>
        <n v="814.2122257232667"/>
        <n v="1628.3112406253815"/>
        <n v="514.234423713684"/>
        <n v="427.5892341613769"/>
        <n v="642.8466627693176"/>
        <n v="769.7319755554199"/>
        <n v="1851.4155513763428"/>
        <n v="1028.5546604309084"/>
        <n v="691.7661164283752"/>
        <n v="976.9980654573442"/>
        <n v="2159.977658855438"/>
        <n v="1628.3452038717269"/>
        <n v="1851.4048247509002"/>
        <n v="30086.441482543945"/>
        <n v="62551.2565870285"/>
        <n v="58381.17281455993"/>
        <n v="1871.0734613800048"/>
        <n v="1914.7110705661773"/>
        <n v="2205.2048888397217"/>
        <n v="2099.431149339676"/>
        <n v="1889.112136440277"/>
        <n v="2051.5836399078366"/>
        <n v="358.1681053161621"/>
        <n v="10220.577877044678"/>
        <n v="69186.7285205841"/>
        <n v="13723.356179237368"/>
        <n v="174270.53924560547"/>
        <n v="202085.4358316231"/>
        <n v="55127.05634880066"/>
        <n v="3500.7934560775757"/>
        <n v="9307.567596435547"/>
        <n v="7895.238786315918"/>
        <n v="6025.017188930512"/>
        <n v="8196.15361070633"/>
        <n v="7483.360508918762"/>
        <n v="7251.643587589264"/>
        <n v="2206.1604043960574"/>
        <n v="2233.5515356063843"/>
        <n v="1056.1755323410034"/>
        <n v="1253.1142074584961"/>
        <n v="449.00203905105593"/>
        <n v="64076.11046600342"/>
        <n v="85726.9772195816"/>
        <n v="171305.924949646"/>
        <n v="157160.728225708"/>
        <n v="169353.9059617281"/>
        <n v="266.6328983306885"/>
        <n v="267.2474551963806"/>
        <n v="1852.2049452638626"/>
        <n v="56.58760743492509"/>
        <n v="502.6583766937256"/>
        <n v="82.28157052454968"/>
        <n v="457.8684616768096"/>
        <n v="458.88510801052"/>
        <n v="457.95560279128233"/>
        <n v="457.2584738770474"/>
        <n v="458.24607317234245"/>
        <n v="459.0593902394654"/>
        <n v="457.7813205631102"/>
        <n v="340.1867273207471"/>
        <n v="340.5750190826182"/>
        <n v="340.70444967068187"/>
        <n v="340.3161579080375"/>
        <n v="339.64743320639286"/>
        <n v="28.41001394309974"/>
        <n v="82.27187896867869"/>
        <n v="340.9201673164236"/>
        <n v="340.1968279701646"/>
        <n v="340.13482745437324"/>
        <n v="340.4448300317833"/>
        <n v="457.58447827996446"/>
        <n v="458.78110496405867"/>
        <n v="457.9184206106072"/>
        <n v="458.94807612899336"/>
        <n v="458.58630527111933"/>
        <n v="458.00190619307455"/>
        <n v="337.79947470759265"/>
        <n v="340.5687032265143"/>
        <n v="82.30279514072112"/>
        <n v="340.38263400198974"/>
        <n v="340.7754468086319"/>
        <n v="340.3206109276638"/>
        <n v="458.1685533390064"/>
        <n v="455.8022678224038"/>
        <n v="458.78100370778196"/>
        <n v="458.9758742801924"/>
        <n v="458.72532640159994"/>
        <n v="457.86232815423193"/>
        <n v="458.47477852378086"/>
        <n v="314723.45749872207"/>
        <n v="6164.407569942475"/>
        <n v="3803.0894519233707"/>
        <n v="7972.773496074676"/>
        <n v="4527.54090801239"/>
        <n v="2261.931372566223"/>
        <n v="6156.4118694305425"/>
        <n v="2842.1377948592535"/>
        <n v="2000.693128601259"/>
        <n v="2913.078727834608"/>
        <n v="627.2170478152265"/>
        <n v="9405.031173706055"/>
        <n v="39566.725192546844"/>
        <n v="561.7036098106527"/>
        <n v="808.8531973308802"/>
        <n v="1814.5412527624273"/>
        <n v="55.36254132628441"/>
        <n v="105.63379315042496"/>
        <n v="433.8154755555332"/>
        <n v="543.8998724460602"/>
        <n v="651.1550364685058"/>
        <n v="781.4007358884812"/>
        <n v="1302.3100729370117"/>
        <n v="1566.3167708873748"/>
        <n v="261.0896098136902"/>
        <n v="542.6242996816635"/>
        <n v="5552.764170901084"/>
        <n v="3287.1625712648292"/>
        <n v="7181.684351690514"/>
        <n v="1302.2953808107375"/>
        <n v="1562.75739539814"/>
        <n v="217.04678144741058"/>
        <n v="61289.055614471436"/>
        <n v="149022.07913398743"/>
        <n v="1418.119442796707"/>
        <n v="1430.8145926952361"/>
        <n v="1568.7835973787307"/>
        <n v="1476.1231029510498"/>
        <n v="1671.3407706642151"/>
        <n v="1554.864293627739"/>
        <n v="47385.84178161621"/>
        <n v="33540.681507110596"/>
        <n v="463.92648860454557"/>
        <n v="393.2145917034149"/>
        <n v="218.00554978370667"/>
        <n v="129.12127780914307"/>
        <n v="1162.0915002822876"/>
        <n v="1836.8945037841795"/>
        <n v="1962.3866903305052"/>
        <n v="158137.0222120285"/>
        <n v="14921.488241100311"/>
        <n v="95739.64571237564"/>
        <n v="104109.02203559875"/>
        <n v="7388.716316699982"/>
        <n v="141451.93593978882"/>
        <n v="413.9411190032959"/>
        <n v="1061.940685901642"/>
        <n v="356.2932215682201"/>
        <n v="347.25586928748896"/>
        <n v="2458.4244857883455"/>
        <n v="2389.3030578804014"/>
        <n v="6063.394108390808"/>
        <n v="447.14520012408826"/>
        <n v="1073.1484833255215"/>
        <n v="147.5579090772171"/>
        <n v="623.2881818571586"/>
        <n v="1246.5763622488976"/>
        <n v="1390.0132338941576"/>
        <n v="482.6434843314514"/>
        <n v="539.6728530648785"/>
        <n v="639.5092896052214"/>
        <n v="1621.6821102949448"/>
        <n v="40779.0284576416"/>
        <n v="63693.512467861176"/>
        <n v="1191.2840846022743"/>
        <n v="1286.2520533274026"/>
        <n v="1298.7292413059508"/>
        <n v="1410.283501326804"/>
        <n v="1453.4885709168573"/>
        <n v="19777.911643981934"/>
        <n v="2628.7622604370117"/>
        <n v="1211.5525749206543"/>
        <n v="79055.41602897644"/>
        <n v="6678.376530170441"/>
        <n v="8766.398661708832"/>
        <n v="2153.6490783691406"/>
        <n v="5567.332426548004"/>
        <n v="2071.3916482925415"/>
        <n v="15660.492663860321"/>
        <n v="16632.90470314026"/>
        <n v="59361.664701652524"/>
        <n v="2950.972444295883"/>
        <n v="960.9912020519233"/>
        <n v="21998.88038635254"/>
        <n v="4412.949782935081"/>
        <n v="6368.738320501188"/>
        <n v="9176.034977014713"/>
        <n v="2349.7516183673865"/>
        <n v="1839.9016310725438"/>
        <n v="662.6731533169416"/>
        <n v="1533.251359226896"/>
        <n v="638.8547330114302"/>
        <n v="511.0837864087418"/>
        <n v="559.464671039644"/>
        <n v="766.625679613448"/>
        <n v="919.9508155362719"/>
        <n v="699.3308388001058"/>
        <n v="229844.86533260345"/>
        <n v="1607.57291686184"/>
        <n v="1819.4091335892663"/>
        <n v="1661.662993810668"/>
        <n v="1894.6395091588993"/>
        <n v="1608.4897835445615"/>
        <n v="1762.5888767021795"/>
        <n v="33263.15674495697"/>
        <n v="8757.98626613617"/>
        <n v="463.494596139177"/>
        <n v="495.86255732184395"/>
        <n v="585.1082451007977"/>
        <n v="997.9735072581028"/>
        <n v="8785.662521471468"/>
        <n v="5690.028609126491"/>
        <n v="2423.8629298108704"/>
        <n v="610.2189585940738"/>
        <n v="755.5760941312265"/>
        <n v="43.91135626019401"/>
        <n v="669.4686879805435"/>
        <n v="1813.3826259153727"/>
        <n v="878.7153003754246"/>
        <n v="114289.68802022934"/>
        <n v="53.746646162747666"/>
        <n v="651.3212478247763"/>
        <n v="2188.4393926909593"/>
        <n v="1875.8051937352666"/>
        <n v="32597.078309059143"/>
        <n v="3126.3420295419355"/>
        <n v="1630.8509299972297"/>
        <n v="1756.89572224641"/>
        <n v="1922.0743103536602"/>
        <n v="1659.4258969848945"/>
        <n v="1788.1115553900024"/>
        <n v="1714.4482870506806"/>
        <n v="141434.4402551651"/>
        <n v="65643.65575790405"/>
        <n v="34179.32239341736"/>
        <n v="10324.12105512619"/>
        <n v="139216.48340177536"/>
        <n v="2615.1849981028618"/>
        <n v="3181.242356999626"/>
        <n v="2920.8559719069085"/>
        <n v="3768.750955581665"/>
        <n v="21892.34194278717"/>
        <n v="134694.1677274704"/>
        <n v="38890.205698013306"/>
        <n v="270546.06654167175"/>
        <n v="35212.5666475296"/>
        <n v="307.0891621044862"/>
        <n v="596.1142558496662"/>
        <n v="3.721198081970215"/>
        <n v="5455.757130176483"/>
        <n v="6411.549037315922"/>
        <n v="6274.546006983111"/>
        <n v="414.41885700780676"/>
        <n v="452.52489497367634"/>
        <n v="563.5524095647334"/>
        <n v="460.46539667521625"/>
        <n v="660.0794823892523"/>
        <n v="651.8947998857464"/>
        <n v="375.701606376616"/>
        <n v="362.1637777145485"/>
        <n v="366.7108235498327"/>
        <n v="469.62700797048404"/>
        <n v="788.9733733905505"/>
        <n v="676.2628914774514"/>
        <n v="28231.30078601837"/>
        <n v="58887.95964717865"/>
        <n v="29096.04780292511"/>
        <n v="49143.23797893524"/>
        <n v="26563.361439704895"/>
        <n v="35358.01541137695"/>
        <n v="752.2494168281555"/>
        <n v="2758.975296020508"/>
        <n v="3533.4912429809574"/>
        <n v="4989.825168514251"/>
        <n v="68.86070342063903"/>
        <n v="2697.146849155426"/>
        <n v="277.50586767196654"/>
        <n v="473.7989542728289"/>
        <n v="313.63340774468435"/>
        <n v="8887.548384189882"/>
        <n v="8534.715977957594"/>
        <n v="12258.096282920014"/>
        <n v="275.9993908386217"/>
        <n v="466.5158479146316"/>
        <n v="350.97886558995583"/>
        <n v="373.2126783317901"/>
        <n v="438.7235819873451"/>
        <n v="526.4682983847343"/>
        <n v="671.7828209973068"/>
        <n v="456.8607874319353"/>
        <n v="783.7466244967168"/>
        <n v="631.7619580620002"/>
        <n v="80655.97719573975"/>
        <n v="39407.97456026077"/>
        <n v="6476.7340087890625"/>
        <n v="5583.867588043213"/>
        <n v="71041.56000137329"/>
        <n v="42437.59200334549"/>
        <n v="17497.821709656713"/>
        <n v="556.5813371317578"/>
        <n v="667.8976138901235"/>
        <n v="449.30157494097233"/>
        <n v="8672.760952719593"/>
        <n v="8817.084179981002"/>
        <n v="6299.906018071341"/>
        <n v="342.05555800641935"/>
        <n v="5231.359497664084"/>
        <n v="7739.084402464176"/>
        <n v="5137.527772734075"/>
        <n v="389.177663313043"/>
        <n v="385.4147132451247"/>
        <n v="583.766494972082"/>
        <n v="694.0246582030816"/>
        <n v="486.4720791538912"/>
        <n v="700.5197939534074"/>
        <n v="817.2730929624253"/>
        <n v="1349.4923911192075"/>
        <n v="427.12262288150345"/>
        <n v="1945.888316816964"/>
        <n v="697.4614183301268"/>
        <n v="243.23603955177066"/>
        <n v="875.6497425676338"/>
        <n v="21422.804985046387"/>
        <n v="5364.204368591309"/>
        <n v="10388.142042160034"/>
        <n v="51945.95075941086"/>
        <n v="268.715678024292"/>
        <n v="1196.5336097717284"/>
        <n v="2535.156989765167"/>
        <n v="10995.967483520508"/>
        <n v="146.33658576011658"/>
        <n v="535.1840356349945"/>
        <n v="704.8986251831054"/>
        <n v="41126.77585261345"/>
        <n v="52481.555284023285"/>
        <n v="424.695001258844"/>
        <n v="417.582157491743"/>
        <n v="485.43925808475774"/>
        <n v="568.9556895828883"/>
        <n v="776.9464068571069"/>
        <n v="906.4374746667172"/>
        <n v="539.5461158872397"/>
        <n v="500.87772147271755"/>
        <n v="601.0532657513022"/>
        <n v="761.0048471106378"/>
        <n v="647.4553390474968"/>
        <n v="516.0273455391923"/>
        <n v="445.6281745570286"/>
        <n v="1564.9423527308609"/>
        <n v="4685.418470386528"/>
        <n v="832.1959289254995"/>
        <n v="116338.69789567853"/>
        <n v="25261.341041660307"/>
        <n v="16964.846990680693"/>
        <n v="42866.88487958908"/>
        <n v="3608.1875220298766"/>
        <n v="5298.880167675018"/>
        <n v="4299.003604507446"/>
        <n v="4556.776556968689"/>
        <n v="3993.4683122634888"/>
        <n v="4967.609369277954"/>
        <n v="4561.784003734589"/>
        <n v="3855.502687931061"/>
        <n v="4797.134001731873"/>
        <n v="28760.112149238586"/>
        <n v="4299.481209754944"/>
        <n v="5335.064884185791"/>
        <n v="3659.460178375244"/>
        <n v="5365.426136016846"/>
        <n v="5256.092827958108"/>
        <n v="4625.359444508553"/>
        <n v="3331.3125044565204"/>
        <n v="2132.9591931438445"/>
        <n v="4978.266399308682"/>
        <n v="5128.893466900826"/>
        <n v="5098.409482095718"/>
        <n v="4956.496000884056"/>
        <n v="4634.127635785103"/>
        <n v="4164.513207115173"/>
        <n v="4204.872222280503"/>
        <n v="4025.1810008540156"/>
        <n v="3640.110006536484"/>
        <n v="3165.1819921264646"/>
        <n v="2979.550622484207"/>
        <n v="3143.1451737890247"/>
        <n v="2648.01630564785"/>
        <n v="2455.5675815644267"/>
        <n v="2267.6368330330847"/>
        <n v="2090.869665620804"/>
        <n v="1667.5182654938699"/>
        <n v="3162.351244166374"/>
        <n v="36785.932109404566"/>
        <n v="55387.97971057892"/>
        <n v="2529.1915752887726"/>
        <n v="5444.115904340744"/>
        <n v="4973.337690162659"/>
        <n v="9163.152519464493"/>
        <n v="69484.29807014465"/>
        <n v="656.1352413699109"/>
        <n v="339.50905674807586"/>
        <n v="342.31085902251186"/>
        <n v="424.3863209352082"/>
        <n v="420.693992628911"/>
        <n v="508.04706101962694"/>
        <n v="611.1163021470804"/>
        <n v="6891.333751678467"/>
        <n v="175374.99641132355"/>
        <n v="507.361994895935"/>
        <n v="608.7981343078613"/>
        <n v="422.19751396179197"/>
        <n v="706.7658779656028"/>
        <n v="420.69397497922404"/>
        <n v="606.4257251380798"/>
        <n v="1338.1794332420302"/>
        <n v="2956.1569582372913"/>
        <n v="1148.7144260142827"/>
        <n v="34090.10069131851"/>
        <n v="23317.896953105927"/>
        <n v="38305.43020329475"/>
        <n v="46338.305505275726"/>
        <n v="147675.86865520477"/>
        <n v="48020.569173812866"/>
        <n v="157113.09609746933"/>
        <n v="35537.78762340546"/>
        <n v="1674.6439041137696"/>
        <n v="4441.279308032989"/>
        <n v="607.6929921150207"/>
        <n v="197383.21393203735"/>
        <n v="1524.8307346343995"/>
        <n v="148.41242609024047"/>
        <n v="144.32293109893797"/>
        <n v="148.71653666496277"/>
        <n v="297.96610751152036"/>
        <n v="280.74098601341245"/>
        <n v="145.31175942420958"/>
        <n v="685.3969384372765"/>
        <n v="405.00127338088004"/>
        <n v="768.79584631719"/>
        <n v="461.2775077366136"/>
        <n v="230.63875389515698"/>
        <n v="219.35668686744833"/>
        <n v="532.8798254394532"/>
        <n v="444.08425548553464"/>
        <n v="367.32353571731545"/>
        <n v="363.71256606389727"/>
        <n v="367.49548509474835"/>
        <n v="550.9853035762408"/>
        <n v="661.4918731710825"/>
        <n v="771.3794250071653"/>
        <n v="459.15454286419714"/>
        <n v="995.2018994561325"/>
        <n v="5646.690626883273"/>
        <n v="1581.3616183051065"/>
        <n v="106759.53839588165"/>
        <n v="16705.6974029541"/>
        <n v="64252.91061401367"/>
        <n v="49956.42650938034"/>
        <n v="1726.600468158722"/>
        <n v="21961.982362747192"/>
        <n v="75135.29746341705"/>
        <n v="4439.117272949219"/>
        <n v="10327.355861091613"/>
        <n v="4603.849773406982"/>
        <n v="614.9797245618932"/>
        <n v="424.70934423518406"/>
        <n v="383.1406377390198"/>
        <n v="400.8830330631331"/>
        <n v="1826.250180341185"/>
        <n v="573.3576147576716"/>
        <n v="1448.9495379933865"/>
        <n v="1528.9536393551302"/>
        <n v="2357.13686067333"/>
        <n v="498.4951109556101"/>
        <n v="996.2272930145264"/>
        <n v="12881.892453670502"/>
        <n v="536.906679715987"/>
        <n v="194.02926869683313"/>
        <n v="531.1587947950137"/>
        <n v="8283.677908940832"/>
        <n v="9333.90431664681"/>
        <n v="9369.777618248585"/>
        <n v="540.5736090996076"/>
        <n v="486.65568551430295"/>
        <n v="11886.606209278107"/>
        <n v="31643.13189983368"/>
        <n v="82272.14293956757"/>
        <n v="1514.5540735721588"/>
        <n v="3786.385183930397"/>
        <n v="9844.601478219032"/>
        <n v="18292.22296333313"/>
        <n v="4105.14773273468"/>
        <n v="17555.15490913391"/>
        <n v="317.50901193618773"/>
        <n v="952.5270358085633"/>
        <n v="216.45951175689697"/>
        <n v="839.2911257743835"/>
        <n v="4639.478283309937"/>
        <n v="39489.623997211456"/>
        <n v="878.8378311754724"/>
        <n v="920.6872517080632"/>
        <n v="1039.0704945452055"/>
        <n v="27272.08772416115"/>
        <n v="213845.16329956055"/>
        <n v="18619.942534160615"/>
        <n v="5002.038375663757"/>
        <n v="15479.032557773591"/>
        <n v="1590.7608823802368"/>
        <n v="1490.775492714535"/>
        <n v="848.4058039363418"/>
        <n v="829.8425904222557"/>
        <n v="259.32580928802537"/>
        <n v="1631.4957562269717"/>
        <n v="296.2435938835144"/>
        <n v="142.72889728546144"/>
        <n v="196.45677967071532"/>
        <n v="148.1217969417572"/>
        <n v="197.49572925567625"/>
        <n v="628.2520274162292"/>
        <n v="6826.646856451035"/>
        <n v="12707.383953094482"/>
        <n v="3979.0991109609604"/>
        <n v="23458.87099838257"/>
        <n v="46643.1014316082"/>
        <n v="724.0579458236695"/>
        <n v="18386.317708587645"/>
        <n v="5587.86357421875"/>
        <n v="3675.6213634014125"/>
        <n v="3409.737792062759"/>
        <n v="321.43039557456973"/>
        <n v="39252.398112773895"/>
        <n v="304.53275356292727"/>
        <n v="70280.2214627266"/>
        <n v="1430.708094024658"/>
        <n v="719.4725846290588"/>
        <n v="3374.6368885040283"/>
        <n v="1318.5671101135874"/>
        <n v="727.0816804570713"/>
        <n v="837.6752144552495"/>
        <n v="1481.009779158025"/>
        <n v="1932.3702221989936"/>
        <n v="4446.996980155933"/>
        <n v="1052.4224742907818"/>
        <n v="469.1338944252363"/>
        <n v="544.691892741165"/>
        <n v="564.4894461712596"/>
        <n v="21494.800901937484"/>
        <n v="81605.26164264679"/>
        <n v="67610.04678153992"/>
        <n v="354.3573778811342"/>
        <n v="427.97880970887456"/>
        <n v="683.7720599284175"/>
        <n v="423.0289921846619"/>
        <n v="16625.386779785156"/>
        <n v="337.93192423768505"/>
        <n v="3182.2472778059578"/>
        <n v="4915.855663845692"/>
        <n v="1782.9294305540657"/>
        <n v="364.10990381240845"/>
        <n v="308.1501011657715"/>
        <n v="4522.409883785248"/>
        <n v="29801.908933496474"/>
        <n v="20063.619260787964"/>
        <n v="194.47790336608887"/>
        <n v="27857.804944896696"/>
        <n v="7629.792306900024"/>
        <n v="2427.0869019211364"/>
        <n v="1426.238268852234"/>
        <n v="238.52998609542846"/>
        <n v="1152.7053155899048"/>
        <n v="125.51419129371642"/>
        <n v="186.7045166015625"/>
        <n v="5439.946712522507"/>
        <n v="8202.318509674073"/>
        <n v="133.41923389434814"/>
        <n v="739.6236145019532"/>
        <n v="248.64673948287964"/>
        <n v="1547.5103138694037"/>
        <n v="562.2245786215814"/>
        <n v="528.8254669704139"/>
        <n v="251.66162730216982"/>
        <n v="303.33470376419103"/>
        <n v="444.7470790600015"/>
        <n v="3242.8296103040775"/>
        <n v="5615.136126853981"/>
        <n v="1220.4944356163885"/>
        <n v="356.75652771086123"/>
        <n v="1112.971338467397"/>
        <n v="685.5903437432097"/>
        <n v="9106.374662399292"/>
        <n v="12925.754986286163"/>
        <n v="20291.084230422974"/>
        <n v="758.0492952585221"/>
        <n v="546.0268409156799"/>
        <n v="381.21691715529096"/>
        <n v="476.5211464441137"/>
        <n v="482.2507110615395"/>
        <n v="2743.231800527573"/>
        <n v="5525.366881656646"/>
        <n v="3128.172719335556"/>
        <n v="7699.501463890076"/>
        <n v="386.2372975349426"/>
        <n v="140764.43520736694"/>
        <n v="38327.18999235153"/>
        <n v="831.8104734352271"/>
        <n v="119.62126815952548"/>
        <n v="497.5934093187661"/>
        <n v="429.0456241659643"/>
        <n v="427.0221656519108"/>
        <n v="5242.745283010491"/>
        <n v="7176.211921051034"/>
        <n v="4058.727365450228"/>
        <n v="4816.778183403694"/>
        <n v="8431.174553519224"/>
        <n v="4768.932426465491"/>
        <n v="24012.303926467896"/>
        <n v="73566.60385131836"/>
        <n v="456.85094577998433"/>
        <n v="571.0636816880973"/>
        <n v="250.76033290863037"/>
        <n v="1223.5777053451536"/>
        <n v="6364.067106046677"/>
        <n v="9041.05388293743"/>
        <n v="479.48800799462566"/>
        <n v="452.88026637419586"/>
        <n v="425.8118012939957"/>
        <n v="678.138055020363"/>
        <n v="686.106217417717"/>
        <n v="127.6541805267334"/>
        <n v="110.48185586929321"/>
        <n v="1872.3464171791077"/>
        <n v="3776.436173915863"/>
        <n v="200.40442943572998"/>
        <n v="184.13642644882202"/>
        <n v="141.45888805389404"/>
        <n v="148.4652042388916"/>
        <n v="123.0886173248291"/>
        <n v="95.11535882949829"/>
        <n v="1678.2008754825592"/>
        <n v="5796.991513363124"/>
        <n v="4515.508999841213"/>
        <n v="4592.845325732232"/>
        <n v="266.9479465484619"/>
        <n v="266.3977117538452"/>
        <n v="3962.9887590408325"/>
        <n v="2528.6630687713623"/>
        <n v="1487.4488639831543"/>
      </sharedItems>
    </cacheField>
    <cacheField name="Category" numFmtId="0">
      <sharedItems containsBlank="1">
        <m/>
        <s v="Outreach"/>
        <s v="Operations"/>
      </sharedItems>
    </cacheField>
    <cacheField name="Subcategory" numFmtId="0">
      <sharedItems containsBlank="1">
        <m/>
        <s v="Events/Conference Attendance &amp; Side Events"/>
        <s v="Advertising/Digital Ads"/>
        <s v="Advertising/Influencers"/>
        <s v="Advertising/Sponsorships"/>
        <s v="Governance"/>
        <s v="Advertising/Physical Ads"/>
      </sharedItems>
    </cacheField>
    <cacheField name="inherited Category" numFmtId="0">
      <sharedItems containsBlank="1">
        <s v="Development"/>
        <s v="Research"/>
        <s v="Outreach"/>
        <s v="Talent &amp; Education"/>
        <s v="Operations"/>
        <m/>
      </sharedItems>
    </cacheField>
    <cacheField name="inherited Subcategory" numFmtId="0">
      <sharedItems containsBlank="1">
        <s v="Smart Contracts"/>
        <s v="Anti-Scam"/>
        <s v="Media"/>
        <s v="Software Development"/>
        <s v="Incubation"/>
        <s v="Events/Meetups"/>
        <s v="Ecosystem Services"/>
        <s v="Advertising"/>
        <s v="RPCs and Nodes"/>
        <s v="Infrastructure"/>
        <s v="Community Building"/>
        <s v="Games"/>
        <s v="Protocol Subsidies"/>
        <m/>
      </sharedItems>
    </cacheField>
    <cacheField name="evaluated Category" numFmtId="0">
      <sharedItems containsBlank="1">
        <s v="Development"/>
        <s v="Research"/>
        <s v="Outreach"/>
        <s v="Talent &amp; Education"/>
        <s v="Operations"/>
        <m/>
      </sharedItems>
    </cacheField>
    <cacheField name="evaluated Subcategory" numFmtId="0">
      <sharedItems containsBlank="1">
        <s v="Smart Contracts"/>
        <s v="Anti-Scam"/>
        <s v="Media"/>
        <s v="Software Development"/>
        <s v="Incubation"/>
        <s v="Events/Meetups"/>
        <s v="Ecosystem Services"/>
        <s v="Advertising"/>
        <s v="RPCs and Nodes"/>
        <s v="Infrastructure"/>
        <s v="Community Building"/>
        <s v="Events/Conference Attendance &amp; Side Events"/>
        <s v="Advertising/Digital Ads"/>
        <s v="Advertising/Influencers"/>
        <s v="Games"/>
        <s v="Advertising/Sponsorships"/>
        <s v="Governance"/>
        <s v="Advertising/Physical Ads"/>
        <s v="Protocol Subsidies"/>
        <m/>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1000" sheet="Parity Data"/>
  </cacheSource>
  <cacheFields>
    <cacheField name="month" numFmtId="169">
      <sharedItems containsDate="1" containsString="0" containsBlank="1">
        <d v="2024-06-01T00:00:00Z"/>
        <d v="2024-05-01T00:00:00Z"/>
        <d v="2024-04-01T00:00:00Z"/>
        <d v="2024-03-01T00:00:00Z"/>
        <d v="2024-02-01T00:00:00Z"/>
        <d v="2024-01-01T00:00:00Z"/>
        <d v="2023-12-01T00:00:00Z"/>
        <d v="2023-11-01T00:00:00Z"/>
        <d v="2023-10-01T00:00:00Z"/>
        <d v="2023-09-01T00:00:00Z"/>
        <d v="2023-08-01T00:00:00Z"/>
        <d v="2023-07-01T00:00:00Z"/>
        <d v="2023-06-01T00:00:00Z"/>
        <d v="2023-05-01T00:00:00Z"/>
        <d v="2023-04-01T00:00:00Z"/>
        <d v="2023-03-01T00:00:00Z"/>
        <d v="2023-02-01T00:00:00Z"/>
        <d v="2023-01-01T00:00:00Z"/>
        <d v="2022-12-01T00:00:00Z"/>
        <d v="2022-11-01T00:00:00Z"/>
        <d v="2022-10-01T00:00:00Z"/>
        <d v="2022-09-01T00:00:00Z"/>
        <d v="2022-08-01T00:00:00Z"/>
        <d v="2022-07-01T00:00:00Z"/>
        <d v="2022-06-01T00:00:00Z"/>
        <d v="2022-05-01T00:00:00Z"/>
        <d v="2022-04-01T00:00:00Z"/>
        <d v="2022-03-01T00:00:00Z"/>
        <d v="2022-02-01T00:00:00Z"/>
        <d v="2022-01-01T00:00:00Z"/>
        <d v="2021-12-01T00:00:00Z"/>
        <d v="2021-11-01T00:00:00Z"/>
        <d v="2021-10-01T00:00:00Z"/>
        <d v="2021-09-01T00:00:00Z"/>
        <d v="2021-08-01T00:00:00Z"/>
        <d v="2021-07-01T00:00:00Z"/>
        <d v="2021-06-01T00:00:00Z"/>
        <d v="2021-05-01T00:00:00Z"/>
        <d v="2021-04-01T00:00:00Z"/>
        <d v="2021-03-01T00:00:00Z"/>
        <d v="2021-02-01T00:00:00Z"/>
        <d v="2021-01-01T00:00:00Z"/>
        <d v="2020-12-01T00:00:00Z"/>
        <d v="2020-11-01T00:00:00Z"/>
        <d v="2020-10-01T00:00:00Z"/>
        <d v="2020-09-01T00:00:00Z"/>
        <d v="2020-08-01T00:00:00Z"/>
        <d v="2020-07-01T00:00:00Z"/>
        <d v="2020-06-01T00:00:00Z"/>
        <d v="2020-05-01T00:00:00Z"/>
        <m/>
      </sharedItems>
    </cacheField>
    <cacheField name="type" numFmtId="0">
      <sharedItems containsBlank="1">
        <s v="fees"/>
        <s v="inflation"/>
        <s v="other"/>
        <s v="transfers"/>
        <s v="bounties"/>
        <s v="burnt"/>
        <s v="proposals"/>
        <s v="tips"/>
        <m/>
      </sharedItems>
    </cacheField>
    <cacheField name="net_flows_dot" numFmtId="0">
      <sharedItems containsString="0" containsBlank="1" containsNumber="1">
        <n v="3880.73649461549"/>
        <n v="227511.394267592"/>
        <n v="10.0"/>
        <n v="7217.0"/>
        <n v="-135185.010790384"/>
        <n v="-230882.042384654"/>
        <n v="-1871353.2385729"/>
        <n v="556335.165316746"/>
        <n v="5921.2515006542"/>
        <n v="103894.346225235"/>
        <n v="-471888.948110687"/>
        <n v="-3337982.463518"/>
        <n v="-298052.569897118"/>
        <n v="1101382.44442246"/>
        <n v="6559.0091820169"/>
        <n v="5937.0"/>
        <n v="-353344.565405416"/>
        <n v="-332681.390357072"/>
        <n v="-3956485.15979"/>
        <n v="1222759.41326793"/>
        <n v="9095.0198672626"/>
        <n v="12.1300000000046"/>
        <n v="-240332.032164168"/>
        <n v="-3405000.0"/>
        <n v="-368289.741142955"/>
        <n v="-1287813.488651"/>
        <n v="7110.50735392429"/>
        <n v="958413.129727022"/>
        <n v="47.05"/>
        <n v="-219450.433813827"/>
        <n v="-844982.423937498"/>
        <n v="-1961772.46301377"/>
        <n v="1155588.2594424"/>
        <n v="6877.2804495644"/>
        <n v="15135.0"/>
        <n v="-86689.6060738947"/>
        <n v="-431795.564524716"/>
        <n v="-1035551.1564"/>
        <n v="286012.094054346"/>
        <n v="1230252.32422189"/>
        <n v="-448673.62"/>
        <n v="-51264.9386978338"/>
        <n v="-434424.682828081"/>
        <n v="-837736.559"/>
        <n v="6254.9157596411"/>
        <n v="1247787.94106623"/>
        <n v="6102.45"/>
        <n v="101.0"/>
        <n v="-82700.6294367575"/>
        <n v="-885001.041692049"/>
        <n v="-1381319.1015423"/>
        <n v="4954.34709952149"/>
        <n v="844716.539996738"/>
        <n v="75419.0"/>
        <n v="-225339.816901209"/>
        <n v="-448198.596304195"/>
        <n v="-532545.206"/>
        <n v="590476.351780591"/>
        <n v="3785.00244916329"/>
        <n v="-94211.0449711789"/>
        <n v="-453478.84378484"/>
        <n v="-282888.9769"/>
        <n v="3990.788481433"/>
        <n v="877464.095642453"/>
        <n v="19224.9535"/>
        <n v="-37779.3656501209"/>
        <n v="-456100.37413604"/>
        <n v="-227860.6825"/>
        <n v="1501423.17724249"/>
        <n v="4231.7657571648"/>
        <n v="-141.9796334012"/>
        <n v="-46732.1445046339"/>
        <n v="-923238.684553963"/>
        <n v="-969861.527599999"/>
        <n v="1576980.124122"/>
        <n v="4214.5223853776"/>
        <n v="-695.15"/>
        <n v="-228599.843564164"/>
        <n v="-458022.550537059"/>
        <n v="-102893.6065"/>
        <n v="3766.1911370225"/>
        <n v="1688281.66959793"/>
        <n v="-2612.76"/>
        <n v="-70013.8390628997"/>
        <n v="-60.0"/>
        <n v="-450596.67942614"/>
        <n v="-285015.82"/>
        <n v="1016387.53667791"/>
        <n v="3936.07484739119"/>
        <n v="14896.0"/>
        <n v="-34014.0953413274"/>
        <n v="-600.0"/>
        <n v="-446791.727923699"/>
        <n v="-225773.9376"/>
        <n v="920675.490256742"/>
        <n v="4934.6099097111"/>
        <n v="15814.2224"/>
        <n v="-64890.0738810889"/>
        <n v="-888317.59821022"/>
        <n v="-448830.132699999"/>
        <n v="5415.1649884958"/>
        <n v="1243274.99403859"/>
        <n v="-19477.8799999999"/>
        <n v="-441354.35540941"/>
        <n v="-746088.9660406"/>
        <n v="2373967.9865322"/>
        <n v="5370.786110936"/>
        <n v="-39628.7044278653"/>
        <n v="-480.0"/>
        <n v="-439986.114857373"/>
        <n v="-153798.531"/>
        <n v="6919.14886429619"/>
        <n v="3172661.44207833"/>
        <n v="2355.0"/>
        <n v="-23487.9277739513"/>
        <n v="-421327.2440803"/>
        <n v="-571198.90890022"/>
        <n v="2634735.75626203"/>
        <n v="5817.6024737159"/>
        <n v="-9373.87649906039"/>
        <n v="-22.0"/>
        <n v="-797791.676814326"/>
        <n v="-235637.072"/>
        <n v="4031.0881142299"/>
        <n v="2500578.57240727"/>
        <n v="-854.0"/>
        <n v="-27660.8537243772"/>
        <n v="-376220.387791666"/>
        <n v="-55444.0"/>
        <n v="-102.0"/>
        <n v="3448.88377999459"/>
        <n v="2326170.07918376"/>
        <n v="-11087.1452649696"/>
        <n v="-260.0"/>
        <n v="-361371.514617345"/>
        <n v="-97292.13"/>
        <n v="4089.2471577436"/>
        <n v="2390553.23807172"/>
        <n v="3569.8"/>
        <n v="-12634.4821029637"/>
        <n v="-347317.358602367"/>
        <n v="-133500.027"/>
        <n v="2388154.58087582"/>
        <n v="4560.20600927799"/>
        <n v="22.6953201605"/>
        <n v="237.472115383396"/>
        <n v="-570.0"/>
        <n v="-2456.292464972"/>
        <n v="-663425.559276184"/>
        <n v="-347276.41"/>
        <n v="4103.5076966061"/>
        <n v="2218234.78024596"/>
        <n v="-460.75"/>
        <n v="-1252.7925"/>
        <n v="-315772.170883301"/>
        <n v="-182116.65825"/>
        <n v="5453.2870128593"/>
        <n v="2202717.01252061"/>
        <n v="100.0"/>
        <n v="-694.0"/>
        <n v="-2022.0975"/>
        <n v="-302674.664965611"/>
        <n v="-26158.78"/>
        <n v="2149324.78722769"/>
        <n v="4969.0041485217"/>
        <n v="212.271750717001"/>
        <n v="-287.0"/>
        <n v="-563341.829117008"/>
        <n v="-30615.28"/>
        <n v="4909.6879187568"/>
        <n v="2163381.64905128"/>
        <n v="-958.25"/>
        <n v="-260327.359314491"/>
        <n v="-25207.19"/>
        <n v="1955312.06454522"/>
        <n v="5095.5560765504"/>
        <n v="-1272.0"/>
        <n v="-247355.33114632"/>
        <n v="-12286.5768"/>
        <n v="2123861.71903891"/>
        <n v="6520.38398636379"/>
        <n v="-800.8"/>
        <n v="-243228.800871718"/>
        <n v="-5526.14"/>
        <n v="2081989.00584223"/>
        <n v="9399.68453820649"/>
        <n v="-794.75"/>
        <n v="-444624.775696262"/>
        <n v="-12743.76"/>
        <n v="19483.1724472177"/>
        <n v="1908929.19548896"/>
        <n v="-501.4"/>
        <n v="-201492.714903657"/>
        <n v="-1517.704"/>
        <n v="8602.7671939255"/>
        <n v="1407074.11734131"/>
        <n v="226.767498219698"/>
        <n v="250.0"/>
        <n v="-172.1"/>
        <n v="-190334.484422043"/>
        <n v="-655.26"/>
        <n v="6965.89505086929"/>
        <n v="1006094.03347037"/>
        <n v="-199.5"/>
        <n v="-183261.957606442"/>
        <n v="-5900.72"/>
        <n v="5573.81013230239"/>
        <n v="1261916.04250157"/>
        <n v="-948.209999999999"/>
        <n v="-2445.79"/>
        <n v="-345586.939918393"/>
        <n v="-17247.7"/>
        <n v="1143865.58548086"/>
        <n v="4203.4734624519"/>
        <n v="-165.5"/>
        <n v="-161429.057886867"/>
        <n v="-6563.997"/>
        <n v="1052392.62621136"/>
        <n v="795.3844171325"/>
        <n v="-346.92"/>
        <n v="-154165.455882816"/>
        <n v="-1300.0"/>
        <n v="989529.300457029"/>
        <n v="87.1618216095999"/>
        <n v="-196.05"/>
        <n v="-147651.433707258"/>
        <n v="-3236.98"/>
        <n v="910038.883627165"/>
        <n v="80.5555546684"/>
        <n v="0.01"/>
        <n v="-504.67"/>
        <n v="-277178.975852307"/>
        <n v="-6187.995"/>
        <n v="198.2316496881"/>
        <n v="953726.583895175"/>
        <n v="-195.75"/>
        <n v="-129745.916078932"/>
        <n v="-6563.66795"/>
        <n v="500.5561914208"/>
        <n v="1186801.88280135"/>
        <n v="-104.2"/>
        <n v="-3147.393"/>
        <n v="-121787.054109181"/>
        <n v="-1926.08"/>
        <n v="1253814.54186506"/>
        <n v="4871.39573628409"/>
        <n v="15530.0199619655"/>
        <n v="-204.5"/>
        <n v="-112745.789266802"/>
        <n v="-6226.64"/>
        <n v="917429.55591899"/>
        <n v="1893.9872176929"/>
        <n v="-649.5"/>
        <n v="-202334.320947481"/>
        <n v="-28817.0"/>
        <n v="1518.2088490922"/>
        <n v="736504.987768061"/>
        <n v="-242.5"/>
        <n v="-93220.743512109"/>
        <n v="-13844.14206"/>
        <n v="1570.8818060666"/>
        <n v="909771.761373286"/>
        <n v="225.041000000001"/>
        <n v="-769.153"/>
        <n v="-88184.010963918"/>
        <n v="-33700.0"/>
        <n v="2137.0766337999"/>
        <n v="1205487.93960216"/>
        <n v="512914.726599597"/>
        <n v="-1109.5"/>
        <n v="-81416.53533004"/>
        <n v="-28672.84"/>
        <n v="3019.6245593424"/>
        <n v="1563956.78056728"/>
        <n v="265.339999999996"/>
        <n v="-415.6833"/>
        <n v="-122703.075077983"/>
        <n v="-13431.6505"/>
        <n v="1187.7100010742"/>
        <n v="3435.43"/>
        <n v="1459413.44646848"/>
        <n v="-218.3"/>
        <n v="-44664.195223074"/>
        <n v="323.036460986399"/>
        <n v="3887502.77005652"/>
        <n v="-34954.080909412"/>
        <n v="152.7764317013"/>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Aggregated Pivots" cacheId="0" dataCaption="" compact="0" compactData="0">
  <location ref="AH5:AM15" firstHeaderRow="0" firstDataRow="1" firstDataCol="1"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Col" compact="0" outline="0" multipleItemSelectionAllowed="1" showAll="0" sortType="ascending">
      <items>
        <item h="1" x="0"/>
        <item h="1" x="2"/>
        <item x="1"/>
        <item x="4"/>
        <item x="5"/>
        <item x="3"/>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rowFields>
  <colFields>
    <field x="19"/>
  </colFields>
  <pageFields>
    <pageField fld="2"/>
    <pageField fld="13"/>
  </pageFields>
  <dataFields>
    <dataField name="SUM of USD Last Update" fld="10" baseField="0"/>
  </dataFields>
</pivotTableDefinition>
</file>

<file path=xl/pivotTables/pivotTable2.xml><?xml version="1.0" encoding="utf-8"?>
<pivotTableDefinition xmlns="http://schemas.openxmlformats.org/spreadsheetml/2006/main" name="Aggregated Pivots 2" cacheId="1" dataCaption="" compact="0" compactData="0">
  <location ref="AA19:AD36"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compact="0" outline="0" multipleItemSelectionAllowed="1" showAll="0">
      <items>
        <item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 name="half-years" axis="axisRow" compact="0" outline="0" multipleItemSelectionAllowed="1" showAll="0" sortType="ascending">
      <items>
        <item x="0"/>
        <item h="1" x="2"/>
        <item x="1"/>
        <item x="3"/>
        <item t="default"/>
      </items>
    </pivotField>
  </pivotFields>
  <rowFields>
    <field x="21"/>
    <field x="11"/>
  </rowFields>
  <colFields>
    <field x="-2"/>
  </colFields>
  <pageFields>
    <pageField fld="2"/>
    <pageField fld="13"/>
  </pageFields>
  <dataFields>
    <dataField name="SUM of USD Last Update" fld="10" baseField="0"/>
    <dataField name="SUM of DOT" fld="3" baseField="0"/>
  </dataFields>
</pivotTableDefinition>
</file>

<file path=xl/pivotTables/pivotTable3.xml><?xml version="1.0" encoding="utf-8"?>
<pivotTableDefinition xmlns="http://schemas.openxmlformats.org/spreadsheetml/2006/main" name="Aggregated Pivots 3" cacheId="0" dataCaption="" compact="0" compactData="0">
  <location ref="AH19:AK49"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Row" compact="0" outline="0" multipleItemSelectionAllowed="1" showAll="0" sortType="ascending">
      <items>
        <item h="1" x="0"/>
        <item h="1" x="2"/>
        <item x="1"/>
        <item x="4"/>
        <item x="5"/>
        <item x="3"/>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9"/>
    <field x="11"/>
  </rowFields>
  <colFields>
    <field x="-2"/>
  </colFields>
  <pageFields>
    <pageField fld="2"/>
    <pageField fld="13"/>
  </pageFields>
  <dataFields>
    <dataField name="SUM of USD Last Update" fld="10" baseField="0"/>
    <dataField name="SUM of DOT" fld="3" baseField="0"/>
  </dataFields>
</pivotTableDefinition>
</file>

<file path=xl/pivotTables/pivotTable4.xml><?xml version="1.0" encoding="utf-8"?>
<pivotTableDefinition xmlns="http://schemas.openxmlformats.org/spreadsheetml/2006/main" name="Aggregated Pivots 4" cacheId="2" dataCaption="" rowGrandTotals="0" compact="0" compactData="0">
  <location ref="I51:L66"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t="default"/>
      </items>
    </pivotField>
    <pivotField name="parentBountyID" axis="axisRow" compact="0" outline="0" multipleItemSelectionAllowed="1" showAll="0" sortType="descending" defaultSubtotal="0">
      <items>
        <item x="0"/>
        <item x="1"/>
        <item x="2"/>
        <item x="3"/>
        <item x="4"/>
        <item x="5"/>
        <item x="6"/>
        <item x="7"/>
        <item x="8"/>
        <item x="9"/>
        <item x="10"/>
        <item x="11"/>
        <item x="12"/>
        <item x="13"/>
        <item x="14"/>
        <item x="15"/>
        <item x="16"/>
        <item x="17"/>
      </items>
      <autoSortScope>
        <pivotArea>
          <references>
            <reference field="4294967294">
              <x v="1"/>
            </reference>
          </references>
        </pivotArea>
      </autoSortScope>
    </pivotField>
    <pivotField name="status" axis="axisPage" compact="0" outline="0" multipleItemSelectionAllowed="1" showAll="0">
      <items>
        <item x="0"/>
        <item h="1" x="1"/>
        <item h="1" x="2"/>
        <item h="1" x="3"/>
        <item h="1" x="4"/>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t="default"/>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t="default"/>
      </items>
    </pivotField>
    <pivotField name="proposal_tim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t="default"/>
      </items>
    </pivotField>
    <pivotField name="last_status_chang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USD lates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t="default"/>
      </items>
    </pivotField>
    <pivotField name="inherited Category" compact="0" outline="0" multipleItemSelectionAllowed="1" showAll="0">
      <items>
        <item x="0"/>
        <item x="1"/>
        <item x="2"/>
        <item x="3"/>
        <item x="4"/>
        <item x="5"/>
        <item t="default"/>
      </items>
    </pivotField>
    <pivotField name="inherited Subcategory" compact="0" outline="0" multipleItemSelectionAllowed="1" showAll="0">
      <items>
        <item x="0"/>
        <item x="1"/>
        <item x="2"/>
        <item x="3"/>
        <item x="4"/>
        <item x="5"/>
        <item x="6"/>
        <item x="7"/>
        <item x="8"/>
        <item x="9"/>
        <item x="10"/>
        <item x="11"/>
        <item x="12"/>
        <item x="13"/>
        <item t="default"/>
      </items>
    </pivotField>
    <pivotField name="evaluated Category" compact="0" outline="0" multipleItemSelectionAllowed="1" showAll="0">
      <items>
        <item x="0"/>
        <item x="1"/>
        <item x="2"/>
        <item x="3"/>
        <item x="4"/>
        <item x="5"/>
        <item t="default"/>
      </items>
    </pivotField>
    <pivotField name="evaluated Subcategory"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year" compact="0" numFmtId="3" outline="0" multipleItemSelectionAllowed="1" showAll="0">
      <items>
        <item x="0"/>
        <item x="1"/>
        <item x="2"/>
        <item t="default"/>
      </items>
    </pivotField>
    <pivotField name="month" compact="0" numFmtId="3" outline="0" multipleItemSelectionAllowed="1" showAll="0">
      <items>
        <item x="0"/>
        <item x="1"/>
        <item x="2"/>
        <item x="3"/>
        <item x="4"/>
        <item x="5"/>
        <item x="6"/>
        <item x="7"/>
        <item x="8"/>
        <item x="9"/>
        <item x="10"/>
        <item x="11"/>
        <item t="default"/>
      </items>
    </pivotField>
    <pivotField name="quarter" axis="axisPage" compact="0" numFmtId="3" outline="0" multipleItemSelectionAllowed="1" showAll="0">
      <items>
        <item x="0"/>
        <item x="1"/>
        <item h="1" x="2"/>
        <item h="1" x="3"/>
        <item h="1" x="4"/>
        <item h="1" x="5"/>
        <item h="1" x="6"/>
        <item h="1" x="7"/>
        <item h="1" x="8"/>
        <item t="default"/>
      </items>
    </pivotField>
    <pivotField name="year-month"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half-year" compact="0" outline="0" multipleItemSelectionAllowed="1" showAll="0">
      <items>
        <item x="0"/>
        <item x="1"/>
        <item x="2"/>
        <item x="3"/>
        <item x="4"/>
        <item t="default"/>
      </items>
    </pivotField>
    <pivotField name="bounty name" axis="axisRow" compact="0" outline="0" multipleItemSelectionAllowed="1" showAll="0" sortType="ascending">
      <items>
        <item x="12"/>
        <item x="1"/>
        <item x="3"/>
        <item x="11"/>
        <item x="15"/>
        <item x="9"/>
        <item x="7"/>
        <item x="5"/>
        <item x="13"/>
        <item x="10"/>
        <item x="6"/>
        <item x="16"/>
        <item x="4"/>
        <item x="14"/>
        <item x="17"/>
        <item x="2"/>
        <item x="8"/>
        <item x="0"/>
        <item t="default"/>
      </items>
    </pivotField>
  </pivotFields>
  <rowFields>
    <field x="1"/>
    <field x="21"/>
  </rowFields>
  <colFields>
    <field x="-2"/>
  </colFields>
  <pageFields>
    <pageField fld="2"/>
    <pageField fld="18"/>
  </pageFields>
  <dataFields>
    <dataField name="SUM of DOT" fld="4" baseField="0"/>
    <dataField name="SUM of USD latest" fld="9" baseField="0"/>
  </dataFields>
</pivotTableDefinition>
</file>

<file path=xl/pivotTables/pivotTable5.xml><?xml version="1.0" encoding="utf-8"?>
<pivotTableDefinition xmlns="http://schemas.openxmlformats.org/spreadsheetml/2006/main" name="Aggregated" cacheId="1" dataCaption="" rowGrandTotals="0" createdVersion="6" compact="0" compactData="0">
  <location ref="A6:H386" firstHeaderRow="0" firstDataRow="7" firstDataCol="0" rowPageCount="2" colPageCount="1"/>
  <pivotFields>
    <pivotField name="#" axis="axisRow" compact="0" outline="0" multipleItemSelectionAllowed="1" showAll="0" sortType="ascending" defaultSubtotal="0">
      <items>
        <item x="9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904"/>
        <item x="69"/>
        <item x="70"/>
        <item x="71"/>
        <item x="796"/>
        <item x="73"/>
        <item x="74"/>
        <item x="75"/>
        <item x="76"/>
        <item x="77"/>
        <item x="78"/>
        <item x="79"/>
        <item x="80"/>
        <item x="81"/>
        <item x="82"/>
        <item x="83"/>
        <item x="84"/>
        <item x="85"/>
        <item x="86"/>
        <item x="87"/>
        <item x="88"/>
        <item x="89"/>
        <item x="90"/>
        <item x="91"/>
        <item x="92"/>
        <item x="93"/>
        <item x="94"/>
        <item x="95"/>
        <item x="96"/>
        <item x="97"/>
        <item x="98"/>
        <item x="99"/>
        <item x="601"/>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599"/>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582"/>
        <item x="371"/>
        <item x="372"/>
        <item x="373"/>
        <item x="374"/>
        <item x="375"/>
        <item x="376"/>
        <item x="559"/>
        <item x="378"/>
        <item x="379"/>
        <item x="380"/>
        <item x="381"/>
        <item x="382"/>
        <item x="383"/>
        <item x="384"/>
        <item x="385"/>
        <item x="386"/>
        <item x="387"/>
        <item x="388"/>
        <item x="389"/>
        <item x="390"/>
        <item x="391"/>
        <item x="392"/>
        <item x="393"/>
        <item x="394"/>
        <item x="395"/>
        <item x="541"/>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96"/>
        <item x="483"/>
        <item x="484"/>
        <item x="485"/>
        <item x="486"/>
        <item x="487"/>
        <item x="488"/>
        <item x="489"/>
        <item x="490"/>
        <item x="491"/>
        <item x="492"/>
        <item x="493"/>
        <item x="494"/>
        <item x="495"/>
        <item x="482"/>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396"/>
        <item x="542"/>
        <item x="543"/>
        <item x="544"/>
        <item x="545"/>
        <item x="546"/>
        <item x="547"/>
        <item x="548"/>
        <item x="549"/>
        <item x="550"/>
        <item x="551"/>
        <item x="552"/>
        <item x="553"/>
        <item x="554"/>
        <item x="555"/>
        <item x="556"/>
        <item x="557"/>
        <item x="558"/>
        <item x="377"/>
        <item x="560"/>
        <item x="561"/>
        <item x="562"/>
        <item x="563"/>
        <item x="564"/>
        <item x="565"/>
        <item x="566"/>
        <item x="567"/>
        <item x="568"/>
        <item x="569"/>
        <item x="570"/>
        <item x="571"/>
        <item x="572"/>
        <item x="573"/>
        <item x="574"/>
        <item x="575"/>
        <item x="576"/>
        <item x="577"/>
        <item x="578"/>
        <item x="579"/>
        <item x="580"/>
        <item x="581"/>
        <item x="370"/>
        <item x="583"/>
        <item x="584"/>
        <item x="585"/>
        <item x="586"/>
        <item x="587"/>
        <item x="588"/>
        <item x="589"/>
        <item x="590"/>
        <item x="591"/>
        <item x="592"/>
        <item x="593"/>
        <item x="594"/>
        <item x="595"/>
        <item x="596"/>
        <item x="597"/>
        <item x="598"/>
        <item x="162"/>
        <item x="600"/>
        <item x="100"/>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2"/>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68"/>
        <item x="905"/>
        <item x="906"/>
        <item x="907"/>
        <item x="908"/>
        <item x="909"/>
        <item x="910"/>
        <item x="911"/>
        <item x="912"/>
        <item x="913"/>
        <item x="914"/>
        <item x="915"/>
        <item x="916"/>
        <item x="917"/>
        <item x="918"/>
        <item x="919"/>
        <item x="920"/>
        <item x="921"/>
        <item x="922"/>
        <item x="923"/>
        <item x="924"/>
        <item x="925"/>
      </items>
    </pivotField>
    <pivotField name="Title" axis="axisRow" compact="0" outline="0" multipleItemSelectionAllowed="1" showAll="0" sortType="ascending">
      <items>
        <item x="408"/>
        <item x="220"/>
        <item x="766"/>
        <item x="312"/>
        <item x="762"/>
        <item x="398"/>
        <item x="640"/>
        <item x="235"/>
        <item x="512"/>
        <item x="339"/>
        <item x="353"/>
        <item x="68"/>
        <item x="584"/>
        <item x="787"/>
        <item x="266"/>
        <item x="305"/>
        <item x="839"/>
        <item x="37"/>
        <item x="802"/>
        <item x="371"/>
        <item x="498"/>
        <item x="38"/>
        <item x="136"/>
        <item x="608"/>
        <item x="647"/>
        <item x="53"/>
        <item x="586"/>
        <item x="69"/>
        <item x="818"/>
        <item x="482"/>
        <item x="26"/>
        <item x="423"/>
        <item x="42"/>
        <item x="206"/>
        <item x="59"/>
        <item x="0"/>
        <item x="202"/>
        <item x="344"/>
        <item x="99"/>
        <item x="72"/>
        <item x="426"/>
        <item x="589"/>
        <item x="201"/>
        <item x="242"/>
        <item x="244"/>
        <item x="19"/>
        <item x="82"/>
        <item x="55"/>
        <item x="188"/>
        <item x="521"/>
        <item x="824"/>
        <item x="106"/>
        <item x="118"/>
        <item x="18"/>
        <item x="203"/>
        <item x="258"/>
        <item x="3"/>
        <item x="51"/>
        <item x="58"/>
        <item x="830"/>
        <item x="735"/>
        <item x="807"/>
        <item x="527"/>
        <item x="757"/>
        <item x="602"/>
        <item x="675"/>
        <item x="756"/>
        <item x="811"/>
        <item x="301"/>
        <item x="303"/>
        <item x="620"/>
        <item x="196"/>
        <item x="751"/>
        <item x="506"/>
        <item x="831"/>
        <item x="54"/>
        <item x="349"/>
        <item x="713"/>
        <item x="438"/>
        <item x="623"/>
        <item x="250"/>
        <item x="309"/>
        <item x="368"/>
        <item x="16"/>
        <item x="163"/>
        <item x="255"/>
        <item x="739"/>
        <item x="754"/>
        <item x="61"/>
        <item x="565"/>
        <item x="60"/>
        <item x="247"/>
        <item x="264"/>
        <item x="276"/>
        <item x="217"/>
        <item x="12"/>
        <item x="66"/>
        <item x="65"/>
        <item x="156"/>
        <item x="717"/>
        <item x="251"/>
        <item x="124"/>
        <item x="313"/>
        <item x="245"/>
        <item x="524"/>
        <item x="534"/>
        <item x="338"/>
        <item x="115"/>
        <item x="157"/>
        <item x="413"/>
        <item x="486"/>
        <item x="485"/>
        <item x="595"/>
        <item x="379"/>
        <item x="47"/>
        <item x="653"/>
        <item x="827"/>
        <item x="765"/>
        <item x="373"/>
        <item x="749"/>
        <item x="342"/>
        <item x="775"/>
        <item x="529"/>
        <item x="447"/>
        <item x="737"/>
        <item x="738"/>
        <item x="394"/>
        <item x="174"/>
        <item x="448"/>
        <item x="399"/>
        <item x="449"/>
        <item x="544"/>
        <item x="348"/>
        <item x="488"/>
        <item x="779"/>
        <item x="192"/>
        <item x="249"/>
        <item x="307"/>
        <item x="210"/>
        <item x="650"/>
        <item x="77"/>
        <item x="361"/>
        <item x="364"/>
        <item x="293"/>
        <item x="492"/>
        <item x="328"/>
        <item x="507"/>
        <item x="502"/>
        <item x="473"/>
        <item x="240"/>
        <item x="80"/>
        <item x="146"/>
        <item x="233"/>
        <item x="561"/>
        <item x="304"/>
        <item x="694"/>
        <item x="392"/>
        <item x="311"/>
        <item x="597"/>
        <item x="325"/>
        <item x="730"/>
        <item x="126"/>
        <item x="330"/>
        <item x="230"/>
        <item x="236"/>
        <item x="256"/>
        <item x="731"/>
        <item x="75"/>
        <item x="56"/>
        <item x="535"/>
        <item x="422"/>
        <item x="223"/>
        <item x="729"/>
        <item x="637"/>
        <item x="687"/>
        <item x="514"/>
        <item x="418"/>
        <item x="262"/>
        <item x="689"/>
        <item x="165"/>
        <item x="365"/>
        <item x="103"/>
        <item x="450"/>
        <item x="275"/>
        <item x="490"/>
        <item x="577"/>
        <item x="545"/>
        <item x="362"/>
        <item x="570"/>
        <item x="314"/>
        <item x="231"/>
        <item x="132"/>
        <item x="272"/>
        <item x="260"/>
        <item x="117"/>
        <item x="239"/>
        <item x="432"/>
        <item x="270"/>
        <item x="178"/>
        <item x="389"/>
        <item x="642"/>
        <item x="598"/>
        <item x="745"/>
        <item x="604"/>
        <item x="52"/>
        <item x="296"/>
        <item x="269"/>
        <item x="431"/>
        <item x="248"/>
        <item x="274"/>
        <item x="681"/>
        <item x="781"/>
        <item x="528"/>
        <item x="472"/>
        <item x="79"/>
        <item x="727"/>
        <item x="319"/>
        <item x="582"/>
        <item x="271"/>
        <item x="474"/>
        <item x="401"/>
        <item x="419"/>
        <item x="725"/>
        <item x="726"/>
        <item x="83"/>
        <item x="487"/>
        <item x="172"/>
        <item x="851"/>
        <item x="315"/>
        <item x="430"/>
        <item x="715"/>
        <item x="187"/>
        <item x="592"/>
        <item x="741"/>
        <item x="718"/>
        <item x="168"/>
        <item x="540"/>
        <item x="289"/>
        <item x="254"/>
        <item x="848"/>
        <item x="747"/>
        <item x="190"/>
        <item x="288"/>
        <item x="129"/>
        <item x="652"/>
        <item x="182"/>
        <item x="691"/>
        <item x="822"/>
        <item x="641"/>
        <item x="14"/>
        <item x="403"/>
        <item x="181"/>
        <item x="406"/>
        <item x="204"/>
        <item x="33"/>
        <item x="125"/>
        <item x="224"/>
        <item x="504"/>
        <item x="559"/>
        <item x="377"/>
        <item x="755"/>
        <item x="384"/>
        <item x="842"/>
        <item x="666"/>
        <item x="455"/>
        <item x="720"/>
        <item x="227"/>
        <item x="363"/>
        <item x="497"/>
        <item x="690"/>
        <item x="176"/>
        <item x="334"/>
        <item x="372"/>
        <item x="70"/>
        <item x="9"/>
        <item x="788"/>
        <item x="457"/>
        <item x="846"/>
        <item x="557"/>
        <item x="45"/>
        <item x="466"/>
        <item x="326"/>
        <item x="564"/>
        <item x="343"/>
        <item x="771"/>
        <item x="643"/>
        <item x="530"/>
        <item x="446"/>
        <item x="22"/>
        <item x="166"/>
        <item x="200"/>
        <item x="88"/>
        <item x="50"/>
        <item x="798"/>
        <item x="834"/>
        <item x="707"/>
        <item x="286"/>
        <item x="841"/>
        <item x="302"/>
        <item x="229"/>
        <item x="354"/>
        <item x="724"/>
        <item x="285"/>
        <item x="143"/>
        <item x="661"/>
        <item x="470"/>
        <item x="629"/>
        <item x="663"/>
        <item x="773"/>
        <item x="828"/>
        <item x="791"/>
        <item x="744"/>
        <item x="799"/>
        <item x="804"/>
        <item x="546"/>
        <item x="306"/>
        <item x="153"/>
        <item x="138"/>
        <item x="137"/>
        <item x="626"/>
        <item x="336"/>
        <item x="607"/>
        <item x="91"/>
        <item x="531"/>
        <item x="518"/>
        <item x="634"/>
        <item x="387"/>
        <item x="671"/>
        <item x="723"/>
        <item x="580"/>
        <item x="149"/>
        <item x="133"/>
        <item x="510"/>
        <item x="415"/>
        <item x="575"/>
        <item x="226"/>
        <item x="786"/>
        <item x="142"/>
        <item x="859"/>
        <item x="549"/>
        <item x="684"/>
        <item x="820"/>
        <item x="197"/>
        <item x="5"/>
        <item x="719"/>
        <item x="209"/>
        <item x="205"/>
        <item x="148"/>
        <item x="300"/>
        <item x="784"/>
        <item x="183"/>
        <item x="327"/>
        <item x="567"/>
        <item x="104"/>
        <item x="699"/>
        <item x="21"/>
        <item x="469"/>
        <item x="789"/>
        <item x="208"/>
        <item x="340"/>
        <item x="611"/>
        <item x="120"/>
        <item x="162"/>
        <item x="600"/>
        <item x="376"/>
        <item x="85"/>
        <item x="279"/>
        <item x="736"/>
        <item x="114"/>
        <item x="714"/>
        <item x="571"/>
        <item x="259"/>
        <item x="213"/>
        <item x="381"/>
        <item x="491"/>
        <item x="370"/>
        <item x="396"/>
        <item x="679"/>
        <item x="246"/>
        <item x="508"/>
        <item x="62"/>
        <item x="479"/>
        <item x="94"/>
        <item x="32"/>
        <item x="98"/>
        <item x="100"/>
        <item x="351"/>
        <item x="265"/>
        <item x="263"/>
        <item x="427"/>
        <item x="568"/>
        <item x="692"/>
        <item x="131"/>
        <item x="155"/>
        <item x="135"/>
        <item x="688"/>
        <item x="116"/>
        <item x="601"/>
        <item x="164"/>
        <item x="39"/>
        <item x="659"/>
        <item x="359"/>
        <item x="7"/>
        <item x="554"/>
        <item x="219"/>
        <item x="452"/>
        <item x="509"/>
        <item x="144"/>
        <item x="41"/>
        <item x="121"/>
        <item x="630"/>
        <item x="8"/>
        <item x="290"/>
        <item x="316"/>
        <item x="593"/>
        <item x="711"/>
        <item x="685"/>
        <item x="36"/>
        <item x="81"/>
        <item x="134"/>
        <item x="86"/>
        <item x="658"/>
        <item x="489"/>
        <item x="409"/>
        <item x="393"/>
        <item x="558"/>
        <item x="322"/>
        <item x="670"/>
        <item x="416"/>
        <item x="268"/>
        <item x="704"/>
        <item x="752"/>
        <item x="1"/>
        <item x="515"/>
        <item x="30"/>
        <item x="167"/>
        <item x="420"/>
        <item x="299"/>
        <item x="494"/>
        <item x="48"/>
        <item x="49"/>
        <item x="441"/>
        <item x="96"/>
        <item x="550"/>
        <item x="716"/>
        <item x="701"/>
        <item x="537"/>
        <item x="40"/>
        <item x="199"/>
        <item x="280"/>
        <item x="840"/>
        <item x="189"/>
        <item x="278"/>
        <item x="825"/>
        <item x="674"/>
        <item x="835"/>
        <item x="790"/>
        <item x="541"/>
        <item x="536"/>
        <item x="680"/>
        <item x="614"/>
        <item x="578"/>
        <item x="697"/>
        <item x="555"/>
        <item x="668"/>
        <item x="127"/>
        <item x="151"/>
        <item x="513"/>
        <item x="693"/>
        <item x="97"/>
        <item x="631"/>
        <item x="463"/>
        <item x="612"/>
        <item x="543"/>
        <item x="619"/>
        <item x="355"/>
        <item x="173"/>
        <item x="551"/>
        <item x="686"/>
        <item x="310"/>
        <item x="425"/>
        <item x="645"/>
        <item x="759"/>
        <item x="321"/>
        <item x="483"/>
        <item x="632"/>
        <item x="743"/>
        <item x="366"/>
        <item x="453"/>
        <item x="493"/>
        <item x="390"/>
        <item x="624"/>
        <item x="193"/>
        <item x="461"/>
        <item x="324"/>
        <item x="740"/>
        <item x="776"/>
        <item x="748"/>
        <item x="621"/>
        <item x="467"/>
        <item x="583"/>
        <item x="440"/>
        <item x="844"/>
        <item x="843"/>
        <item x="809"/>
        <item x="855"/>
        <item x="800"/>
        <item x="805"/>
        <item x="823"/>
        <item x="797"/>
        <item x="801"/>
        <item x="796"/>
        <item x="815"/>
        <item x="836"/>
        <item x="806"/>
        <item x="816"/>
        <item x="795"/>
        <item x="808"/>
        <item x="814"/>
        <item x="858"/>
        <item x="46"/>
        <item x="533"/>
        <item x="532"/>
        <item x="391"/>
        <item x="746"/>
        <item x="599"/>
        <item x="95"/>
        <item x="676"/>
        <item x="335"/>
        <item x="424"/>
        <item x="613"/>
        <item x="705"/>
        <item x="101"/>
        <item x="563"/>
        <item x="792"/>
        <item x="501"/>
        <item x="460"/>
        <item x="347"/>
        <item x="160"/>
        <item x="158"/>
        <item x="159"/>
        <item x="214"/>
        <item x="526"/>
        <item x="638"/>
        <item x="194"/>
        <item x="43"/>
        <item x="734"/>
        <item x="185"/>
        <item x="548"/>
        <item x="221"/>
        <item x="388"/>
        <item x="320"/>
        <item x="484"/>
        <item x="337"/>
        <item x="147"/>
        <item x="152"/>
        <item x="277"/>
        <item x="222"/>
        <item x="171"/>
        <item x="856"/>
        <item x="410"/>
        <item x="191"/>
        <item x="331"/>
        <item x="574"/>
        <item x="646"/>
        <item x="443"/>
        <item x="605"/>
        <item x="768"/>
        <item x="287"/>
        <item x="35"/>
        <item x="442"/>
        <item x="523"/>
        <item x="105"/>
        <item x="10"/>
        <item x="177"/>
        <item x="459"/>
        <item x="23"/>
        <item x="212"/>
        <item x="837"/>
        <item x="397"/>
        <item x="175"/>
        <item x="154"/>
        <item x="4"/>
        <item x="112"/>
        <item x="542"/>
        <item x="636"/>
        <item x="308"/>
        <item x="237"/>
        <item x="700"/>
        <item x="750"/>
        <item x="753"/>
        <item x="832"/>
        <item x="803"/>
        <item x="682"/>
        <item x="742"/>
        <item x="412"/>
        <item x="17"/>
        <item x="405"/>
        <item x="428"/>
        <item x="444"/>
        <item x="367"/>
        <item x="211"/>
        <item x="2"/>
        <item x="852"/>
        <item x="234"/>
        <item x="732"/>
        <item x="633"/>
        <item x="635"/>
        <item x="639"/>
        <item x="587"/>
        <item x="333"/>
        <item x="722"/>
        <item x="644"/>
        <item x="169"/>
        <item x="665"/>
        <item x="261"/>
        <item x="468"/>
        <item x="758"/>
        <item x="87"/>
        <item x="130"/>
        <item x="538"/>
        <item x="678"/>
        <item x="812"/>
        <item x="721"/>
        <item x="215"/>
        <item x="24"/>
        <item x="102"/>
        <item x="826"/>
        <item x="380"/>
        <item x="195"/>
        <item x="179"/>
        <item x="696"/>
        <item x="107"/>
        <item x="317"/>
        <item x="402"/>
        <item x="562"/>
        <item x="180"/>
        <item x="281"/>
        <item x="34"/>
        <item x="122"/>
        <item x="780"/>
        <item x="382"/>
        <item x="119"/>
        <item x="184"/>
        <item x="712"/>
        <item x="429"/>
        <item x="794"/>
        <item x="654"/>
        <item x="655"/>
        <item x="760"/>
        <item x="763"/>
        <item x="770"/>
        <item x="847"/>
        <item x="850"/>
        <item x="854"/>
        <item x="505"/>
        <item x="464"/>
        <item x="139"/>
        <item x="111"/>
        <item x="109"/>
        <item x="108"/>
        <item x="110"/>
        <item x="350"/>
        <item x="358"/>
        <item x="683"/>
        <item x="503"/>
        <item x="594"/>
        <item x="672"/>
        <item x="73"/>
        <item x="186"/>
        <item x="857"/>
        <item x="853"/>
        <item x="520"/>
        <item x="710"/>
        <item x="703"/>
        <item x="496"/>
        <item x="385"/>
        <item x="519"/>
        <item x="552"/>
        <item x="829"/>
        <item x="817"/>
        <item x="560"/>
        <item x="31"/>
        <item x="27"/>
        <item x="25"/>
        <item x="651"/>
        <item x="11"/>
        <item x="821"/>
        <item x="785"/>
        <item x="232"/>
        <item x="150"/>
        <item x="228"/>
        <item x="216"/>
        <item x="480"/>
        <item x="439"/>
        <item x="417"/>
        <item x="660"/>
        <item x="341"/>
        <item x="706"/>
        <item x="628"/>
        <item x="414"/>
        <item x="627"/>
        <item x="516"/>
        <item x="774"/>
        <item x="709"/>
        <item x="462"/>
        <item x="218"/>
        <item x="400"/>
        <item x="622"/>
        <item x="539"/>
        <item x="456"/>
        <item x="625"/>
        <item x="28"/>
        <item x="833"/>
        <item x="257"/>
        <item x="767"/>
        <item x="291"/>
        <item x="499"/>
        <item x="74"/>
        <item x="695"/>
        <item x="57"/>
        <item x="6"/>
        <item x="329"/>
        <item x="67"/>
        <item x="615"/>
        <item x="481"/>
        <item x="603"/>
        <item x="576"/>
        <item x="573"/>
        <item x="465"/>
        <item x="360"/>
        <item x="445"/>
        <item x="522"/>
        <item x="698"/>
        <item x="819"/>
        <item x="267"/>
        <item x="92"/>
        <item x="378"/>
        <item x="454"/>
        <item x="140"/>
        <item x="78"/>
        <item x="76"/>
        <item x="207"/>
        <item x="29"/>
        <item x="113"/>
        <item x="89"/>
        <item x="648"/>
        <item x="547"/>
        <item x="769"/>
        <item x="332"/>
        <item x="170"/>
        <item x="298"/>
        <item x="20"/>
        <item x="13"/>
        <item x="590"/>
        <item x="15"/>
        <item x="141"/>
        <item x="352"/>
        <item x="579"/>
        <item x="346"/>
        <item x="238"/>
        <item x="84"/>
        <item x="292"/>
        <item x="475"/>
        <item x="517"/>
        <item x="297"/>
        <item x="591"/>
        <item x="585"/>
        <item x="572"/>
        <item x="323"/>
        <item x="610"/>
        <item x="657"/>
        <item x="702"/>
        <item x="609"/>
        <item x="673"/>
        <item x="282"/>
        <item x="708"/>
        <item x="649"/>
        <item x="433"/>
        <item x="471"/>
        <item x="569"/>
        <item x="369"/>
        <item x="677"/>
        <item x="436"/>
        <item x="596"/>
        <item x="588"/>
        <item x="252"/>
        <item x="495"/>
        <item x="437"/>
        <item x="477"/>
        <item x="357"/>
        <item x="616"/>
        <item x="617"/>
        <item x="664"/>
        <item x="669"/>
        <item x="761"/>
        <item x="225"/>
        <item x="525"/>
        <item x="295"/>
        <item x="849"/>
        <item x="667"/>
        <item x="810"/>
        <item x="733"/>
        <item x="500"/>
        <item x="64"/>
        <item x="44"/>
        <item x="777"/>
        <item x="386"/>
        <item x="318"/>
        <item x="411"/>
        <item x="478"/>
        <item x="404"/>
        <item x="198"/>
        <item x="845"/>
        <item x="253"/>
        <item x="451"/>
        <item x="161"/>
        <item x="374"/>
        <item x="838"/>
        <item x="128"/>
        <item x="356"/>
        <item x="476"/>
        <item x="375"/>
        <item x="145"/>
        <item x="421"/>
        <item x="407"/>
        <item x="606"/>
        <item x="395"/>
        <item x="778"/>
        <item x="435"/>
        <item x="434"/>
        <item x="458"/>
        <item x="793"/>
        <item x="772"/>
        <item x="123"/>
        <item x="783"/>
        <item x="243"/>
        <item x="511"/>
        <item x="556"/>
        <item x="782"/>
        <item x="284"/>
        <item x="241"/>
        <item x="728"/>
        <item x="764"/>
        <item x="662"/>
        <item x="553"/>
        <item x="63"/>
        <item x="581"/>
        <item x="566"/>
        <item x="345"/>
        <item x="71"/>
        <item x="383"/>
        <item x="90"/>
        <item x="618"/>
        <item x="813"/>
        <item x="656"/>
        <item x="283"/>
        <item x="273"/>
        <item x="294"/>
        <item x="93"/>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axis="axisRow" compact="0" numFmtId="165" outline="0" multipleItemSelectionAllowed="1" showAll="0" sortType="ascending" defaultSubtotal="0">
      <items>
        <item x="363"/>
        <item x="0"/>
        <item x="205"/>
        <item x="356"/>
        <item x="451"/>
        <item x="449"/>
        <item x="344"/>
        <item x="385"/>
        <item x="414"/>
        <item x="350"/>
        <item x="500"/>
        <item x="368"/>
        <item x="514"/>
        <item x="456"/>
        <item x="477"/>
        <item x="502"/>
        <item x="434"/>
        <item x="406"/>
        <item x="435"/>
        <item x="371"/>
        <item x="360"/>
        <item x="380"/>
        <item x="352"/>
        <item x="209"/>
        <item x="348"/>
        <item x="543"/>
        <item x="489"/>
        <item x="217"/>
        <item x="440"/>
        <item x="468"/>
        <item x="114"/>
        <item x="51"/>
        <item x="444"/>
        <item x="39"/>
        <item x="413"/>
        <item x="474"/>
        <item x="62"/>
        <item x="61"/>
        <item x="343"/>
        <item x="35"/>
        <item x="28"/>
        <item x="347"/>
        <item x="117"/>
        <item x="146"/>
        <item x="412"/>
        <item x="284"/>
        <item x="75"/>
        <item x="136"/>
        <item x="76"/>
        <item x="336"/>
        <item x="281"/>
        <item x="293"/>
        <item x="40"/>
        <item x="179"/>
        <item x="37"/>
        <item x="257"/>
        <item x="84"/>
        <item x="183"/>
        <item x="523"/>
        <item x="161"/>
        <item x="77"/>
        <item x="18"/>
        <item x="509"/>
        <item x="151"/>
        <item x="519"/>
        <item x="244"/>
        <item x="242"/>
        <item x="452"/>
        <item x="196"/>
        <item x="19"/>
        <item x="277"/>
        <item x="301"/>
        <item x="450"/>
        <item x="219"/>
        <item x="165"/>
        <item x="447"/>
        <item x="241"/>
        <item x="374"/>
        <item x="189"/>
        <item x="292"/>
        <item x="392"/>
        <item x="137"/>
        <item x="319"/>
        <item x="44"/>
        <item x="442"/>
        <item x="423"/>
        <item x="484"/>
        <item x="102"/>
        <item x="422"/>
        <item x="496"/>
        <item x="224"/>
        <item x="186"/>
        <item x="420"/>
        <item x="339"/>
        <item x="135"/>
        <item x="27"/>
        <item x="93"/>
        <item x="313"/>
        <item x="326"/>
        <item x="126"/>
        <item x="54"/>
        <item x="48"/>
        <item x="223"/>
        <item x="400"/>
        <item x="36"/>
        <item x="483"/>
        <item x="154"/>
        <item x="402"/>
        <item x="160"/>
        <item x="525"/>
        <item x="159"/>
        <item x="195"/>
        <item x="314"/>
        <item x="283"/>
        <item x="194"/>
        <item x="187"/>
        <item x="294"/>
        <item x="128"/>
        <item x="258"/>
        <item x="148"/>
        <item x="245"/>
        <item x="152"/>
        <item x="354"/>
        <item x="192"/>
        <item x="520"/>
        <item x="426"/>
        <item x="202"/>
        <item x="70"/>
        <item x="253"/>
        <item x="499"/>
        <item x="280"/>
        <item x="269"/>
        <item x="391"/>
        <item x="464"/>
        <item x="487"/>
        <item x="486"/>
        <item x="289"/>
        <item x="193"/>
        <item x="174"/>
        <item x="190"/>
        <item x="46"/>
        <item x="208"/>
        <item x="13"/>
        <item x="463"/>
        <item x="156"/>
        <item x="358"/>
        <item x="495"/>
        <item x="6"/>
        <item x="38"/>
        <item x="492"/>
        <item x="80"/>
        <item x="513"/>
        <item x="29"/>
        <item x="270"/>
        <item x="200"/>
        <item x="180"/>
        <item x="134"/>
        <item x="173"/>
        <item x="279"/>
        <item x="505"/>
        <item x="488"/>
        <item x="191"/>
        <item x="33"/>
        <item x="132"/>
        <item x="155"/>
        <item x="115"/>
        <item x="235"/>
        <item x="113"/>
        <item x="395"/>
        <item x="182"/>
        <item x="415"/>
        <item x="124"/>
        <item x="110"/>
        <item x="206"/>
        <item x="408"/>
        <item x="166"/>
        <item x="341"/>
        <item x="501"/>
        <item x="101"/>
        <item x="207"/>
        <item x="511"/>
        <item x="530"/>
        <item x="231"/>
        <item x="112"/>
        <item x="1"/>
        <item x="310"/>
        <item x="56"/>
        <item x="517"/>
        <item x="164"/>
        <item x="369"/>
        <item x="394"/>
        <item x="204"/>
        <item x="526"/>
        <item x="466"/>
        <item x="482"/>
        <item x="34"/>
        <item x="397"/>
        <item x="203"/>
        <item x="185"/>
        <item x="295"/>
        <item x="411"/>
        <item x="275"/>
        <item x="345"/>
        <item x="458"/>
        <item x="218"/>
        <item x="544"/>
        <item x="410"/>
        <item x="320"/>
        <item x="12"/>
        <item x="493"/>
        <item x="213"/>
        <item x="233"/>
        <item x="503"/>
        <item x="398"/>
        <item x="199"/>
        <item x="131"/>
        <item x="494"/>
        <item x="384"/>
        <item x="370"/>
        <item x="324"/>
        <item x="427"/>
        <item x="171"/>
        <item x="448"/>
        <item x="201"/>
        <item x="198"/>
        <item x="272"/>
        <item x="421"/>
        <item x="286"/>
        <item x="351"/>
        <item x="461"/>
        <item x="229"/>
        <item x="141"/>
        <item x="260"/>
        <item x="72"/>
        <item x="346"/>
        <item x="250"/>
        <item x="175"/>
        <item x="475"/>
        <item x="248"/>
        <item x="375"/>
        <item x="118"/>
        <item x="47"/>
        <item x="238"/>
        <item x="305"/>
        <item x="338"/>
        <item x="296"/>
        <item x="22"/>
        <item x="216"/>
        <item x="226"/>
        <item x="129"/>
        <item x="123"/>
        <item x="45"/>
        <item x="95"/>
        <item x="52"/>
        <item x="285"/>
        <item x="457"/>
        <item x="515"/>
        <item x="473"/>
        <item x="300"/>
        <item x="317"/>
        <item x="230"/>
        <item x="521"/>
        <item x="478"/>
        <item x="153"/>
        <item x="64"/>
        <item x="55"/>
        <item x="445"/>
        <item x="498"/>
        <item x="355"/>
        <item x="25"/>
        <item x="103"/>
        <item x="49"/>
        <item x="63"/>
        <item x="417"/>
        <item x="172"/>
        <item x="108"/>
        <item x="393"/>
        <item x="396"/>
        <item x="436"/>
        <item x="534"/>
        <item x="2"/>
        <item x="78"/>
        <item x="122"/>
        <item x="239"/>
        <item x="158"/>
        <item x="297"/>
        <item x="545"/>
        <item x="259"/>
        <item x="178"/>
        <item x="540"/>
        <item x="522"/>
        <item x="439"/>
        <item x="65"/>
        <item x="529"/>
        <item x="390"/>
        <item x="149"/>
        <item x="24"/>
        <item x="87"/>
        <item x="325"/>
        <item x="83"/>
        <item x="469"/>
        <item x="263"/>
        <item x="240"/>
        <item x="181"/>
        <item x="176"/>
        <item x="389"/>
        <item x="419"/>
        <item x="315"/>
        <item x="184"/>
        <item x="274"/>
        <item x="228"/>
        <item x="247"/>
        <item x="104"/>
        <item x="147"/>
        <item x="508"/>
        <item x="268"/>
        <item x="404"/>
        <item x="144"/>
        <item x="157"/>
        <item x="516"/>
        <item x="383"/>
        <item x="531"/>
        <item x="197"/>
        <item x="17"/>
        <item x="304"/>
        <item x="262"/>
        <item x="252"/>
        <item x="254"/>
        <item x="453"/>
        <item x="518"/>
        <item x="138"/>
        <item x="476"/>
        <item x="251"/>
        <item x="79"/>
        <item x="237"/>
        <item x="9"/>
        <item x="81"/>
        <item x="542"/>
        <item x="140"/>
        <item x="42"/>
        <item x="212"/>
        <item x="424"/>
        <item x="328"/>
        <item x="437"/>
        <item x="50"/>
        <item x="332"/>
        <item x="432"/>
        <item x="359"/>
        <item x="409"/>
        <item x="399"/>
        <item x="372"/>
        <item x="318"/>
        <item x="58"/>
        <item x="485"/>
        <item x="211"/>
        <item x="364"/>
        <item x="107"/>
        <item x="111"/>
        <item x="323"/>
        <item x="169"/>
        <item x="546"/>
        <item x="130"/>
        <item x="407"/>
        <item x="537"/>
        <item x="303"/>
        <item x="342"/>
        <item x="433"/>
        <item x="100"/>
        <item x="361"/>
        <item x="31"/>
        <item x="225"/>
        <item x="472"/>
        <item x="401"/>
        <item x="32"/>
        <item x="60"/>
        <item x="8"/>
        <item x="312"/>
        <item x="547"/>
        <item x="120"/>
        <item x="470"/>
        <item x="20"/>
        <item x="302"/>
        <item x="282"/>
        <item x="381"/>
        <item x="533"/>
        <item x="353"/>
        <item x="467"/>
        <item x="85"/>
        <item x="330"/>
        <item x="249"/>
        <item x="14"/>
        <item x="74"/>
        <item x="446"/>
        <item x="145"/>
        <item x="119"/>
        <item x="82"/>
        <item x="227"/>
        <item x="125"/>
        <item x="7"/>
        <item x="71"/>
        <item x="67"/>
        <item x="306"/>
        <item x="333"/>
        <item x="278"/>
        <item x="97"/>
        <item x="377"/>
        <item x="430"/>
        <item x="105"/>
        <item x="261"/>
        <item x="387"/>
        <item x="386"/>
        <item x="524"/>
        <item x="215"/>
        <item x="429"/>
        <item x="246"/>
        <item x="480"/>
        <item x="10"/>
        <item x="331"/>
        <item x="66"/>
        <item x="316"/>
        <item x="291"/>
        <item x="335"/>
        <item x="504"/>
        <item x="510"/>
        <item x="210"/>
        <item x="92"/>
        <item x="327"/>
        <item x="150"/>
        <item x="290"/>
        <item x="267"/>
        <item x="459"/>
        <item x="287"/>
        <item x="265"/>
        <item x="94"/>
        <item x="98"/>
        <item x="382"/>
        <item x="53"/>
        <item x="162"/>
        <item x="90"/>
        <item x="69"/>
        <item x="491"/>
        <item x="3"/>
        <item x="57"/>
        <item x="365"/>
        <item x="311"/>
        <item x="273"/>
        <item x="288"/>
        <item x="329"/>
        <item x="116"/>
        <item x="11"/>
        <item x="405"/>
        <item x="26"/>
        <item x="222"/>
        <item x="541"/>
        <item x="91"/>
        <item x="234"/>
        <item x="366"/>
        <item x="30"/>
        <item x="507"/>
        <item x="418"/>
        <item x="465"/>
        <item x="4"/>
        <item x="96"/>
        <item x="16"/>
        <item x="431"/>
        <item x="221"/>
        <item x="220"/>
        <item x="479"/>
        <item x="73"/>
        <item x="438"/>
        <item x="309"/>
        <item x="170"/>
        <item x="428"/>
        <item x="373"/>
        <item x="454"/>
        <item x="512"/>
        <item x="127"/>
        <item x="271"/>
        <item x="416"/>
        <item x="334"/>
        <item x="43"/>
        <item x="376"/>
        <item x="532"/>
        <item x="357"/>
        <item x="177"/>
        <item x="68"/>
        <item x="23"/>
        <item x="243"/>
        <item x="298"/>
        <item x="266"/>
        <item x="41"/>
        <item x="5"/>
        <item x="425"/>
        <item x="214"/>
        <item x="86"/>
        <item x="460"/>
        <item x="536"/>
        <item x="528"/>
        <item x="167"/>
        <item x="462"/>
        <item x="163"/>
        <item x="539"/>
        <item x="548"/>
        <item x="21"/>
        <item x="236"/>
        <item x="388"/>
        <item x="455"/>
        <item x="538"/>
        <item x="379"/>
        <item x="139"/>
        <item x="109"/>
        <item x="362"/>
        <item x="322"/>
        <item x="481"/>
        <item x="15"/>
        <item x="256"/>
        <item x="321"/>
        <item x="89"/>
        <item x="471"/>
        <item x="443"/>
        <item x="307"/>
        <item x="106"/>
        <item x="378"/>
        <item x="264"/>
        <item x="349"/>
        <item x="99"/>
        <item x="121"/>
        <item x="340"/>
        <item x="337"/>
        <item x="255"/>
        <item x="441"/>
        <item x="133"/>
        <item x="490"/>
        <item x="299"/>
        <item x="142"/>
        <item x="535"/>
        <item x="308"/>
        <item x="403"/>
        <item x="188"/>
        <item x="367"/>
        <item x="168"/>
        <item x="232"/>
        <item x="527"/>
        <item x="59"/>
        <item x="276"/>
        <item x="506"/>
        <item x="143"/>
        <item x="88"/>
        <item x="497"/>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axis="axisRow" compact="0" numFmtId="167" outline="0" multipleItemSelectionAllowed="1" showAll="0" sortType="ascending" defaultSubtotal="0">
      <items>
        <item x="237"/>
        <item x="2"/>
        <item x="11"/>
        <item x="0"/>
        <item x="15"/>
        <item x="16"/>
        <item x="6"/>
        <item x="20"/>
        <item x="21"/>
        <item x="22"/>
        <item x="24"/>
        <item x="25"/>
        <item x="17"/>
        <item x="3"/>
        <item x="4"/>
        <item x="1"/>
        <item x="5"/>
        <item x="7"/>
        <item x="8"/>
        <item x="10"/>
        <item x="9"/>
        <item x="12"/>
        <item x="14"/>
        <item x="35"/>
        <item x="13"/>
        <item x="18"/>
        <item x="19"/>
        <item x="26"/>
        <item x="23"/>
        <item x="27"/>
        <item x="41"/>
        <item x="29"/>
        <item x="32"/>
        <item x="36"/>
        <item x="30"/>
        <item x="34"/>
        <item x="33"/>
        <item x="39"/>
        <item x="55"/>
        <item x="52"/>
        <item x="56"/>
        <item x="38"/>
        <item x="37"/>
        <item x="60"/>
        <item x="40"/>
        <item x="44"/>
        <item x="49"/>
        <item x="42"/>
        <item x="45"/>
        <item x="43"/>
        <item x="47"/>
        <item x="48"/>
        <item x="50"/>
        <item x="57"/>
        <item x="51"/>
        <item x="53"/>
        <item x="54"/>
        <item x="71"/>
        <item x="58"/>
        <item x="61"/>
        <item x="65"/>
        <item x="77"/>
        <item x="59"/>
        <item x="62"/>
        <item x="66"/>
        <item x="63"/>
        <item x="64"/>
        <item x="75"/>
        <item x="67"/>
        <item x="69"/>
        <item x="72"/>
        <item x="91"/>
        <item x="70"/>
        <item x="80"/>
        <item x="89"/>
        <item x="82"/>
        <item x="73"/>
        <item x="78"/>
        <item x="74"/>
        <item x="68"/>
        <item x="76"/>
        <item x="83"/>
        <item x="90"/>
        <item x="79"/>
        <item x="252"/>
        <item x="81"/>
        <item x="98"/>
        <item x="95"/>
        <item x="88"/>
        <item x="87"/>
        <item x="84"/>
        <item x="97"/>
        <item x="92"/>
        <item x="86"/>
        <item x="100"/>
        <item x="103"/>
        <item x="105"/>
        <item x="94"/>
        <item x="99"/>
        <item x="96"/>
        <item x="109"/>
        <item x="110"/>
        <item x="101"/>
        <item x="93"/>
        <item x="107"/>
        <item x="102"/>
        <item x="104"/>
        <item x="106"/>
        <item x="113"/>
        <item x="115"/>
        <item x="112"/>
        <item x="117"/>
        <item x="108"/>
        <item x="121"/>
        <item x="128"/>
        <item x="122"/>
        <item x="111"/>
        <item x="114"/>
        <item x="133"/>
        <item x="116"/>
        <item x="118"/>
        <item x="120"/>
        <item x="130"/>
        <item x="134"/>
        <item x="124"/>
        <item x="131"/>
        <item x="119"/>
        <item x="145"/>
        <item x="123"/>
        <item x="142"/>
        <item x="125"/>
        <item x="126"/>
        <item x="127"/>
        <item x="129"/>
        <item x="143"/>
        <item x="147"/>
        <item x="132"/>
        <item x="141"/>
        <item x="135"/>
        <item x="136"/>
        <item x="137"/>
        <item x="138"/>
        <item x="140"/>
        <item x="139"/>
        <item x="144"/>
        <item x="157"/>
        <item x="150"/>
        <item x="153"/>
        <item x="146"/>
        <item x="148"/>
        <item x="156"/>
        <item x="151"/>
        <item x="149"/>
        <item x="152"/>
        <item x="154"/>
        <item x="155"/>
        <item x="158"/>
        <item x="160"/>
        <item x="164"/>
        <item x="159"/>
        <item x="171"/>
        <item x="161"/>
        <item x="163"/>
        <item x="172"/>
        <item x="170"/>
        <item x="176"/>
        <item x="187"/>
        <item x="167"/>
        <item x="165"/>
        <item x="180"/>
        <item x="186"/>
        <item x="169"/>
        <item x="173"/>
        <item x="174"/>
        <item x="183"/>
        <item x="181"/>
        <item x="175"/>
        <item x="168"/>
        <item x="179"/>
        <item x="195"/>
        <item x="178"/>
        <item x="182"/>
        <item x="188"/>
        <item x="192"/>
        <item x="184"/>
        <item x="190"/>
        <item x="209"/>
        <item x="197"/>
        <item x="185"/>
        <item x="189"/>
        <item x="191"/>
        <item x="213"/>
        <item x="218"/>
        <item x="203"/>
        <item x="194"/>
        <item x="193"/>
        <item x="217"/>
        <item x="196"/>
        <item x="227"/>
        <item x="204"/>
        <item x="205"/>
        <item x="206"/>
        <item x="198"/>
        <item x="202"/>
        <item x="200"/>
        <item x="199"/>
        <item x="215"/>
        <item x="207"/>
        <item x="221"/>
        <item x="211"/>
        <item x="208"/>
        <item x="214"/>
        <item x="166"/>
        <item x="216"/>
        <item x="220"/>
        <item x="210"/>
        <item x="222"/>
        <item x="243"/>
        <item x="219"/>
        <item x="232"/>
        <item x="223"/>
        <item x="225"/>
        <item x="233"/>
        <item x="228"/>
        <item x="229"/>
        <item x="230"/>
        <item x="236"/>
        <item x="231"/>
        <item x="224"/>
        <item x="234"/>
        <item x="254"/>
        <item x="212"/>
        <item x="177"/>
        <item x="226"/>
        <item x="235"/>
        <item x="242"/>
        <item x="239"/>
        <item x="253"/>
        <item x="249"/>
        <item x="241"/>
        <item x="238"/>
        <item x="248"/>
        <item x="258"/>
        <item x="162"/>
        <item x="244"/>
        <item x="268"/>
        <item x="240"/>
        <item x="245"/>
        <item x="247"/>
        <item x="250"/>
        <item x="246"/>
        <item x="251"/>
        <item x="46"/>
        <item x="257"/>
        <item x="255"/>
        <item x="256"/>
        <item x="259"/>
        <item x="260"/>
        <item x="85"/>
        <item x="261"/>
        <item x="201"/>
        <item x="269"/>
        <item x="264"/>
        <item x="267"/>
        <item x="280"/>
        <item x="266"/>
        <item x="265"/>
        <item x="270"/>
        <item x="262"/>
        <item x="272"/>
        <item x="263"/>
        <item x="275"/>
        <item x="271"/>
        <item x="281"/>
        <item x="273"/>
        <item x="278"/>
        <item x="277"/>
        <item x="274"/>
        <item x="283"/>
        <item x="282"/>
        <item x="284"/>
        <item x="279"/>
        <item x="306"/>
        <item x="286"/>
        <item x="287"/>
        <item x="285"/>
        <item x="289"/>
        <item x="276"/>
        <item x="293"/>
        <item x="295"/>
        <item x="308"/>
        <item x="313"/>
        <item x="291"/>
        <item x="292"/>
        <item x="294"/>
        <item x="290"/>
        <item x="296"/>
        <item x="297"/>
        <item x="288"/>
        <item x="300"/>
        <item x="302"/>
        <item x="301"/>
        <item x="303"/>
        <item x="305"/>
        <item x="315"/>
        <item x="299"/>
        <item x="309"/>
        <item x="31"/>
        <item x="307"/>
        <item x="304"/>
        <item x="298"/>
        <item x="310"/>
        <item x="312"/>
        <item x="311"/>
        <item x="314"/>
        <item x="318"/>
        <item x="28"/>
        <item x="316"/>
        <item x="317"/>
      </items>
    </pivotField>
    <pivotField name="USD Last Update" axis="axisRow" compact="0" numFmtId="164" outline="0" multipleItemSelectionAllowed="1" showAll="0" sortType="ascending" defaultSubtotal="0">
      <items>
        <item x="426"/>
        <item x="0"/>
        <item x="225"/>
        <item x="419"/>
        <item x="556"/>
        <item x="554"/>
        <item x="404"/>
        <item x="463"/>
        <item x="462"/>
        <item x="507"/>
        <item x="620"/>
        <item x="637"/>
        <item x="410"/>
        <item x="433"/>
        <item x="562"/>
        <item x="622"/>
        <item x="588"/>
        <item x="535"/>
        <item x="498"/>
        <item x="536"/>
        <item x="451"/>
        <item x="438"/>
        <item x="423"/>
        <item x="413"/>
        <item x="229"/>
        <item x="408"/>
        <item x="670"/>
        <item x="606"/>
        <item x="239"/>
        <item x="125"/>
        <item x="123"/>
        <item x="577"/>
        <item x="541"/>
        <item x="119"/>
        <item x="53"/>
        <item x="338"/>
        <item x="548"/>
        <item x="595"/>
        <item x="526"/>
        <item x="484"/>
        <item x="452"/>
        <item x="453"/>
        <item x="468"/>
        <item x="478"/>
        <item x="444"/>
        <item x="39"/>
        <item x="437"/>
        <item x="547"/>
        <item x="64"/>
        <item x="665"/>
        <item x="251"/>
        <item x="506"/>
        <item x="585"/>
        <item x="129"/>
        <item x="297"/>
        <item x="77"/>
        <item x="316"/>
        <item x="63"/>
        <item x="103"/>
        <item x="247"/>
        <item x="652"/>
        <item x="127"/>
        <item x="341"/>
        <item x="609"/>
        <item x="35"/>
        <item x="516"/>
        <item x="512"/>
        <item x="624"/>
        <item x="362"/>
        <item x="374"/>
        <item x="612"/>
        <item x="161"/>
        <item x="208"/>
        <item x="28"/>
        <item x="490"/>
        <item x="246"/>
        <item x="449"/>
        <item x="402"/>
        <item x="79"/>
        <item x="415"/>
        <item x="311"/>
        <item x="150"/>
        <item x="143"/>
        <item x="80"/>
        <item x="483"/>
        <item x="346"/>
        <item x="319"/>
        <item x="104"/>
        <item x="407"/>
        <item x="559"/>
        <item x="236"/>
        <item x="460"/>
        <item x="505"/>
        <item x="40"/>
        <item x="37"/>
        <item x="195"/>
        <item x="320"/>
        <item x="41"/>
        <item x="89"/>
        <item x="372"/>
        <item x="375"/>
        <item x="363"/>
        <item x="332"/>
        <item x="330"/>
        <item x="82"/>
        <item x="200"/>
        <item x="176"/>
        <item x="525"/>
        <item x="315"/>
        <item x="393"/>
        <item x="166"/>
        <item x="18"/>
        <item x="647"/>
        <item x="81"/>
        <item x="287"/>
        <item x="19"/>
        <item x="631"/>
        <item x="193"/>
        <item x="180"/>
        <item x="642"/>
        <item x="151"/>
        <item x="272"/>
        <item x="241"/>
        <item x="583"/>
        <item x="455"/>
        <item x="216"/>
        <item x="270"/>
        <item x="209"/>
        <item x="557"/>
        <item x="149"/>
        <item x="281"/>
        <item x="109"/>
        <item x="137"/>
        <item x="343"/>
        <item x="147"/>
        <item x="513"/>
        <item x="555"/>
        <item x="98"/>
        <item x="148"/>
        <item x="269"/>
        <item x="309"/>
        <item x="552"/>
        <item x="46"/>
        <item x="331"/>
        <item x="575"/>
        <item x="544"/>
        <item x="204"/>
        <item x="312"/>
        <item x="27"/>
        <item x="56"/>
        <item x="36"/>
        <item x="201"/>
        <item x="50"/>
        <item x="248"/>
        <item x="369"/>
        <item x="441"/>
        <item x="169"/>
        <item x="476"/>
        <item x="245"/>
        <item x="519"/>
        <item x="520"/>
        <item x="599"/>
        <item x="517"/>
        <item x="616"/>
        <item x="671"/>
        <item x="477"/>
        <item x="333"/>
        <item x="367"/>
        <item x="358"/>
        <item x="257"/>
        <item x="499"/>
        <item x="328"/>
        <item x="380"/>
        <item x="277"/>
        <item x="368"/>
        <item x="543"/>
        <item x="397"/>
        <item x="597"/>
        <item x="382"/>
        <item x="398"/>
        <item x="390"/>
        <item x="598"/>
        <item x="481"/>
        <item x="175"/>
        <item x="492"/>
        <item x="139"/>
        <item x="489"/>
        <item x="174"/>
        <item x="464"/>
        <item x="436"/>
        <item x="466"/>
        <item x="163"/>
        <item x="214"/>
        <item x="650"/>
        <item x="465"/>
        <item x="373"/>
        <item x="167"/>
        <item x="73"/>
        <item x="296"/>
        <item x="318"/>
        <item x="215"/>
        <item x="206"/>
        <item x="417"/>
        <item x="334"/>
        <item x="359"/>
        <item x="273"/>
        <item x="644"/>
        <item x="403"/>
        <item x="288"/>
        <item x="212"/>
        <item x="619"/>
        <item x="189"/>
        <item x="603"/>
        <item x="85"/>
        <item x="523"/>
        <item x="13"/>
        <item x="604"/>
        <item x="314"/>
        <item x="146"/>
        <item x="171"/>
        <item x="475"/>
        <item x="124"/>
        <item x="48"/>
        <item x="301"/>
        <item x="122"/>
        <item x="222"/>
        <item x="135"/>
        <item x="38"/>
        <item x="144"/>
        <item x="283"/>
        <item x="615"/>
        <item x="571"/>
        <item x="6"/>
        <item x="325"/>
        <item x="213"/>
        <item x="29"/>
        <item x="188"/>
        <item x="210"/>
        <item x="113"/>
        <item x="33"/>
        <item x="611"/>
        <item x="570"/>
        <item x="108"/>
        <item x="121"/>
        <item x="627"/>
        <item x="636"/>
        <item x="170"/>
        <item x="302"/>
        <item x="228"/>
        <item x="205"/>
        <item x="211"/>
        <item x="65"/>
        <item x="220"/>
        <item x="605"/>
        <item x="196"/>
        <item x="181"/>
        <item x="58"/>
        <item x="421"/>
        <item x="508"/>
        <item x="621"/>
        <item x="1"/>
        <item x="198"/>
        <item x="199"/>
        <item x="118"/>
        <item x="482"/>
        <item x="313"/>
        <item x="263"/>
        <item x="179"/>
        <item x="634"/>
        <item x="226"/>
        <item x="461"/>
        <item x="656"/>
        <item x="34"/>
        <item x="501"/>
        <item x="258"/>
        <item x="640"/>
        <item x="203"/>
        <item x="75"/>
        <item x="12"/>
        <item x="651"/>
        <item x="186"/>
        <item x="142"/>
        <item x="480"/>
        <item x="100"/>
        <item x="613"/>
        <item x="649"/>
        <item x="224"/>
        <item x="596"/>
        <item x="155"/>
        <item x="134"/>
        <item x="227"/>
        <item x="643"/>
        <item x="672"/>
        <item x="128"/>
        <item x="486"/>
        <item x="623"/>
        <item x="376"/>
        <item x="614"/>
        <item x="400"/>
        <item x="574"/>
        <item x="110"/>
        <item x="259"/>
        <item x="190"/>
        <item x="49"/>
        <item x="335"/>
        <item x="140"/>
        <item x="504"/>
        <item x="240"/>
        <item x="564"/>
        <item x="250"/>
        <item x="116"/>
        <item x="47"/>
        <item x="503"/>
        <item x="54"/>
        <item x="354"/>
        <item x="307"/>
        <item x="626"/>
        <item x="57"/>
        <item x="22"/>
        <item x="219"/>
        <item x="66"/>
        <item x="518"/>
        <item x="223"/>
        <item x="67"/>
        <item x="221"/>
        <item x="370"/>
        <item x="218"/>
        <item x="83"/>
        <item x="524"/>
        <item x="329"/>
        <item x="255"/>
        <item x="434"/>
        <item x="487"/>
        <item x="322"/>
        <item x="234"/>
        <item x="261"/>
        <item x="567"/>
        <item x="553"/>
        <item x="379"/>
        <item x="304"/>
        <item x="51"/>
        <item x="568"/>
        <item x="290"/>
        <item x="133"/>
        <item x="68"/>
        <item x="279"/>
        <item x="586"/>
        <item x="638"/>
        <item x="25"/>
        <item x="435"/>
        <item x="459"/>
        <item x="266"/>
        <item x="92"/>
        <item x="405"/>
        <item x="168"/>
        <item x="111"/>
        <item x="450"/>
        <item x="88"/>
        <item x="618"/>
        <item x="336"/>
        <item x="411"/>
        <item x="349"/>
        <item x="645"/>
        <item x="321"/>
        <item x="584"/>
        <item x="667"/>
        <item x="173"/>
        <item x="187"/>
        <item x="252"/>
        <item x="276"/>
        <item x="458"/>
        <item x="2"/>
        <item x="563"/>
        <item x="238"/>
        <item x="406"/>
        <item x="342"/>
        <item x="589"/>
        <item x="24"/>
        <item x="442"/>
        <item x="660"/>
        <item x="164"/>
        <item x="550"/>
        <item x="673"/>
        <item x="84"/>
        <item x="191"/>
        <item x="479"/>
        <item x="510"/>
        <item x="289"/>
        <item x="646"/>
        <item x="256"/>
        <item x="511"/>
        <item x="86"/>
        <item x="655"/>
        <item x="162"/>
        <item x="197"/>
        <item x="485"/>
        <item x="396"/>
        <item x="202"/>
        <item x="537"/>
        <item x="107"/>
        <item x="115"/>
        <item x="194"/>
        <item x="337"/>
        <item x="152"/>
        <item x="293"/>
        <item x="364"/>
        <item x="172"/>
        <item x="540"/>
        <item x="418"/>
        <item x="158"/>
        <item x="578"/>
        <item x="154"/>
        <item x="9"/>
        <item x="43"/>
        <item x="474"/>
        <item x="17"/>
        <item x="120"/>
        <item x="267"/>
        <item x="52"/>
        <item x="630"/>
        <item x="515"/>
        <item x="306"/>
        <item x="473"/>
        <item x="60"/>
        <item x="639"/>
        <item x="268"/>
        <item x="657"/>
        <item x="131"/>
        <item x="184"/>
        <item x="90"/>
        <item x="641"/>
        <item x="275"/>
        <item x="130"/>
        <item x="78"/>
        <item x="62"/>
        <item x="87"/>
        <item x="141"/>
        <item x="217"/>
        <item x="669"/>
        <item x="495"/>
        <item x="587"/>
        <item x="102"/>
        <item x="300"/>
        <item x="280"/>
        <item x="31"/>
        <item x="112"/>
        <item x="600"/>
        <item x="70"/>
        <item x="254"/>
        <item x="32"/>
        <item x="674"/>
        <item x="381"/>
        <item x="74"/>
        <item x="284"/>
        <item x="348"/>
        <item x="558"/>
        <item x="231"/>
        <item x="521"/>
        <item x="8"/>
        <item x="159"/>
        <item x="136"/>
        <item x="292"/>
        <item x="538"/>
        <item x="20"/>
        <item x="282"/>
        <item x="488"/>
        <item x="663"/>
        <item x="360"/>
        <item x="532"/>
        <item x="14"/>
        <item x="97"/>
        <item x="160"/>
        <item x="233"/>
        <item x="502"/>
        <item x="265"/>
        <item x="99"/>
        <item x="491"/>
        <item x="676"/>
        <item x="105"/>
        <item x="249"/>
        <item x="7"/>
        <item x="500"/>
        <item x="580"/>
        <item x="534"/>
        <item x="232"/>
        <item x="659"/>
        <item x="582"/>
        <item x="95"/>
        <item x="72"/>
        <item x="579"/>
        <item x="347"/>
        <item x="422"/>
        <item x="365"/>
        <item x="317"/>
        <item x="576"/>
        <item x="10"/>
        <item x="366"/>
        <item x="439"/>
        <item x="59"/>
        <item x="165"/>
        <item x="96"/>
        <item x="344"/>
        <item x="126"/>
        <item x="648"/>
        <item x="432"/>
        <item x="310"/>
        <item x="253"/>
        <item x="55"/>
        <item x="424"/>
        <item x="401"/>
        <item x="414"/>
        <item x="356"/>
        <item x="632"/>
        <item x="427"/>
        <item x="101"/>
        <item x="469"/>
        <item x="593"/>
        <item x="177"/>
        <item x="467"/>
        <item x="384"/>
        <item x="551"/>
        <item x="3"/>
        <item x="529"/>
        <item x="530"/>
        <item x="378"/>
        <item x="350"/>
        <item x="590"/>
        <item x="454"/>
        <item x="388"/>
        <item x="291"/>
        <item x="416"/>
        <item x="446"/>
        <item x="625"/>
        <item x="633"/>
        <item x="76"/>
        <item x="237"/>
        <item x="278"/>
        <item x="327"/>
        <item x="11"/>
        <item x="572"/>
        <item x="69"/>
        <item x="610"/>
        <item x="26"/>
        <item x="323"/>
        <item x="30"/>
        <item x="138"/>
        <item x="299"/>
        <item x="457"/>
        <item x="326"/>
        <item x="4"/>
        <item x="361"/>
        <item x="565"/>
        <item x="387"/>
        <item x="71"/>
        <item x="16"/>
        <item x="471"/>
        <item x="668"/>
        <item x="230"/>
        <item x="274"/>
        <item x="324"/>
        <item x="497"/>
        <item x="629"/>
        <item x="295"/>
        <item x="386"/>
        <item x="45"/>
        <item x="305"/>
        <item x="389"/>
        <item x="185"/>
        <item x="44"/>
        <item x="23"/>
        <item x="514"/>
        <item x="355"/>
        <item x="394"/>
        <item x="573"/>
        <item x="91"/>
        <item x="591"/>
        <item x="192"/>
        <item x="428"/>
        <item x="531"/>
        <item x="243"/>
        <item x="42"/>
        <item x="383"/>
        <item x="242"/>
        <item x="527"/>
        <item x="244"/>
        <item x="635"/>
        <item x="539"/>
        <item x="392"/>
        <item x="429"/>
        <item x="440"/>
        <item x="658"/>
        <item x="262"/>
        <item x="560"/>
        <item x="509"/>
        <item x="5"/>
        <item x="303"/>
        <item x="385"/>
        <item x="443"/>
        <item x="345"/>
        <item x="182"/>
        <item x="298"/>
        <item x="496"/>
        <item x="178"/>
        <item x="117"/>
        <item x="339"/>
        <item x="21"/>
        <item x="94"/>
        <item x="353"/>
        <item x="357"/>
        <item x="271"/>
        <item x="662"/>
        <item x="654"/>
        <item x="235"/>
        <item x="522"/>
        <item x="666"/>
        <item x="420"/>
        <item x="677"/>
        <item x="114"/>
        <item x="153"/>
        <item x="412"/>
        <item x="15"/>
        <item x="566"/>
        <item x="106"/>
        <item x="569"/>
        <item x="264"/>
        <item x="664"/>
        <item x="391"/>
        <item x="470"/>
        <item x="561"/>
        <item x="132"/>
        <item x="594"/>
        <item x="448"/>
        <item x="581"/>
        <item x="545"/>
        <item x="425"/>
        <item x="286"/>
        <item x="546"/>
        <item x="447"/>
        <item x="351"/>
        <item x="377"/>
        <item x="294"/>
        <item x="371"/>
        <item x="472"/>
        <item x="145"/>
        <item x="409"/>
        <item x="285"/>
        <item x="395"/>
        <item x="608"/>
        <item x="607"/>
        <item x="542"/>
        <item x="156"/>
        <item x="675"/>
        <item x="399"/>
        <item x="533"/>
        <item x="456"/>
        <item x="340"/>
        <item x="661"/>
        <item x="207"/>
        <item x="183"/>
        <item x="592"/>
        <item x="352"/>
        <item x="493"/>
        <item x="494"/>
        <item x="445"/>
        <item x="601"/>
        <item x="528"/>
        <item x="602"/>
        <item x="549"/>
        <item x="260"/>
        <item x="653"/>
        <item x="431"/>
        <item x="430"/>
        <item x="61"/>
        <item x="308"/>
        <item x="628"/>
        <item x="157"/>
        <item x="93"/>
        <item x="617"/>
      </items>
    </pivotField>
    <pivotField name="Category" axis="axisRow" compact="0" outline="0" multipleItemSelectionAllowed="1" showAll="0" sortType="ascending" defaultSubtotal="0">
      <items>
        <item x="6"/>
        <item x="0"/>
        <item x="2"/>
        <item x="7"/>
        <item x="3"/>
        <item x="1"/>
        <item x="5"/>
        <item x="4"/>
      </items>
    </pivotField>
    <pivotField name="Subcategory" axis="axisRow" compact="0" outline="0" multipleItemSelectionAllowed="1" showAll="0" sortType="ascending" defaultSubtotal="0">
      <items>
        <item x="27"/>
        <item x="0"/>
        <item x="24"/>
        <item x="26"/>
        <item x="33"/>
        <item x="41"/>
        <item x="36"/>
        <item x="21"/>
        <item x="16"/>
        <item x="8"/>
        <item x="38"/>
        <item x="12"/>
        <item x="39"/>
        <item x="25"/>
        <item x="28"/>
        <item x="30"/>
        <item x="9"/>
        <item x="20"/>
        <item x="6"/>
        <item x="22"/>
        <item x="35"/>
        <item x="14"/>
        <item x="32"/>
        <item x="37"/>
        <item x="1"/>
        <item x="3"/>
        <item x="4"/>
        <item x="15"/>
        <item x="31"/>
        <item x="2"/>
        <item x="18"/>
        <item x="23"/>
        <item x="11"/>
        <item x="17"/>
        <item x="40"/>
        <item x="10"/>
        <item x="13"/>
        <item x="19"/>
        <item x="34"/>
        <item x="29"/>
        <item x="7"/>
        <item x="5"/>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compact="0" outline="0" multipleItemSelectionAllowed="1" showAll="0">
      <items>
        <item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 name="half-years" compact="0" outline="0" multipleItemSelectionAllowed="1" showAll="0">
      <items>
        <item x="0"/>
        <item x="1"/>
        <item x="2"/>
        <item x="3"/>
        <item t="default"/>
      </items>
    </pivotField>
  </pivotFields>
  <rowFields>
    <field x="0"/>
    <field x="9"/>
    <field x="3"/>
    <field x="10"/>
    <field x="11"/>
    <field x="12"/>
    <field x="1"/>
  </rowFields>
  <pageFields>
    <pageField fld="2"/>
    <pageField fld="13"/>
  </pageFields>
  <filters>
    <filter fld="3" type="captionGreaterThan" evalOrder="-1" id="2" stringValue1="0">
      <autoFilter ref="A1">
        <filterColumn colId="0">
          <customFilters>
            <customFilter operator="greaterThan" val="0"/>
          </customFilters>
        </filterColumn>
      </autoFilter>
    </filter>
  </filters>
</pivotTableDefinition>
</file>

<file path=xl/pivotTables/pivotTable6.xml><?xml version="1.0" encoding="utf-8"?>
<pivotTableDefinition xmlns="http://schemas.openxmlformats.org/spreadsheetml/2006/main" name="Aggregated 2" cacheId="3" dataCaption="" rowGrandTotals="0" compact="0" compactData="0">
  <location ref="A929:H2239" firstHeaderRow="0" firstDataRow="7" firstDataCol="0" rowPageCount="1" colPageCount="1"/>
  <pivotFields>
    <pivotField name="#" axis="axisRow" compact="0" outline="0" multipleItemSelectionAllowed="1" showAll="0" sortType="ascending" defaultSubtotal="0">
      <items>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name="parentBountyID" compact="0" outline="0" multipleItemSelectionAllowed="1" showAll="0">
      <items>
        <item x="0"/>
        <item x="1"/>
        <item x="2"/>
        <item x="3"/>
        <item x="4"/>
        <item x="5"/>
        <item x="6"/>
        <item x="7"/>
        <item x="8"/>
        <item x="9"/>
        <item x="10"/>
        <item x="11"/>
        <item x="12"/>
        <item x="13"/>
        <item x="14"/>
        <item x="15"/>
        <item x="16"/>
        <item x="17"/>
        <item t="default"/>
      </items>
    </pivotField>
    <pivotField name="status" axis="axisPage" compact="0" outline="0" multipleItemSelectionAllowed="1" showAll="0">
      <items>
        <item x="0"/>
        <item h="1" x="1"/>
        <item h="1" x="2"/>
        <item h="1" x="3"/>
        <item h="1" x="4"/>
        <item t="default"/>
      </items>
    </pivotField>
    <pivotField name="description" axis="axisRow" compact="0" outline="0" multipleItemSelectionAllowed="1" showAll="0" sortType="ascending">
      <items>
        <item x="937"/>
        <item x="545"/>
        <item x="579"/>
        <item x="566"/>
        <item x="671"/>
        <item x="442"/>
        <item x="431"/>
        <item x="465"/>
        <item x="692"/>
        <item x="699"/>
        <item x="940"/>
        <item x="380"/>
        <item x="371"/>
        <item x="279"/>
        <item x="75"/>
        <item x="281"/>
        <item x="66"/>
        <item x="280"/>
        <item x="74"/>
        <item x="275"/>
        <item x="64"/>
        <item x="468"/>
        <item x="570"/>
        <item x="1196"/>
        <item x="1192"/>
        <item x="1194"/>
        <item x="1174"/>
        <item x="436"/>
        <item x="554"/>
        <item x="481"/>
        <item x="485"/>
        <item x="494"/>
        <item x="490"/>
        <item x="482"/>
        <item x="499"/>
        <item x="480"/>
        <item x="496"/>
        <item x="492"/>
        <item x="497"/>
        <item x="491"/>
        <item x="495"/>
        <item x="483"/>
        <item x="486"/>
        <item x="493"/>
        <item x="487"/>
        <item x="498"/>
        <item x="484"/>
        <item x="489"/>
        <item x="488"/>
        <item x="648"/>
        <item x="646"/>
        <item x="644"/>
        <item x="647"/>
        <item x="645"/>
        <item x="523"/>
        <item x="359"/>
        <item x="1227"/>
        <item x="1170"/>
        <item x="526"/>
        <item x="765"/>
        <item x="764"/>
        <item x="1108"/>
        <item x="1136"/>
        <item x="1143"/>
        <item x="763"/>
        <item x="732"/>
        <item x="728"/>
        <item x="852"/>
        <item x="1212"/>
        <item x="1155"/>
        <item x="791"/>
        <item x="314"/>
        <item x="320"/>
        <item x="111"/>
        <item x="200"/>
        <item x="785"/>
        <item x="784"/>
        <item x="829"/>
        <item x="618"/>
        <item x="617"/>
        <item x="472"/>
        <item x="723"/>
        <item x="11"/>
        <item x="10"/>
        <item x="9"/>
        <item x="84"/>
        <item x="110"/>
        <item x="143"/>
        <item x="141"/>
        <item x="142"/>
        <item x="140"/>
        <item x="335"/>
        <item x="336"/>
        <item x="1288"/>
        <item x="104"/>
        <item x="103"/>
        <item x="101"/>
        <item x="105"/>
        <item x="102"/>
        <item x="367"/>
        <item x="182"/>
        <item x="757"/>
        <item x="395"/>
        <item x="718"/>
        <item x="641"/>
        <item x="1156"/>
        <item x="809"/>
        <item x="652"/>
        <item x="548"/>
        <item x="433"/>
        <item x="674"/>
        <item x="248"/>
        <item x="524"/>
        <item x="1175"/>
        <item x="758"/>
        <item x="530"/>
        <item x="360"/>
        <item x="1000"/>
        <item x="807"/>
        <item x="1169"/>
        <item x="379"/>
        <item x="227"/>
        <item x="1215"/>
        <item x="660"/>
        <item x="659"/>
        <item x="1207"/>
        <item x="1208"/>
        <item x="17"/>
        <item x="305"/>
        <item x="181"/>
        <item x="97"/>
        <item x="361"/>
        <item x="654"/>
        <item x="45"/>
        <item x="292"/>
        <item x="370"/>
        <item x="16"/>
        <item x="234"/>
        <item x="533"/>
        <item x="394"/>
        <item x="478"/>
        <item x="520"/>
        <item x="1331"/>
        <item x="1329"/>
        <item x="1330"/>
        <item x="1328"/>
        <item x="1336"/>
        <item x="1334"/>
        <item x="1335"/>
        <item x="1332"/>
        <item x="1333"/>
        <item x="1326"/>
        <item x="1325"/>
        <item x="1324"/>
        <item x="1327"/>
        <item x="538"/>
        <item x="445"/>
        <item x="569"/>
        <item x="702"/>
        <item x="72"/>
        <item x="259"/>
        <item x="273"/>
        <item x="114"/>
        <item x="729"/>
        <item x="83"/>
        <item x="429"/>
        <item x="543"/>
        <item x="669"/>
        <item x="55"/>
        <item x="257"/>
        <item x="358"/>
        <item x="357"/>
        <item x="241"/>
        <item x="24"/>
        <item x="289"/>
        <item x="319"/>
        <item x="218"/>
        <item x="220"/>
        <item x="219"/>
        <item x="148"/>
        <item x="415"/>
        <item x="942"/>
        <item x="387"/>
        <item x="372"/>
        <item x="193"/>
        <item x="636"/>
        <item x="909"/>
        <item x="640"/>
        <item x="522"/>
        <item x="354"/>
        <item x="820"/>
        <item x="199"/>
        <item x="198"/>
        <item x="197"/>
        <item x="513"/>
        <item x="196"/>
        <item x="201"/>
        <item x="203"/>
        <item x="202"/>
        <item x="1"/>
        <item x="137"/>
        <item x="135"/>
        <item x="136"/>
        <item x="400"/>
        <item x="131"/>
        <item x="1053"/>
        <item x="1063"/>
        <item x="1051"/>
        <item x="1070"/>
        <item x="1056"/>
        <item x="1058"/>
        <item x="1066"/>
        <item x="1049"/>
        <item x="1069"/>
        <item x="1071"/>
        <item x="1057"/>
        <item x="1060"/>
        <item x="1061"/>
        <item x="1067"/>
        <item x="1050"/>
        <item x="1062"/>
        <item x="1068"/>
        <item x="1059"/>
        <item x="1065"/>
        <item x="1064"/>
        <item x="1052"/>
        <item x="1054"/>
        <item x="1055"/>
        <item x="501"/>
        <item x="1045"/>
        <item x="1038"/>
        <item x="1037"/>
        <item x="1047"/>
        <item x="1048"/>
        <item x="1039"/>
        <item x="1035"/>
        <item x="1046"/>
        <item x="1036"/>
        <item x="1043"/>
        <item x="1040"/>
        <item x="1104"/>
        <item x="1105"/>
        <item x="1106"/>
        <item x="1042"/>
        <item x="1041"/>
        <item x="601"/>
        <item x="600"/>
        <item x="602"/>
        <item x="365"/>
        <item x="935"/>
        <item x="643"/>
        <item x="1276"/>
        <item x="284"/>
        <item x="456"/>
        <item x="582"/>
        <item x="69"/>
        <item x="683"/>
        <item x="99"/>
        <item x="378"/>
        <item x="81"/>
        <item x="226"/>
        <item x="147"/>
        <item x="113"/>
        <item x="875"/>
        <item x="409"/>
        <item x="146"/>
        <item x="605"/>
        <item x="828"/>
        <item x="177"/>
        <item x="938"/>
        <item x="944"/>
        <item x="637"/>
        <item x="1181"/>
        <item x="967"/>
        <item x="815"/>
        <item x="968"/>
        <item x="816"/>
        <item x="521"/>
        <item x="391"/>
        <item x="381"/>
        <item x="231"/>
        <item x="194"/>
        <item x="532"/>
        <item x="588"/>
        <item x="658"/>
        <item x="768"/>
        <item x="243"/>
        <item x="426"/>
        <item x="552"/>
        <item x="678"/>
        <item x="117"/>
        <item x="0"/>
        <item x="908"/>
        <item x="408"/>
        <item x="92"/>
        <item x="724"/>
        <item x="170"/>
        <item x="663"/>
        <item x="85"/>
        <item x="339"/>
        <item x="338"/>
        <item x="998"/>
        <item x="1084"/>
        <item x="924"/>
        <item x="783"/>
        <item x="331"/>
        <item x="145"/>
        <item x="333"/>
        <item x="332"/>
        <item x="930"/>
        <item x="835"/>
        <item x="836"/>
        <item x="1090"/>
        <item x="1089"/>
        <item x="986"/>
        <item x="925"/>
        <item x="985"/>
        <item x="604"/>
        <item x="964"/>
        <item x="963"/>
        <item x="788"/>
        <item x="789"/>
        <item x="614"/>
        <item x="961"/>
        <item x="959"/>
        <item x="960"/>
        <item x="153"/>
        <item x="873"/>
        <item x="872"/>
        <item x="610"/>
        <item x="471"/>
        <item x="1094"/>
        <item x="1121"/>
        <item x="1115"/>
        <item x="838"/>
        <item x="1024"/>
        <item x="1025"/>
        <item x="1023"/>
        <item x="867"/>
        <item x="868"/>
        <item x="721"/>
        <item x="412"/>
        <item x="133"/>
        <item x="864"/>
        <item x="922"/>
        <item x="1018"/>
        <item x="1017"/>
        <item x="1129"/>
        <item x="990"/>
        <item x="1092"/>
        <item x="933"/>
        <item x="989"/>
        <item x="1128"/>
        <item x="1127"/>
        <item x="1022"/>
        <item x="1086"/>
        <item x="932"/>
        <item x="1126"/>
        <item x="1021"/>
        <item x="1085"/>
        <item x="962"/>
        <item x="330"/>
        <item x="876"/>
        <item x="787"/>
        <item x="613"/>
        <item x="323"/>
        <item x="738"/>
        <item x="407"/>
        <item x="144"/>
        <item x="958"/>
        <item x="609"/>
        <item x="780"/>
        <item x="470"/>
        <item x="152"/>
        <item x="830"/>
        <item x="871"/>
        <item x="834"/>
        <item x="772"/>
        <item x="603"/>
        <item x="957"/>
        <item x="132"/>
        <item x="826"/>
        <item x="863"/>
        <item x="921"/>
        <item x="318"/>
        <item x="720"/>
        <item x="786"/>
        <item x="328"/>
        <item x="837"/>
        <item x="138"/>
        <item x="473"/>
        <item x="923"/>
        <item x="1130"/>
        <item x="1093"/>
        <item x="988"/>
        <item x="931"/>
        <item x="1131"/>
        <item x="616"/>
        <item x="1020"/>
        <item x="1083"/>
        <item x="404"/>
        <item x="929"/>
        <item x="987"/>
        <item x="953"/>
        <item x="1091"/>
        <item x="1122"/>
        <item x="972"/>
        <item x="974"/>
        <item x="973"/>
        <item x="734"/>
        <item x="866"/>
        <item x="217"/>
        <item x="851"/>
        <item x="911"/>
        <item x="1135"/>
        <item x="86"/>
        <item x="211"/>
        <item x="437"/>
        <item x="252"/>
        <item x="60"/>
        <item x="965"/>
        <item x="1139"/>
        <item x="1304"/>
        <item x="769"/>
        <item x="90"/>
        <item x="89"/>
        <item x="268"/>
        <item x="242"/>
        <item x="620"/>
        <item x="1256"/>
        <item x="1110"/>
        <item x="657"/>
        <item x="116"/>
        <item x="839"/>
        <item x="12"/>
        <item x="534"/>
        <item x="168"/>
        <item x="112"/>
        <item x="1308"/>
        <item x="1307"/>
        <item x="1306"/>
        <item x="1305"/>
        <item x="811"/>
        <item x="109"/>
        <item x="214"/>
        <item x="621"/>
        <item x="1182"/>
        <item x="1107"/>
        <item x="612"/>
        <item x="376"/>
        <item x="77"/>
        <item x="224"/>
        <item x="283"/>
        <item x="263"/>
        <item x="240"/>
        <item x="432"/>
        <item x="449"/>
        <item x="467"/>
        <item x="561"/>
        <item x="547"/>
        <item x="581"/>
        <item x="673"/>
        <item x="68"/>
        <item x="57"/>
        <item x="25"/>
        <item x="706"/>
        <item x="682"/>
        <item x="119"/>
        <item x="519"/>
        <item x="392"/>
        <item x="233"/>
        <item x="709"/>
        <item x="587"/>
        <item x="536"/>
        <item x="731"/>
        <item x="941"/>
        <item x="832"/>
        <item x="831"/>
        <item x="833"/>
        <item x="928"/>
        <item x="927"/>
        <item x="926"/>
        <item x="608"/>
        <item x="151"/>
        <item x="150"/>
        <item x="149"/>
        <item x="607"/>
        <item x="606"/>
        <item x="955"/>
        <item x="954"/>
        <item x="956"/>
        <item x="317"/>
        <item x="316"/>
        <item x="315"/>
        <item x="856"/>
        <item x="857"/>
        <item x="855"/>
        <item x="619"/>
        <item x="232"/>
        <item x="192"/>
        <item x="19"/>
        <item x="542"/>
        <item x="668"/>
        <item x="428"/>
        <item x="245"/>
        <item x="120"/>
        <item x="235"/>
        <item x="14"/>
        <item x="635"/>
        <item x="649"/>
        <item x="653"/>
        <item x="651"/>
        <item x="650"/>
        <item x="15"/>
        <item x="1172"/>
        <item x="1173"/>
        <item x="1171"/>
        <item x="229"/>
        <item x="364"/>
        <item x="18"/>
        <item x="87"/>
        <item x="340"/>
        <item x="503"/>
        <item x="1203"/>
        <item x="59"/>
        <item x="576"/>
        <item x="549"/>
        <item x="560"/>
        <item x="462"/>
        <item x="675"/>
        <item x="434"/>
        <item x="448"/>
        <item x="705"/>
        <item x="689"/>
        <item x="262"/>
        <item x="249"/>
        <item x="28"/>
        <item x="511"/>
        <item x="797"/>
        <item x="803"/>
        <item x="800"/>
        <item x="793"/>
        <item x="796"/>
        <item x="802"/>
        <item x="805"/>
        <item x="794"/>
        <item x="804"/>
        <item x="795"/>
        <item x="801"/>
        <item x="798"/>
        <item x="799"/>
        <item x="352"/>
        <item x="351"/>
        <item x="350"/>
        <item x="353"/>
        <item x="512"/>
        <item x="186"/>
        <item x="185"/>
        <item x="184"/>
        <item x="183"/>
        <item x="634"/>
        <item x="633"/>
        <item x="631"/>
        <item x="630"/>
        <item x="629"/>
        <item x="632"/>
        <item x="850"/>
        <item x="849"/>
        <item x="848"/>
        <item x="847"/>
        <item x="846"/>
        <item x="191"/>
        <item x="509"/>
        <item x="900"/>
        <item x="907"/>
        <item x="899"/>
        <item x="906"/>
        <item x="898"/>
        <item x="905"/>
        <item x="897"/>
        <item x="904"/>
        <item x="896"/>
        <item x="903"/>
        <item x="895"/>
        <item x="628"/>
        <item x="627"/>
        <item x="626"/>
        <item x="625"/>
        <item x="624"/>
        <item x="623"/>
        <item x="622"/>
        <item x="756"/>
        <item x="755"/>
        <item x="754"/>
        <item x="753"/>
        <item x="752"/>
        <item x="751"/>
        <item x="750"/>
        <item x="510"/>
        <item x="190"/>
        <item x="189"/>
        <item x="188"/>
        <item x="187"/>
        <item x="845"/>
        <item x="841"/>
        <item x="844"/>
        <item x="843"/>
        <item x="842"/>
        <item x="840"/>
        <item x="889"/>
        <item x="888"/>
        <item x="887"/>
        <item x="886"/>
        <item x="885"/>
        <item x="344"/>
        <item x="343"/>
        <item x="342"/>
        <item x="341"/>
        <item x="349"/>
        <item x="348"/>
        <item x="347"/>
        <item x="346"/>
        <item x="748"/>
        <item x="747"/>
        <item x="746"/>
        <item x="745"/>
        <item x="518"/>
        <item x="517"/>
        <item x="516"/>
        <item x="515"/>
        <item x="514"/>
        <item x="175"/>
        <item x="174"/>
        <item x="171"/>
        <item x="882"/>
        <item x="881"/>
        <item x="880"/>
        <item x="879"/>
        <item x="878"/>
        <item x="877"/>
        <item x="345"/>
        <item x="749"/>
        <item x="744"/>
        <item x="173"/>
        <item x="172"/>
        <item x="902"/>
        <item x="901"/>
        <item x="479"/>
        <item x="884"/>
        <item x="883"/>
        <item x="508"/>
        <item x="507"/>
        <item x="506"/>
        <item x="505"/>
        <item x="808"/>
        <item x="656"/>
        <item x="642"/>
        <item x="1103"/>
        <item x="812"/>
        <item x="390"/>
        <item x="334"/>
        <item x="638"/>
        <item x="592"/>
        <item x="782"/>
        <item x="865"/>
        <item x="377"/>
        <item x="225"/>
        <item x="1114"/>
        <item x="565"/>
        <item x="452"/>
        <item x="698"/>
        <item x="267"/>
        <item x="301"/>
        <item x="417"/>
        <item x="416"/>
        <item x="418"/>
        <item x="419"/>
        <item x="594"/>
        <item x="593"/>
        <item x="287"/>
        <item x="411"/>
        <item x="288"/>
        <item x="781"/>
        <item x="739"/>
        <item x="410"/>
        <item x="827"/>
        <item x="597"/>
        <item x="596"/>
        <item x="595"/>
        <item x="599"/>
        <item x="598"/>
        <item x="122"/>
        <item x="121"/>
        <item x="123"/>
        <item x="124"/>
        <item x="1033"/>
        <item x="537"/>
        <item x="265"/>
        <item x="276"/>
        <item x="247"/>
        <item x="563"/>
        <item x="546"/>
        <item x="584"/>
        <item x="424"/>
        <item x="450"/>
        <item x="458"/>
        <item x="672"/>
        <item x="26"/>
        <item x="71"/>
        <item x="58"/>
        <item x="708"/>
        <item x="685"/>
        <item x="1144"/>
        <item x="1202"/>
        <item x="1088"/>
        <item x="1245"/>
        <item x="1244"/>
        <item x="1031"/>
        <item x="303"/>
        <item x="730"/>
        <item x="874"/>
        <item x="719"/>
        <item x="169"/>
        <item x="893"/>
        <item x="806"/>
        <item x="388"/>
        <item x="890"/>
        <item x="854"/>
        <item x="770"/>
        <item x="913"/>
        <item x="286"/>
        <item x="389"/>
        <item x="869"/>
        <item x="912"/>
        <item x="892"/>
        <item x="586"/>
        <item x="891"/>
        <item x="853"/>
        <item x="212"/>
        <item x="999"/>
        <item x="527"/>
        <item x="1011"/>
        <item x="639"/>
        <item x="1006"/>
        <item x="792"/>
        <item x="477"/>
        <item x="476"/>
        <item x="475"/>
        <item x="742"/>
        <item x="406"/>
        <item x="971"/>
        <item x="966"/>
        <item x="1077"/>
        <item x="405"/>
        <item x="528"/>
        <item x="529"/>
        <item x="934"/>
        <item x="1138"/>
        <item x="766"/>
        <item x="302"/>
        <item x="814"/>
        <item x="1087"/>
        <item x="1074"/>
        <item x="910"/>
        <item x="1252"/>
        <item x="500"/>
        <item x="291"/>
        <item x="1044"/>
        <item x="1072"/>
        <item x="1073"/>
        <item x="2"/>
        <item x="1287"/>
        <item x="1211"/>
        <item x="1111"/>
        <item x="1034"/>
        <item x="1140"/>
        <item x="1210"/>
        <item x="1078"/>
        <item x="1243"/>
        <item x="502"/>
        <item x="156"/>
        <item x="13"/>
        <item x="1076"/>
        <item x="1258"/>
        <item x="1204"/>
        <item x="1253"/>
        <item x="1007"/>
        <item x="1249"/>
        <item x="1109"/>
        <item x="1242"/>
        <item x="1005"/>
        <item x="1008"/>
        <item x="1209"/>
        <item x="1009"/>
        <item x="1003"/>
        <item x="1113"/>
        <item x="1112"/>
        <item x="1277"/>
        <item x="1213"/>
        <item x="1214"/>
        <item x="1257"/>
        <item x="1251"/>
        <item x="1241"/>
        <item x="1262"/>
        <item x="1290"/>
        <item x="1226"/>
        <item x="363"/>
        <item x="762"/>
        <item x="362"/>
        <item x="817"/>
        <item x="1102"/>
        <item x="969"/>
        <item x="1141"/>
        <item x="1183"/>
        <item x="1101"/>
        <item x="1232"/>
        <item x="1137"/>
        <item x="1225"/>
        <item x="1206"/>
        <item x="1289"/>
        <item x="1142"/>
        <item x="767"/>
        <item x="100"/>
        <item x="78"/>
        <item x="427"/>
        <item x="444"/>
        <item x="464"/>
        <item x="553"/>
        <item x="568"/>
        <item x="578"/>
        <item x="667"/>
        <item x="701"/>
        <item x="691"/>
        <item x="244"/>
        <item x="23"/>
        <item x="258"/>
        <item x="54"/>
        <item x="3"/>
        <item x="1250"/>
        <item x="215"/>
        <item x="1180"/>
        <item x="662"/>
        <item x="1100"/>
        <item x="740"/>
        <item x="413"/>
        <item x="134"/>
        <item x="825"/>
        <item x="176"/>
        <item x="1001"/>
        <item x="298"/>
        <item x="299"/>
        <item x="297"/>
        <item x="300"/>
        <item x="296"/>
        <item x="294"/>
        <item x="293"/>
        <item x="295"/>
        <item x="382"/>
        <item x="386"/>
        <item x="385"/>
        <item x="383"/>
        <item x="384"/>
        <item x="98"/>
        <item x="373"/>
        <item x="80"/>
        <item x="221"/>
        <item x="115"/>
        <item x="108"/>
        <item x="790"/>
        <item x="615"/>
        <item x="414"/>
        <item x="824"/>
        <item x="722"/>
        <item x="393"/>
        <item x="661"/>
        <item x="1240"/>
        <item x="727"/>
        <item x="726"/>
        <item x="725"/>
        <item x="776"/>
        <item x="774"/>
        <item x="775"/>
        <item x="304"/>
        <item x="180"/>
        <item x="455"/>
        <item x="440"/>
        <item x="423"/>
        <item x="573"/>
        <item x="557"/>
        <item x="541"/>
        <item x="238"/>
        <item x="255"/>
        <item x="272"/>
        <item x="22"/>
        <item x="51"/>
        <item x="63"/>
        <item x="681"/>
        <item x="666"/>
        <item x="697"/>
        <item x="179"/>
        <item x="454"/>
        <item x="439"/>
        <item x="422"/>
        <item x="572"/>
        <item x="556"/>
        <item x="540"/>
        <item x="237"/>
        <item x="254"/>
        <item x="271"/>
        <item x="62"/>
        <item x="680"/>
        <item x="665"/>
        <item x="696"/>
        <item x="178"/>
        <item x="453"/>
        <item x="438"/>
        <item x="421"/>
        <item x="571"/>
        <item x="555"/>
        <item x="539"/>
        <item x="236"/>
        <item x="253"/>
        <item x="270"/>
        <item x="21"/>
        <item x="50"/>
        <item x="61"/>
        <item x="679"/>
        <item x="664"/>
        <item x="695"/>
        <item x="420"/>
        <item x="38"/>
        <item x="1198"/>
        <item x="1195"/>
        <item x="1193"/>
        <item x="1197"/>
        <item x="1191"/>
        <item x="375"/>
        <item x="223"/>
        <item x="366"/>
        <item x="79"/>
        <item x="1286"/>
        <item x="309"/>
        <item x="278"/>
        <item x="266"/>
        <item x="73"/>
        <item x="451"/>
        <item x="460"/>
        <item x="564"/>
        <item x="574"/>
        <item x="694"/>
        <item x="687"/>
        <item x="337"/>
        <item x="655"/>
        <item x="368"/>
        <item x="1032"/>
        <item x="125"/>
        <item x="130"/>
        <item x="469"/>
        <item x="403"/>
        <item x="402"/>
        <item x="401"/>
        <item x="313"/>
        <item x="312"/>
        <item x="311"/>
        <item x="95"/>
        <item x="94"/>
        <item x="96"/>
        <item x="818"/>
        <item x="4"/>
        <item x="36"/>
        <item x="35"/>
        <item x="33"/>
        <item x="32"/>
        <item x="31"/>
        <item x="30"/>
        <item x="34"/>
        <item x="6"/>
        <item x="91"/>
        <item x="230"/>
        <item x="8"/>
        <item x="7"/>
        <item x="44"/>
        <item x="43"/>
        <item x="42"/>
        <item x="40"/>
        <item x="39"/>
        <item x="41"/>
        <item x="167"/>
        <item x="20"/>
        <item x="205"/>
        <item x="204"/>
        <item x="209"/>
        <item x="208"/>
        <item x="207"/>
        <item x="206"/>
        <item x="5"/>
        <item x="210"/>
        <item x="88"/>
        <item x="435"/>
        <item x="550"/>
        <item x="676"/>
        <item x="250"/>
        <item x="430"/>
        <item x="457"/>
        <item x="441"/>
        <item x="544"/>
        <item x="583"/>
        <item x="562"/>
        <item x="670"/>
        <item x="707"/>
        <item x="684"/>
        <item x="264"/>
        <item x="246"/>
        <item x="285"/>
        <item x="70"/>
        <item x="374"/>
        <item x="222"/>
        <item x="274"/>
        <item x="269"/>
        <item x="443"/>
        <item x="461"/>
        <item x="575"/>
        <item x="567"/>
        <item x="65"/>
        <item x="53"/>
        <item x="27"/>
        <item x="688"/>
        <item x="700"/>
        <item x="239"/>
        <item x="118"/>
        <item x="459"/>
        <item x="585"/>
        <item x="686"/>
        <item x="256"/>
        <item x="277"/>
        <item x="322"/>
        <item x="321"/>
        <item x="943"/>
        <item x="936"/>
        <item x="810"/>
        <item x="1274"/>
        <item x="1246"/>
        <item x="939"/>
        <item x="1254"/>
        <item x="1010"/>
        <item x="1075"/>
        <item x="1275"/>
        <item x="126"/>
        <item x="771"/>
        <item x="129"/>
        <item x="127"/>
        <item x="128"/>
        <item x="308"/>
        <item x="307"/>
        <item x="306"/>
        <item x="1298"/>
        <item x="1299"/>
        <item x="1297"/>
        <item x="712"/>
        <item x="711"/>
        <item x="710"/>
        <item x="713"/>
        <item x="737"/>
        <item x="736"/>
        <item x="735"/>
        <item x="1312"/>
        <item x="1311"/>
        <item x="1310"/>
        <item x="1029"/>
        <item x="1030"/>
        <item x="1028"/>
        <item x="1321"/>
        <item x="1096"/>
        <item x="1097"/>
        <item x="1095"/>
        <item x="1238"/>
        <item x="1239"/>
        <item x="1237"/>
        <item x="823"/>
        <item x="822"/>
        <item x="821"/>
        <item x="860"/>
        <item x="862"/>
        <item x="861"/>
        <item x="1283"/>
        <item x="1284"/>
        <item x="1282"/>
        <item x="1133"/>
        <item x="1134"/>
        <item x="1132"/>
        <item x="1200"/>
        <item x="1201"/>
        <item x="1199"/>
        <item x="779"/>
        <item x="778"/>
        <item x="777"/>
        <item x="949"/>
        <item x="951"/>
        <item x="948"/>
        <item x="947"/>
        <item x="980"/>
        <item x="976"/>
        <item x="977"/>
        <item x="975"/>
        <item x="918"/>
        <item x="919"/>
        <item x="917"/>
        <item x="981"/>
        <item x="950"/>
        <item x="1161"/>
        <item x="1160"/>
        <item x="1162"/>
        <item x="1220"/>
        <item x="1218"/>
        <item x="1219"/>
        <item x="1266"/>
        <item x="1267"/>
        <item x="1265"/>
        <item x="1293"/>
        <item x="1292"/>
        <item x="1313"/>
        <item x="1316"/>
        <item x="1019"/>
        <item x="1026"/>
        <item x="1154"/>
        <item x="1157"/>
        <item x="1322"/>
        <item x="1323"/>
        <item x="1264"/>
        <item x="1268"/>
        <item x="1281"/>
        <item x="1163"/>
        <item x="1190"/>
        <item x="1229"/>
        <item x="1231"/>
        <item x="1236"/>
        <item x="1189"/>
        <item x="1185"/>
        <item x="1280"/>
        <item x="1184"/>
        <item x="1159"/>
        <item x="1125"/>
        <item x="1124"/>
        <item x="1123"/>
        <item x="1296"/>
        <item x="1295"/>
        <item x="1294"/>
        <item x="1223"/>
        <item x="1222"/>
        <item x="1221"/>
        <item x="1301"/>
        <item x="1302"/>
        <item x="1300"/>
        <item x="984"/>
        <item x="983"/>
        <item x="982"/>
        <item x="1315"/>
        <item x="1314"/>
        <item x="1014"/>
        <item x="1013"/>
        <item x="1012"/>
        <item x="1148"/>
        <item x="1147"/>
        <item x="1146"/>
        <item x="1319"/>
        <item x="1318"/>
        <item x="1082"/>
        <item x="1081"/>
        <item x="1080"/>
        <item x="1271"/>
        <item x="1270"/>
        <item x="1269"/>
        <item x="1188"/>
        <item x="1186"/>
        <item x="1187"/>
        <item x="1235"/>
        <item x="1279"/>
        <item x="1234"/>
        <item x="1233"/>
        <item x="1317"/>
        <item x="1309"/>
        <item x="997"/>
        <item x="1027"/>
        <item x="1278"/>
        <item x="1120"/>
        <item x="1228"/>
        <item x="952"/>
        <item x="858"/>
        <item x="920"/>
        <item x="76"/>
        <item x="1224"/>
        <item x="1177"/>
        <item x="1158"/>
        <item x="733"/>
        <item x="1263"/>
        <item x="1291"/>
        <item x="1248"/>
        <item x="1217"/>
        <item x="1216"/>
        <item x="761"/>
        <item x="760"/>
        <item x="759"/>
        <item x="591"/>
        <item x="589"/>
        <item x="590"/>
        <item x="1230"/>
        <item x="716"/>
        <item x="717"/>
        <item x="715"/>
        <item x="714"/>
        <item x="1165"/>
        <item x="1164"/>
        <item x="1273"/>
        <item x="1272"/>
        <item x="859"/>
        <item x="914"/>
        <item x="915"/>
        <item x="978"/>
        <item x="1015"/>
        <item x="1016"/>
        <item x="1079"/>
        <item x="945"/>
        <item x="946"/>
        <item x="819"/>
        <item x="979"/>
        <item x="1178"/>
        <item x="1179"/>
        <item x="1145"/>
        <item x="1259"/>
        <item x="1261"/>
        <item x="1260"/>
        <item x="1152"/>
        <item x="1153"/>
        <item x="1151"/>
        <item x="994"/>
        <item x="993"/>
        <item x="991"/>
        <item x="995"/>
        <item x="996"/>
        <item x="992"/>
        <item x="1118"/>
        <item x="1116"/>
        <item x="1117"/>
        <item x="1119"/>
        <item x="1149"/>
        <item x="1150"/>
        <item x="396"/>
        <item x="398"/>
        <item x="397"/>
        <item x="1320"/>
        <item x="504"/>
        <item x="916"/>
        <item x="743"/>
        <item x="813"/>
        <item x="1205"/>
        <item x="195"/>
        <item x="894"/>
        <item x="1247"/>
        <item x="535"/>
        <item x="611"/>
        <item x="154"/>
        <item x="329"/>
        <item x="327"/>
        <item x="324"/>
        <item x="325"/>
        <item x="326"/>
        <item x="155"/>
        <item x="773"/>
        <item x="139"/>
        <item x="474"/>
        <item x="157"/>
        <item x="159"/>
        <item x="158"/>
        <item x="216"/>
        <item x="213"/>
        <item x="47"/>
        <item x="49"/>
        <item x="48"/>
        <item x="46"/>
        <item x="82"/>
        <item x="446"/>
        <item x="466"/>
        <item x="558"/>
        <item x="580"/>
        <item x="693"/>
        <item x="703"/>
        <item x="260"/>
        <item x="282"/>
        <item x="67"/>
        <item x="56"/>
        <item x="1303"/>
        <item x="741"/>
        <item x="356"/>
        <item x="355"/>
        <item x="228"/>
        <item x="290"/>
        <item x="93"/>
        <item x="1285"/>
        <item x="1255"/>
        <item x="1098"/>
        <item x="1099"/>
        <item x="1002"/>
        <item x="1004"/>
        <item x="970"/>
        <item x="870"/>
        <item x="310"/>
        <item x="399"/>
        <item x="531"/>
        <item x="369"/>
        <item x="525"/>
        <item x="37"/>
        <item x="165"/>
        <item x="164"/>
        <item x="163"/>
        <item x="162"/>
        <item x="161"/>
        <item x="160"/>
        <item x="166"/>
        <item x="559"/>
        <item x="577"/>
        <item x="551"/>
        <item x="677"/>
        <item x="425"/>
        <item x="690"/>
        <item x="704"/>
        <item x="447"/>
        <item x="463"/>
        <item x="261"/>
        <item x="251"/>
        <item x="52"/>
        <item x="29"/>
        <item x="107"/>
        <item x="106"/>
        <item x="1176"/>
        <item x="1168"/>
        <item x="1167"/>
        <item x="1166"/>
        <item t="default"/>
      </items>
    </pivotField>
    <pivotField name="DOT" axis="axisRow" compact="0" numFmtId="165" outline="0" multipleItemSelectionAllowed="1" showAll="0" sortType="ascending" defaultSubtotal="0">
      <items>
        <item x="314"/>
        <item x="440"/>
        <item x="388"/>
        <item x="170"/>
        <item x="135"/>
        <item x="154"/>
        <item x="362"/>
        <item x="441"/>
        <item x="363"/>
        <item x="133"/>
        <item x="138"/>
        <item x="167"/>
        <item x="142"/>
        <item x="165"/>
        <item x="195"/>
        <item x="196"/>
        <item x="145"/>
        <item x="537"/>
        <item x="166"/>
        <item x="83"/>
        <item x="164"/>
        <item x="348"/>
        <item x="33"/>
        <item x="139"/>
        <item x="29"/>
        <item x="57"/>
        <item x="34"/>
        <item x="217"/>
        <item x="32"/>
        <item x="578"/>
        <item x="5"/>
        <item x="87"/>
        <item x="376"/>
        <item x="364"/>
        <item x="349"/>
        <item x="44"/>
        <item x="137"/>
        <item x="455"/>
        <item x="442"/>
        <item x="427"/>
        <item x="182"/>
        <item x="31"/>
        <item x="670"/>
        <item x="30"/>
        <item x="46"/>
        <item x="522"/>
        <item x="203"/>
        <item x="218"/>
        <item x="232"/>
        <item x="21"/>
        <item x="49"/>
        <item x="58"/>
        <item x="674"/>
        <item x="538"/>
        <item x="524"/>
        <item x="551"/>
        <item x="38"/>
        <item x="143"/>
        <item x="4"/>
        <item x="45"/>
        <item x="169"/>
        <item x="211"/>
        <item x="394"/>
        <item x="6"/>
        <item x="579"/>
        <item x="1025"/>
        <item x="222"/>
        <item x="168"/>
        <item x="141"/>
        <item x="155"/>
        <item x="395"/>
        <item x="184"/>
        <item x="233"/>
        <item x="280"/>
        <item x="715"/>
        <item x="43"/>
        <item x="1005"/>
        <item x="84"/>
        <item x="172"/>
        <item x="219"/>
        <item x="144"/>
        <item x="157"/>
        <item x="412"/>
        <item x="70"/>
        <item x="604"/>
        <item x="289"/>
        <item x="621"/>
        <item x="134"/>
        <item x="136"/>
        <item x="173"/>
        <item x="47"/>
        <item x="396"/>
        <item x="85"/>
        <item x="20"/>
        <item x="126"/>
        <item x="35"/>
        <item x="338"/>
        <item x="140"/>
        <item x="180"/>
        <item x="922"/>
        <item x="1028"/>
        <item x="183"/>
        <item x="976"/>
        <item x="973"/>
        <item x="1033"/>
        <item x="361"/>
        <item x="1018"/>
        <item x="368"/>
        <item x="344"/>
        <item x="345"/>
        <item x="387"/>
        <item x="377"/>
        <item x="378"/>
        <item x="853"/>
        <item x="352"/>
        <item x="374"/>
        <item x="386"/>
        <item x="367"/>
        <item x="890"/>
        <item x="423"/>
        <item x="475"/>
        <item x="477"/>
        <item x="359"/>
        <item x="375"/>
        <item x="761"/>
        <item x="593"/>
        <item x="171"/>
        <item x="379"/>
        <item x="464"/>
        <item x="82"/>
        <item x="332"/>
        <item x="463"/>
        <item x="462"/>
        <item x="453"/>
        <item x="438"/>
        <item x="450"/>
        <item x="434"/>
        <item x="452"/>
        <item x="451"/>
        <item x="465"/>
        <item x="449"/>
        <item x="435"/>
        <item x="436"/>
        <item x="437"/>
        <item x="81"/>
        <item x="41"/>
        <item x="360"/>
        <item x="366"/>
        <item x="226"/>
        <item x="194"/>
        <item x="603"/>
        <item x="197"/>
        <item x="37"/>
        <item x="290"/>
        <item x="351"/>
        <item x="48"/>
        <item x="905"/>
        <item x="520"/>
        <item x="923"/>
        <item x="39"/>
        <item x="519"/>
        <item x="40"/>
        <item x="237"/>
        <item x="121"/>
        <item x="112"/>
        <item x="204"/>
        <item x="220"/>
        <item x="586"/>
        <item x="974"/>
        <item x="966"/>
        <item x="181"/>
        <item x="213"/>
        <item x="215"/>
        <item x="42"/>
        <item x="244"/>
        <item x="270"/>
        <item x="208"/>
        <item x="242"/>
        <item x="230"/>
        <item x="243"/>
        <item x="229"/>
        <item x="228"/>
        <item x="8"/>
        <item x="65"/>
        <item x="231"/>
        <item x="101"/>
        <item x="122"/>
        <item x="221"/>
        <item x="241"/>
        <item x="209"/>
        <item x="236"/>
        <item x="500"/>
        <item x="214"/>
        <item x="147"/>
        <item x="356"/>
        <item x="353"/>
        <item x="380"/>
        <item x="358"/>
        <item x="372"/>
        <item x="919"/>
        <item x="365"/>
        <item x="64"/>
        <item x="216"/>
        <item x="860"/>
        <item x="52"/>
        <item x="384"/>
        <item x="381"/>
        <item x="128"/>
        <item x="62"/>
        <item x="63"/>
        <item x="382"/>
        <item x="370"/>
        <item x="66"/>
        <item x="27"/>
        <item x="51"/>
        <item x="514"/>
        <item x="28"/>
        <item x="369"/>
        <item x="355"/>
        <item x="297"/>
        <item x="859"/>
        <item x="392"/>
        <item x="549"/>
        <item x="350"/>
        <item x="430"/>
        <item x="536"/>
        <item x="447"/>
        <item x="541"/>
        <item x="532"/>
        <item x="373"/>
        <item x="540"/>
        <item x="535"/>
        <item x="554"/>
        <item x="552"/>
        <item x="542"/>
        <item x="550"/>
        <item x="533"/>
        <item x="534"/>
        <item x="553"/>
        <item x="22"/>
        <item x="539"/>
        <item x="446"/>
        <item x="433"/>
        <item x="934"/>
        <item x="448"/>
        <item x="466"/>
        <item x="439"/>
        <item x="460"/>
        <item x="383"/>
        <item x="432"/>
        <item x="457"/>
        <item x="461"/>
        <item x="431"/>
        <item x="444"/>
        <item x="459"/>
        <item x="429"/>
        <item x="454"/>
        <item x="458"/>
        <item x="443"/>
        <item x="428"/>
        <item x="456"/>
        <item x="445"/>
        <item x="371"/>
        <item x="316"/>
        <item x="385"/>
        <item x="357"/>
        <item x="354"/>
        <item x="978"/>
        <item x="615"/>
        <item x="903"/>
        <item x="486"/>
        <item x="751"/>
        <item x="921"/>
        <item x="936"/>
        <item x="206"/>
        <item x="1016"/>
        <item x="252"/>
        <item x="59"/>
        <item x="205"/>
        <item x="67"/>
        <item x="207"/>
        <item x="238"/>
        <item x="212"/>
        <item x="235"/>
        <item x="225"/>
        <item x="234"/>
        <item x="240"/>
        <item x="223"/>
        <item x="982"/>
        <item x="227"/>
        <item x="971"/>
        <item x="239"/>
        <item x="224"/>
        <item x="340"/>
        <item x="346"/>
        <item x="399"/>
        <item x="1007"/>
        <item x="130"/>
        <item x="334"/>
        <item x="61"/>
        <item x="854"/>
        <item x="25"/>
        <item x="602"/>
        <item x="337"/>
        <item x="53"/>
        <item x="757"/>
        <item x="60"/>
        <item x="54"/>
        <item x="422"/>
        <item x="55"/>
        <item x="24"/>
        <item x="68"/>
        <item x="1023"/>
        <item x="69"/>
        <item x="50"/>
        <item x="56"/>
        <item x="23"/>
        <item x="26"/>
        <item x="210"/>
        <item x="476"/>
        <item x="478"/>
        <item x="292"/>
        <item x="580"/>
        <item x="556"/>
        <item x="613"/>
        <item x="619"/>
        <item x="528"/>
        <item x="543"/>
        <item x="531"/>
        <item x="560"/>
        <item x="525"/>
        <item x="545"/>
        <item x="527"/>
        <item x="548"/>
        <item x="555"/>
        <item x="529"/>
        <item x="561"/>
        <item x="547"/>
        <item x="559"/>
        <item x="557"/>
        <item x="544"/>
        <item x="526"/>
        <item x="546"/>
        <item x="558"/>
        <item x="530"/>
        <item x="269"/>
        <item x="483"/>
        <item x="7"/>
        <item x="1001"/>
        <item x="987"/>
        <item x="1017"/>
        <item x="995"/>
        <item x="881"/>
        <item x="523"/>
        <item x="962"/>
        <item x="341"/>
        <item x="717"/>
        <item x="722"/>
        <item x="601"/>
        <item x="146"/>
        <item x="738"/>
        <item x="863"/>
        <item x="961"/>
        <item x="1006"/>
        <item x="116"/>
        <item x="86"/>
        <item x="163"/>
        <item x="113"/>
        <item x="624"/>
        <item x="246"/>
        <item x="1022"/>
        <item x="484"/>
        <item x="894"/>
        <item x="957"/>
        <item x="149"/>
        <item x="575"/>
        <item x="587"/>
        <item x="581"/>
        <item x="268"/>
        <item x="824"/>
        <item x="425"/>
        <item x="652"/>
        <item x="766"/>
        <item x="953"/>
        <item x="742"/>
        <item x="983"/>
        <item x="719"/>
        <item x="996"/>
        <item x="887"/>
        <item x="390"/>
        <item x="389"/>
        <item x="893"/>
        <item x="572"/>
        <item x="773"/>
        <item x="695"/>
        <item x="862"/>
        <item x="129"/>
        <item x="331"/>
        <item x="994"/>
        <item x="622"/>
        <item x="883"/>
        <item x="867"/>
        <item x="858"/>
        <item x="490"/>
        <item x="487"/>
        <item x="479"/>
        <item x="724"/>
        <item x="582"/>
        <item x="767"/>
        <item x="662"/>
        <item x="856"/>
        <item x="275"/>
        <item x="954"/>
        <item x="282"/>
        <item x="948"/>
        <item x="512"/>
        <item x="835"/>
        <item x="826"/>
        <item x="833"/>
        <item x="825"/>
        <item x="981"/>
        <item x="650"/>
        <item x="489"/>
        <item x="745"/>
        <item x="924"/>
        <item x="771"/>
        <item x="703"/>
        <item x="313"/>
        <item x="735"/>
        <item x="980"/>
        <item x="861"/>
        <item x="1024"/>
        <item x="123"/>
        <item x="264"/>
        <item x="880"/>
        <item x="864"/>
        <item x="191"/>
        <item x="768"/>
        <item x="114"/>
        <item x="576"/>
        <item x="583"/>
        <item x="247"/>
        <item x="939"/>
        <item x="762"/>
        <item x="276"/>
        <item x="663"/>
        <item x="347"/>
        <item x="14"/>
        <item x="723"/>
        <item x="265"/>
        <item x="831"/>
        <item x="426"/>
        <item x="827"/>
        <item x="942"/>
        <item x="993"/>
        <item x="718"/>
        <item x="653"/>
        <item x="949"/>
        <item x="743"/>
        <item x="772"/>
        <item x="668"/>
        <item x="989"/>
        <item x="733"/>
        <item x="15"/>
        <item x="700"/>
        <item x="906"/>
        <item x="865"/>
        <item x="294"/>
        <item x="850"/>
        <item x="2"/>
        <item x="132"/>
        <item x="855"/>
        <item x="930"/>
        <item x="918"/>
        <item x="725"/>
        <item x="281"/>
        <item x="283"/>
        <item x="513"/>
        <item x="125"/>
        <item x="836"/>
        <item x="1004"/>
        <item x="832"/>
        <item x="977"/>
        <item x="828"/>
        <item x="325"/>
        <item x="413"/>
        <item x="339"/>
        <item x="654"/>
        <item x="909"/>
        <item x="746"/>
        <item x="744"/>
        <item x="1036"/>
        <item x="115"/>
        <item x="769"/>
        <item x="943"/>
        <item x="669"/>
        <item x="620"/>
        <item x="614"/>
        <item x="643"/>
        <item x="734"/>
        <item x="857"/>
        <item x="904"/>
        <item x="485"/>
        <item x="492"/>
        <item x="866"/>
        <item x="910"/>
        <item x="823"/>
        <item x="750"/>
        <item x="955"/>
        <item x="256"/>
        <item x="633"/>
        <item x="403"/>
        <item x="402"/>
        <item x="701"/>
        <item x="271"/>
        <item x="776"/>
        <item x="424"/>
        <item x="92"/>
        <item x="834"/>
        <item x="161"/>
        <item x="342"/>
        <item x="391"/>
        <item x="726"/>
        <item x="103"/>
        <item x="696"/>
        <item x="36"/>
        <item x="406"/>
        <item x="404"/>
        <item x="747"/>
        <item x="770"/>
        <item x="1019"/>
        <item x="127"/>
        <item x="1029"/>
        <item x="13"/>
        <item x="672"/>
        <item x="711"/>
        <item x="763"/>
        <item x="623"/>
        <item x="911"/>
        <item x="493"/>
        <item x="488"/>
        <item x="628"/>
        <item x="405"/>
        <item x="752"/>
        <item x="605"/>
        <item x="664"/>
        <item x="109"/>
        <item x="295"/>
        <item x="591"/>
        <item x="584"/>
        <item x="702"/>
        <item x="105"/>
        <item x="94"/>
        <item x="497"/>
        <item x="272"/>
        <item x="106"/>
        <item x="343"/>
        <item x="727"/>
        <item x="868"/>
        <item x="93"/>
        <item x="111"/>
        <item x="629"/>
        <item x="150"/>
        <item x="988"/>
        <item x="303"/>
        <item x="511"/>
        <item x="162"/>
        <item x="499"/>
        <item x="108"/>
        <item x="625"/>
        <item x="291"/>
        <item x="124"/>
        <item x="947"/>
        <item x="286"/>
        <item x="491"/>
        <item x="284"/>
        <item x="193"/>
        <item x="630"/>
        <item x="941"/>
        <item x="972"/>
        <item x="704"/>
        <item x="884"/>
        <item x="151"/>
        <item x="498"/>
        <item x="596"/>
        <item x="585"/>
        <item x="592"/>
        <item x="986"/>
        <item x="273"/>
        <item x="888"/>
        <item x="1026"/>
        <item x="287"/>
        <item x="285"/>
        <item x="156"/>
        <item x="885"/>
        <item x="651"/>
        <item x="938"/>
        <item x="266"/>
        <item x="293"/>
        <item x="88"/>
        <item x="597"/>
        <item x="510"/>
        <item x="131"/>
        <item x="898"/>
        <item x="288"/>
        <item x="1035"/>
        <item x="296"/>
        <item x="521"/>
        <item x="920"/>
        <item x="917"/>
        <item x="577"/>
        <item x="262"/>
        <item x="944"/>
        <item x="598"/>
        <item x="274"/>
        <item x="839"/>
        <item x="309"/>
        <item x="758"/>
        <item x="656"/>
        <item x="658"/>
        <item x="606"/>
        <item x="187"/>
        <item x="570"/>
        <item x="970"/>
        <item x="748"/>
        <item x="882"/>
        <item x="979"/>
        <item x="649"/>
        <item x="418"/>
        <item x="639"/>
        <item x="329"/>
        <item x="104"/>
        <item x="1"/>
        <item x="637"/>
        <item x="470"/>
        <item x="852"/>
        <item x="330"/>
        <item x="471"/>
        <item x="414"/>
        <item x="481"/>
        <item x="659"/>
        <item x="607"/>
        <item x="118"/>
        <item x="837"/>
        <item x="333"/>
        <item x="870"/>
        <item x="17"/>
        <item x="774"/>
        <item x="76"/>
        <item x="312"/>
        <item x="474"/>
        <item x="657"/>
        <item x="632"/>
        <item x="617"/>
        <item x="648"/>
        <item x="616"/>
        <item x="875"/>
        <item x="567"/>
        <item x="298"/>
        <item x="190"/>
        <item x="671"/>
        <item x="267"/>
        <item x="814"/>
        <item x="678"/>
        <item x="886"/>
        <item x="569"/>
        <item x="571"/>
        <item x="848"/>
        <item x="178"/>
        <item x="506"/>
        <item x="89"/>
        <item x="1034"/>
        <item x="90"/>
        <item x="945"/>
        <item x="261"/>
        <item x="680"/>
        <item x="960"/>
        <item x="119"/>
        <item x="749"/>
        <item x="675"/>
        <item x="319"/>
        <item x="107"/>
        <item x="400"/>
        <item x="679"/>
        <item x="480"/>
        <item x="813"/>
        <item x="642"/>
        <item x="1027"/>
        <item x="689"/>
        <item x="997"/>
        <item x="1032"/>
        <item x="667"/>
        <item x="818"/>
        <item x="798"/>
        <item x="812"/>
        <item x="969"/>
        <item x="589"/>
        <item x="564"/>
        <item x="1031"/>
        <item x="308"/>
        <item x="940"/>
        <item x="811"/>
        <item x="419"/>
        <item x="110"/>
        <item x="18"/>
        <item x="999"/>
        <item x="810"/>
        <item x="186"/>
        <item x="311"/>
        <item x="96"/>
        <item x="984"/>
        <item x="1030"/>
        <item x="307"/>
        <item x="677"/>
        <item x="189"/>
        <item x="759"/>
        <item x="933"/>
        <item x="1010"/>
        <item x="185"/>
        <item x="899"/>
        <item x="686"/>
        <item x="95"/>
        <item x="809"/>
        <item x="808"/>
        <item x="645"/>
        <item x="159"/>
        <item x="927"/>
        <item x="1013"/>
        <item x="716"/>
        <item x="1011"/>
        <item x="566"/>
        <item x="902"/>
        <item x="838"/>
        <item x="797"/>
        <item x="815"/>
        <item x="807"/>
        <item x="102"/>
        <item x="712"/>
        <item x="688"/>
        <item x="958"/>
        <item x="1008"/>
        <item x="411"/>
        <item x="97"/>
        <item x="310"/>
        <item x="174"/>
        <item x="781"/>
        <item x="306"/>
        <item x="793"/>
        <item x="687"/>
        <item x="915"/>
        <item x="188"/>
        <item x="638"/>
        <item x="328"/>
        <item x="806"/>
        <item x="646"/>
        <item x="788"/>
        <item x="509"/>
        <item x="785"/>
        <item x="877"/>
        <item x="907"/>
        <item x="482"/>
        <item x="508"/>
        <item x="588"/>
        <item x="563"/>
        <item x="805"/>
        <item x="9"/>
        <item x="963"/>
        <item x="804"/>
        <item x="618"/>
        <item x="803"/>
        <item x="791"/>
        <item x="302"/>
        <item x="932"/>
        <item x="775"/>
        <item x="1020"/>
        <item x="946"/>
        <item x="713"/>
        <item x="783"/>
        <item x="472"/>
        <item x="473"/>
        <item x="568"/>
        <item x="879"/>
        <item x="998"/>
        <item x="796"/>
        <item x="784"/>
        <item x="787"/>
        <item x="849"/>
        <item x="635"/>
        <item x="120"/>
        <item x="1009"/>
        <item x="398"/>
        <item x="278"/>
        <item x="507"/>
        <item x="789"/>
        <item x="985"/>
        <item x="802"/>
        <item x="801"/>
        <item x="786"/>
        <item x="263"/>
        <item x="666"/>
        <item x="800"/>
        <item x="277"/>
        <item x="799"/>
        <item x="573"/>
        <item x="792"/>
        <item x="795"/>
        <item x="741"/>
        <item x="590"/>
        <item x="565"/>
        <item x="794"/>
        <item x="739"/>
        <item x="869"/>
        <item x="959"/>
        <item x="327"/>
        <item x="782"/>
        <item x="820"/>
        <item x="612"/>
        <item x="754"/>
        <item x="925"/>
        <item x="153"/>
        <item x="819"/>
        <item x="1012"/>
        <item x="501"/>
        <item x="636"/>
        <item x="503"/>
        <item x="714"/>
        <item x="1021"/>
        <item x="891"/>
        <item x="250"/>
        <item x="1000"/>
        <item x="300"/>
        <item x="279"/>
        <item x="647"/>
        <item x="3"/>
        <item x="892"/>
        <item x="245"/>
        <item x="176"/>
        <item x="737"/>
        <item x="697"/>
        <item x="829"/>
        <item x="91"/>
        <item x="900"/>
        <item x="975"/>
        <item x="740"/>
        <item x="71"/>
        <item x="75"/>
        <item x="326"/>
        <item x="968"/>
        <item x="665"/>
        <item x="73"/>
        <item x="80"/>
        <item x="79"/>
        <item x="990"/>
        <item x="661"/>
        <item x="699"/>
        <item x="698"/>
        <item x="253"/>
        <item x="78"/>
        <item x="878"/>
        <item x="255"/>
        <item x="609"/>
        <item x="254"/>
        <item x="72"/>
        <item x="889"/>
        <item x="991"/>
        <item x="736"/>
        <item x="74"/>
        <item x="77"/>
        <item x="926"/>
        <item x="640"/>
        <item x="821"/>
        <item x="397"/>
        <item x="755"/>
        <item x="720"/>
        <item x="258"/>
        <item x="305"/>
        <item x="760"/>
        <item x="320"/>
        <item x="179"/>
        <item x="895"/>
        <item x="631"/>
        <item x="684"/>
        <item x="916"/>
        <item x="901"/>
        <item x="301"/>
        <item x="721"/>
        <item x="644"/>
        <item x="931"/>
        <item x="872"/>
        <item x="992"/>
        <item x="779"/>
        <item x="494"/>
        <item x="914"/>
        <item x="192"/>
        <item x="1014"/>
        <item x="321"/>
        <item x="965"/>
        <item x="956"/>
        <item x="335"/>
        <item x="928"/>
        <item x="660"/>
        <item x="117"/>
        <item x="257"/>
        <item x="260"/>
        <item x="912"/>
        <item x="732"/>
        <item x="950"/>
        <item x="600"/>
        <item x="753"/>
        <item x="415"/>
        <item x="778"/>
        <item x="841"/>
        <item x="967"/>
        <item x="690"/>
        <item x="318"/>
        <item x="304"/>
        <item x="574"/>
        <item x="251"/>
        <item x="964"/>
        <item x="496"/>
        <item x="0"/>
        <item x="790"/>
        <item x="676"/>
        <item x="626"/>
        <item x="896"/>
        <item x="495"/>
        <item x="515"/>
        <item x="1003"/>
        <item x="259"/>
        <item x="148"/>
        <item x="324"/>
        <item x="935"/>
        <item x="322"/>
        <item x="709"/>
        <item x="908"/>
        <item x="505"/>
        <item x="599"/>
        <item x="416"/>
        <item x="847"/>
        <item x="641"/>
        <item x="929"/>
        <item x="840"/>
        <item x="502"/>
        <item x="705"/>
        <item x="707"/>
        <item x="249"/>
        <item x="842"/>
        <item x="683"/>
        <item x="816"/>
        <item x="764"/>
        <item x="299"/>
        <item x="594"/>
        <item x="336"/>
        <item x="99"/>
        <item x="780"/>
        <item x="710"/>
        <item x="417"/>
        <item x="1015"/>
        <item x="100"/>
        <item x="843"/>
        <item x="845"/>
        <item x="516"/>
        <item x="692"/>
        <item x="729"/>
        <item x="421"/>
        <item x="627"/>
        <item x="874"/>
        <item x="694"/>
        <item x="10"/>
        <item x="11"/>
        <item x="765"/>
        <item x="317"/>
        <item x="756"/>
        <item x="731"/>
        <item x="408"/>
        <item x="468"/>
        <item x="937"/>
        <item x="634"/>
        <item x="175"/>
        <item x="817"/>
        <item x="401"/>
        <item x="873"/>
        <item x="708"/>
        <item x="152"/>
        <item x="876"/>
        <item x="682"/>
        <item x="248"/>
        <item x="610"/>
        <item x="952"/>
        <item x="822"/>
        <item x="897"/>
        <item x="611"/>
        <item x="160"/>
        <item x="706"/>
        <item x="517"/>
        <item x="98"/>
        <item x="951"/>
        <item x="730"/>
        <item x="199"/>
        <item x="16"/>
        <item x="728"/>
        <item x="467"/>
        <item x="871"/>
        <item x="673"/>
        <item x="595"/>
        <item x="19"/>
        <item x="777"/>
        <item x="12"/>
        <item x="518"/>
        <item x="315"/>
        <item x="1002"/>
        <item x="202"/>
        <item x="410"/>
        <item x="608"/>
        <item x="504"/>
        <item x="201"/>
        <item x="393"/>
        <item x="844"/>
        <item x="685"/>
        <item x="846"/>
        <item x="681"/>
        <item x="420"/>
        <item x="655"/>
        <item x="913"/>
        <item x="691"/>
        <item x="158"/>
        <item x="469"/>
        <item x="851"/>
        <item x="407"/>
        <item x="830"/>
        <item x="562"/>
        <item x="409"/>
        <item x="323"/>
        <item x="693"/>
        <item x="200"/>
        <item x="177"/>
        <item x="198"/>
      </items>
    </pivotField>
    <pivotField name="USD Proposal Tim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t="default"/>
      </items>
    </pivotField>
    <pivotField name="beneficia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t="default"/>
      </items>
    </pivotField>
    <pivotField name="proposal_tim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t="default"/>
      </items>
    </pivotField>
    <pivotField name="last_status_change" axis="axisRow" compact="0" numFmtId="168" outline="0" multipleItemSelectionAllowed="1" showAll="0" sortType="ascending" defaultSubtotal="0">
      <items>
        <item x="364"/>
        <item x="363"/>
        <item x="361"/>
        <item x="362"/>
        <item x="360"/>
        <item x="358"/>
        <item x="359"/>
        <item x="355"/>
        <item x="354"/>
        <item x="353"/>
        <item x="351"/>
        <item x="352"/>
        <item x="350"/>
        <item x="356"/>
        <item x="349"/>
        <item x="346"/>
        <item x="344"/>
        <item x="345"/>
        <item x="347"/>
        <item x="348"/>
        <item x="342"/>
        <item x="343"/>
        <item x="341"/>
        <item x="340"/>
        <item x="338"/>
        <item x="339"/>
        <item x="334"/>
        <item x="336"/>
        <item x="335"/>
        <item x="333"/>
        <item x="337"/>
        <item x="332"/>
        <item x="331"/>
        <item x="330"/>
        <item x="329"/>
        <item x="328"/>
        <item x="327"/>
        <item x="326"/>
        <item x="324"/>
        <item x="325"/>
        <item x="323"/>
        <item x="321"/>
        <item x="322"/>
        <item x="319"/>
        <item x="317"/>
        <item x="316"/>
        <item x="318"/>
        <item x="315"/>
        <item x="313"/>
        <item x="314"/>
        <item x="312"/>
        <item x="320"/>
        <item x="306"/>
        <item x="310"/>
        <item x="303"/>
        <item x="302"/>
        <item x="301"/>
        <item x="304"/>
        <item x="311"/>
        <item x="300"/>
        <item x="308"/>
        <item x="299"/>
        <item x="297"/>
        <item x="305"/>
        <item x="296"/>
        <item x="298"/>
        <item x="294"/>
        <item x="295"/>
        <item x="307"/>
        <item x="293"/>
        <item x="291"/>
        <item x="290"/>
        <item x="289"/>
        <item x="292"/>
        <item x="287"/>
        <item x="288"/>
        <item x="284"/>
        <item x="286"/>
        <item x="285"/>
        <item x="283"/>
        <item x="282"/>
        <item x="281"/>
        <item x="278"/>
        <item x="279"/>
        <item x="277"/>
        <item x="276"/>
        <item x="269"/>
        <item x="280"/>
        <item x="273"/>
        <item x="272"/>
        <item x="270"/>
        <item x="267"/>
        <item x="271"/>
        <item x="268"/>
        <item x="266"/>
        <item x="265"/>
        <item x="274"/>
        <item x="357"/>
        <item x="261"/>
        <item x="275"/>
        <item x="263"/>
        <item x="264"/>
        <item x="259"/>
        <item x="257"/>
        <item x="258"/>
        <item x="262"/>
        <item x="253"/>
        <item x="255"/>
        <item x="256"/>
        <item x="252"/>
        <item x="249"/>
        <item x="251"/>
        <item x="254"/>
        <item x="250"/>
        <item x="247"/>
        <item x="245"/>
        <item x="244"/>
        <item x="243"/>
        <item x="246"/>
        <item x="242"/>
        <item x="248"/>
        <item x="236"/>
        <item x="237"/>
        <item x="239"/>
        <item x="238"/>
        <item x="241"/>
        <item x="235"/>
        <item x="309"/>
        <item x="240"/>
        <item x="234"/>
        <item x="231"/>
        <item x="230"/>
        <item x="229"/>
        <item x="224"/>
        <item x="233"/>
        <item x="226"/>
        <item x="232"/>
        <item x="228"/>
        <item x="225"/>
        <item x="222"/>
        <item x="220"/>
        <item x="221"/>
        <item x="219"/>
        <item x="223"/>
        <item x="218"/>
        <item x="227"/>
        <item x="260"/>
        <item x="217"/>
        <item x="215"/>
        <item x="211"/>
        <item x="212"/>
        <item x="213"/>
        <item x="216"/>
        <item x="214"/>
        <item x="210"/>
        <item x="199"/>
        <item x="207"/>
        <item x="209"/>
        <item x="204"/>
        <item x="201"/>
        <item x="198"/>
        <item x="200"/>
        <item x="203"/>
        <item x="195"/>
        <item x="197"/>
        <item x="196"/>
        <item x="206"/>
        <item x="202"/>
        <item x="189"/>
        <item x="190"/>
        <item x="188"/>
        <item x="187"/>
        <item x="191"/>
        <item x="186"/>
        <item x="184"/>
        <item x="208"/>
        <item x="185"/>
        <item x="193"/>
        <item x="183"/>
        <item x="182"/>
        <item x="192"/>
        <item x="180"/>
        <item x="178"/>
        <item x="179"/>
        <item x="175"/>
        <item x="176"/>
        <item x="194"/>
        <item x="177"/>
        <item x="181"/>
        <item x="174"/>
        <item x="173"/>
        <item x="172"/>
        <item x="170"/>
        <item x="167"/>
        <item x="168"/>
        <item x="169"/>
        <item x="205"/>
        <item x="162"/>
        <item x="164"/>
        <item x="165"/>
        <item x="163"/>
        <item x="161"/>
        <item x="160"/>
        <item x="159"/>
        <item x="157"/>
        <item x="158"/>
        <item x="166"/>
        <item x="156"/>
        <item x="154"/>
        <item x="152"/>
        <item x="153"/>
        <item x="149"/>
        <item x="151"/>
        <item x="150"/>
        <item x="147"/>
        <item x="146"/>
        <item x="148"/>
        <item x="155"/>
        <item x="171"/>
        <item x="142"/>
        <item x="144"/>
        <item x="140"/>
        <item x="141"/>
        <item x="139"/>
        <item x="143"/>
        <item x="137"/>
        <item x="138"/>
        <item x="136"/>
        <item x="135"/>
        <item x="134"/>
        <item x="129"/>
        <item x="133"/>
        <item x="145"/>
        <item x="130"/>
        <item x="132"/>
        <item x="127"/>
        <item x="128"/>
        <item x="126"/>
        <item x="125"/>
        <item x="124"/>
        <item x="113"/>
        <item x="123"/>
        <item x="122"/>
        <item x="121"/>
        <item x="119"/>
        <item x="118"/>
        <item x="117"/>
        <item x="112"/>
        <item x="120"/>
        <item x="111"/>
        <item x="114"/>
        <item x="115"/>
        <item x="105"/>
        <item x="108"/>
        <item x="116"/>
        <item x="109"/>
        <item x="110"/>
        <item x="101"/>
        <item x="100"/>
        <item x="102"/>
        <item x="103"/>
        <item x="104"/>
        <item x="107"/>
        <item x="87"/>
        <item x="96"/>
        <item x="97"/>
        <item x="95"/>
        <item x="91"/>
        <item x="90"/>
        <item x="93"/>
        <item x="89"/>
        <item x="88"/>
        <item x="85"/>
        <item x="86"/>
        <item x="83"/>
        <item x="99"/>
        <item x="94"/>
        <item x="92"/>
        <item x="98"/>
        <item x="106"/>
        <item x="79"/>
        <item x="80"/>
        <item x="81"/>
        <item x="74"/>
        <item x="82"/>
        <item x="131"/>
        <item x="76"/>
        <item x="72"/>
        <item x="75"/>
        <item x="73"/>
        <item x="77"/>
        <item x="78"/>
        <item x="69"/>
        <item x="68"/>
        <item x="67"/>
        <item x="66"/>
        <item x="65"/>
        <item x="61"/>
        <item x="63"/>
        <item x="62"/>
        <item x="60"/>
        <item x="70"/>
        <item x="56"/>
        <item x="71"/>
        <item x="58"/>
        <item x="59"/>
        <item x="57"/>
        <item x="46"/>
        <item x="55"/>
        <item x="54"/>
        <item x="53"/>
        <item x="50"/>
        <item x="49"/>
        <item x="48"/>
        <item x="51"/>
        <item x="47"/>
        <item x="40"/>
        <item x="44"/>
        <item x="42"/>
        <item x="41"/>
        <item x="84"/>
        <item x="45"/>
        <item x="64"/>
        <item x="43"/>
        <item x="39"/>
        <item x="38"/>
        <item x="34"/>
        <item x="32"/>
        <item x="36"/>
        <item x="35"/>
        <item x="33"/>
        <item x="52"/>
        <item x="37"/>
        <item x="25"/>
        <item x="31"/>
        <item x="30"/>
        <item x="22"/>
        <item x="29"/>
        <item x="28"/>
        <item x="21"/>
        <item x="27"/>
        <item x="26"/>
        <item x="17"/>
        <item x="18"/>
        <item x="24"/>
        <item x="23"/>
        <item x="12"/>
        <item x="11"/>
        <item x="20"/>
        <item x="19"/>
        <item x="6"/>
        <item x="15"/>
        <item x="4"/>
        <item x="16"/>
        <item x="3"/>
        <item x="1"/>
        <item x="8"/>
        <item x="9"/>
        <item x="10"/>
        <item x="14"/>
        <item x="7"/>
        <item x="5"/>
        <item x="13"/>
        <item x="2"/>
        <item x="0"/>
      </items>
    </pivotField>
    <pivotField name="USD latest" axis="axisRow" compact="0" numFmtId="164" outline="0" multipleItemSelectionAllowed="1" showAll="0" sortType="ascending" defaultSubtotal="0">
      <items>
        <item x="814"/>
        <item x="361"/>
        <item x="441"/>
        <item x="179"/>
        <item x="156"/>
        <item x="180"/>
        <item x="204"/>
        <item x="519"/>
        <item x="178"/>
        <item x="413"/>
        <item x="414"/>
        <item x="546"/>
        <item x="154"/>
        <item x="163"/>
        <item x="159"/>
        <item x="201"/>
        <item x="520"/>
        <item x="199"/>
        <item x="90"/>
        <item x="166"/>
        <item x="229"/>
        <item x="230"/>
        <item x="200"/>
        <item x="33"/>
        <item x="631"/>
        <item x="198"/>
        <item x="398"/>
        <item x="29"/>
        <item x="58"/>
        <item x="160"/>
        <item x="34"/>
        <item x="32"/>
        <item x="5"/>
        <item x="94"/>
        <item x="781"/>
        <item x="44"/>
        <item x="31"/>
        <item x="251"/>
        <item x="428"/>
        <item x="415"/>
        <item x="399"/>
        <item x="30"/>
        <item x="46"/>
        <item x="158"/>
        <item x="429"/>
        <item x="416"/>
        <item x="400"/>
        <item x="786"/>
        <item x="672"/>
        <item x="616"/>
        <item x="216"/>
        <item x="21"/>
        <item x="49"/>
        <item x="59"/>
        <item x="38"/>
        <item x="237"/>
        <item x="60"/>
        <item x="252"/>
        <item x="534"/>
        <item x="521"/>
        <item x="266"/>
        <item x="506"/>
        <item x="840"/>
        <item x="4"/>
        <item x="45"/>
        <item x="164"/>
        <item x="632"/>
        <item x="618"/>
        <item x="645"/>
        <item x="6"/>
        <item x="203"/>
        <item x="1202"/>
        <item x="43"/>
        <item x="181"/>
        <item x="182"/>
        <item x="245"/>
        <item x="184"/>
        <item x="162"/>
        <item x="91"/>
        <item x="461"/>
        <item x="466"/>
        <item x="460"/>
        <item x="673"/>
        <item x="452"/>
        <item x="73"/>
        <item x="191"/>
        <item x="459"/>
        <item x="202"/>
        <item x="454"/>
        <item x="256"/>
        <item x="1194"/>
        <item x="453"/>
        <item x="335"/>
        <item x="467"/>
        <item x="183"/>
        <item x="322"/>
        <item x="456"/>
        <item x="469"/>
        <item x="267"/>
        <item x="165"/>
        <item x="455"/>
        <item x="218"/>
        <item x="47"/>
        <item x="1170"/>
        <item x="206"/>
        <item x="1201"/>
        <item x="92"/>
        <item x="1135"/>
        <item x="35"/>
        <item x="253"/>
        <item x="20"/>
        <item x="1193"/>
        <item x="701"/>
        <item x="157"/>
        <item x="155"/>
        <item x="1139"/>
        <item x="468"/>
        <item x="458"/>
        <item x="1199"/>
        <item x="1079"/>
        <item x="462"/>
        <item x="207"/>
        <item x="457"/>
        <item x="996"/>
        <item x="1000"/>
        <item x="896"/>
        <item x="464"/>
        <item x="463"/>
        <item x="720"/>
        <item x="1081"/>
        <item x="995"/>
        <item x="1200"/>
        <item x="997"/>
        <item x="138"/>
        <item x="161"/>
        <item x="465"/>
        <item x="386"/>
        <item x="491"/>
        <item x="41"/>
        <item x="214"/>
        <item x="37"/>
        <item x="430"/>
        <item x="403"/>
        <item x="426"/>
        <item x="48"/>
        <item x="39"/>
        <item x="89"/>
        <item x="393"/>
        <item x="1198"/>
        <item x="88"/>
        <item x="412"/>
        <item x="217"/>
        <item x="1136"/>
        <item x="420"/>
        <item x="394"/>
        <item x="440"/>
        <item x="431"/>
        <item x="40"/>
        <item x="432"/>
        <item x="1042"/>
        <item x="439"/>
        <item x="419"/>
        <item x="1128"/>
        <item x="1080"/>
        <item x="1082"/>
        <item x="410"/>
        <item x="1197"/>
        <item x="427"/>
        <item x="380"/>
        <item x="42"/>
        <item x="205"/>
        <item x="411"/>
        <item x="146"/>
        <item x="418"/>
        <item x="337"/>
        <item x="122"/>
        <item x="1060"/>
        <item x="687"/>
        <item x="402"/>
        <item x="700"/>
        <item x="1006"/>
        <item x="131"/>
        <item x="260"/>
        <item x="111"/>
        <item x="228"/>
        <item x="1005"/>
        <item x="231"/>
        <item x="68"/>
        <item x="27"/>
        <item x="51"/>
        <item x="64"/>
        <item x="28"/>
        <item x="1133"/>
        <item x="8"/>
        <item x="52"/>
        <item x="142"/>
        <item x="886"/>
        <item x="308"/>
        <item x="132"/>
        <item x="1141"/>
        <item x="271"/>
        <item x="147"/>
        <item x="1184"/>
        <item x="1145"/>
        <item x="238"/>
        <item x="168"/>
        <item x="141"/>
        <item x="254"/>
        <item x="22"/>
        <item x="1076"/>
        <item x="67"/>
        <item x="215"/>
        <item x="680"/>
        <item x="433"/>
        <item x="543"/>
        <item x="247"/>
        <item x="542"/>
        <item x="249"/>
        <item x="541"/>
        <item x="532"/>
        <item x="517"/>
        <item x="529"/>
        <item x="1208"/>
        <item x="513"/>
        <item x="531"/>
        <item x="530"/>
        <item x="544"/>
        <item x="528"/>
        <item x="613"/>
        <item x="514"/>
        <item x="515"/>
        <item x="516"/>
        <item x="1207"/>
        <item x="434"/>
        <item x="614"/>
        <item x="278"/>
        <item x="892"/>
        <item x="242"/>
        <item x="502"/>
        <item x="276"/>
        <item x="264"/>
        <item x="277"/>
        <item x="848"/>
        <item x="263"/>
        <item x="262"/>
        <item x="450"/>
        <item x="842"/>
        <item x="66"/>
        <item x="556"/>
        <item x="265"/>
        <item x="407"/>
        <item x="404"/>
        <item x="409"/>
        <item x="558"/>
        <item x="424"/>
        <item x="999"/>
        <item x="255"/>
        <item x="275"/>
        <item x="401"/>
        <item x="143"/>
        <item x="425"/>
        <item x="417"/>
        <item x="243"/>
        <item x="65"/>
        <item x="270"/>
        <item x="437"/>
        <item x="248"/>
        <item x="435"/>
        <item x="422"/>
        <item x="449"/>
        <item x="421"/>
        <item x="448"/>
        <item x="406"/>
        <item x="1078"/>
        <item x="250"/>
        <item x="998"/>
        <item x="1146"/>
        <item x="1096"/>
        <item x="436"/>
        <item x="812"/>
        <item x="1124"/>
        <item x="363"/>
        <item x="423"/>
        <item x="844"/>
        <item x="25"/>
        <item x="1058"/>
        <item x="438"/>
        <item x="408"/>
        <item x="149"/>
        <item x="62"/>
        <item x="56"/>
        <item x="71"/>
        <item x="54"/>
        <item x="72"/>
        <item x="50"/>
        <item x="57"/>
        <item x="26"/>
        <item x="1094"/>
        <item x="405"/>
        <item x="344"/>
        <item x="23"/>
        <item x="53"/>
        <item x="559"/>
        <item x="643"/>
        <item x="1119"/>
        <item x="61"/>
        <item x="70"/>
        <item x="965"/>
        <item x="630"/>
        <item x="635"/>
        <item x="626"/>
        <item x="634"/>
        <item x="629"/>
        <item x="648"/>
        <item x="646"/>
        <item x="636"/>
        <item x="644"/>
        <item x="627"/>
        <item x="628"/>
        <item x="647"/>
        <item x="633"/>
        <item x="871"/>
        <item x="966"/>
        <item x="286"/>
        <item x="714"/>
        <item x="287"/>
        <item x="850"/>
        <item x="446"/>
        <item x="1114"/>
        <item x="148"/>
        <item x="713"/>
        <item x="240"/>
        <item x="1151"/>
        <item x="24"/>
        <item x="589"/>
        <item x="239"/>
        <item x="825"/>
        <item x="241"/>
        <item x="1010"/>
        <item x="1123"/>
        <item x="826"/>
        <item x="1009"/>
        <item x="442"/>
        <item x="1011"/>
        <item x="389"/>
        <item x="272"/>
        <item x="246"/>
        <item x="269"/>
        <item x="259"/>
        <item x="443"/>
        <item x="851"/>
        <item x="268"/>
        <item x="382"/>
        <item x="824"/>
        <item x="63"/>
        <item x="395"/>
        <item x="7"/>
        <item x="274"/>
        <item x="257"/>
        <item x="261"/>
        <item x="1159"/>
        <item x="1031"/>
        <item x="55"/>
        <item x="509"/>
        <item x="876"/>
        <item x="526"/>
        <item x="69"/>
        <item x="1166"/>
        <item x="307"/>
        <item x="525"/>
        <item x="512"/>
        <item x="875"/>
        <item x="527"/>
        <item x="545"/>
        <item x="518"/>
        <item x="385"/>
        <item x="539"/>
        <item x="511"/>
        <item x="536"/>
        <item x="540"/>
        <item x="510"/>
        <item x="523"/>
        <item x="538"/>
        <item x="508"/>
        <item x="533"/>
        <item x="537"/>
        <item x="522"/>
        <item x="507"/>
        <item x="535"/>
        <item x="524"/>
        <item x="699"/>
        <item x="273"/>
        <item x="258"/>
        <item x="306"/>
        <item x="1032"/>
        <item x="1002"/>
        <item x="244"/>
        <item x="339"/>
        <item x="711"/>
        <item x="818"/>
        <item x="902"/>
        <item x="977"/>
        <item x="968"/>
        <item x="975"/>
        <item x="1117"/>
        <item x="967"/>
        <item x="901"/>
        <item x="1030"/>
        <item x="1190"/>
        <item x="1173"/>
        <item x="883"/>
        <item x="570"/>
        <item x="1115"/>
        <item x="1172"/>
        <item x="139"/>
        <item x="123"/>
        <item x="126"/>
        <item x="674"/>
        <item x="852"/>
        <item x="390"/>
        <item x="133"/>
        <item x="170"/>
        <item x="1008"/>
        <item x="167"/>
        <item x="1147"/>
        <item x="913"/>
        <item x="93"/>
        <item x="718"/>
        <item x="607"/>
        <item x="867"/>
        <item x="819"/>
        <item x="1189"/>
        <item x="650"/>
        <item x="1182"/>
        <item x="855"/>
        <item x="622"/>
        <item x="637"/>
        <item x="625"/>
        <item x="654"/>
        <item x="619"/>
        <item x="639"/>
        <item x="621"/>
        <item x="642"/>
        <item x="649"/>
        <item x="623"/>
        <item x="655"/>
        <item x="641"/>
        <item x="653"/>
        <item x="651"/>
        <item x="638"/>
        <item x="620"/>
        <item x="640"/>
        <item x="652"/>
        <item x="624"/>
        <item x="1015"/>
        <item x="821"/>
        <item x="1004"/>
        <item x="772"/>
        <item x="698"/>
        <item x="849"/>
        <item x="472"/>
        <item x="1108"/>
        <item x="827"/>
        <item x="136"/>
        <item x="843"/>
        <item x="1160"/>
        <item x="1188"/>
        <item x="1161"/>
        <item x="724"/>
        <item x="903"/>
        <item x="879"/>
        <item x="1048"/>
        <item x="197"/>
        <item x="309"/>
        <item x="773"/>
        <item x="1171"/>
        <item x="1038"/>
        <item x="908"/>
        <item x="617"/>
        <item x="560"/>
        <item x="973"/>
        <item x="969"/>
        <item x="758"/>
        <item x="569"/>
        <item x="912"/>
        <item x="445"/>
        <item x="853"/>
        <item x="1144"/>
        <item x="444"/>
        <item x="1043"/>
        <item x="144"/>
        <item x="1007"/>
        <item x="897"/>
        <item x="1041"/>
        <item x="280"/>
        <item x="305"/>
        <item x="907"/>
        <item x="725"/>
        <item x="1047"/>
        <item x="681"/>
        <item x="675"/>
        <item x="1109"/>
        <item x="1158"/>
        <item x="501"/>
        <item x="1012"/>
        <item x="865"/>
        <item x="557"/>
        <item x="759"/>
        <item x="379"/>
        <item x="669"/>
        <item x="1143"/>
        <item x="820"/>
        <item x="1110"/>
        <item x="904"/>
        <item x="1183"/>
        <item x="1034"/>
        <item x="134"/>
        <item x="150"/>
        <item x="877"/>
        <item x="774"/>
        <item x="813"/>
        <item x="909"/>
        <item x="978"/>
        <item x="992"/>
        <item x="974"/>
        <item x="779"/>
        <item x="970"/>
        <item x="1029"/>
        <item x="721"/>
        <item x="316"/>
        <item x="666"/>
        <item x="1083"/>
        <item x="857"/>
        <item x="757"/>
        <item x="726"/>
        <item x="324"/>
        <item x="571"/>
        <item x="124"/>
        <item x="911"/>
        <item x="676"/>
        <item x="787"/>
        <item x="823"/>
        <item x="964"/>
        <item x="360"/>
        <item x="822"/>
        <item x="1013"/>
        <item x="755"/>
        <item x="866"/>
        <item x="14"/>
        <item x="782"/>
        <item x="301"/>
        <item x="854"/>
        <item x="829"/>
        <item x="1191"/>
        <item x="566"/>
        <item x="1116"/>
        <item x="1001"/>
        <item x="1153"/>
        <item x="1192"/>
        <item x="575"/>
        <item x="878"/>
        <item x="15"/>
        <item x="885"/>
        <item x="317"/>
        <item x="762"/>
        <item x="880"/>
        <item x="898"/>
        <item x="976"/>
        <item x="302"/>
        <item x="1099"/>
        <item x="396"/>
        <item x="1089"/>
        <item x="225"/>
        <item x="1102"/>
        <item x="504"/>
        <item x="1140"/>
        <item x="325"/>
        <item x="836"/>
        <item x="397"/>
        <item x="780"/>
        <item x="1157"/>
        <item x="910"/>
        <item x="760"/>
        <item x="1003"/>
        <item x="572"/>
        <item x="1014"/>
        <item x="905"/>
        <item x="677"/>
        <item x="856"/>
        <item x="828"/>
        <item x="2"/>
        <item x="318"/>
        <item x="281"/>
        <item x="670"/>
        <item x="567"/>
        <item x="881"/>
        <item x="153"/>
        <item x="1075"/>
        <item x="1169"/>
        <item x="916"/>
        <item x="1103"/>
        <item x="1061"/>
        <item x="561"/>
        <item x="1074"/>
        <item x="341"/>
        <item x="887"/>
        <item x="784"/>
        <item x="1064"/>
        <item x="125"/>
        <item x="336"/>
        <item x="387"/>
        <item x="36"/>
        <item x="137"/>
        <item x="906"/>
        <item x="761"/>
        <item x="1065"/>
        <item x="323"/>
        <item x="388"/>
        <item x="1059"/>
        <item x="476"/>
        <item x="748"/>
        <item x="373"/>
        <item x="477"/>
        <item x="310"/>
        <item x="576"/>
        <item x="482"/>
        <item x="113"/>
        <item x="311"/>
        <item x="1016"/>
        <item x="1039"/>
        <item x="775"/>
        <item x="562"/>
        <item x="195"/>
        <item x="447"/>
        <item x="574"/>
        <item x="293"/>
        <item x="140"/>
        <item x="100"/>
        <item x="102"/>
        <item x="1066"/>
        <item x="1107"/>
        <item x="605"/>
        <item x="13"/>
        <item x="712"/>
        <item x="145"/>
        <item x="505"/>
        <item x="719"/>
        <item x="391"/>
        <item x="119"/>
        <item x="185"/>
        <item x="115"/>
        <item x="172"/>
        <item x="116"/>
        <item x="1152"/>
        <item x="981"/>
        <item x="492"/>
        <item x="1134"/>
        <item x="121"/>
        <item x="174"/>
        <item x="702"/>
        <item x="312"/>
        <item x="730"/>
        <item x="893"/>
        <item x="737"/>
        <item x="118"/>
        <item x="171"/>
        <item x="1150"/>
        <item x="331"/>
        <item x="1185"/>
        <item x="342"/>
        <item x="478"/>
        <item x="392"/>
        <item x="722"/>
        <item x="101"/>
        <item x="484"/>
        <item x="606"/>
        <item x="188"/>
        <item x="135"/>
        <item x="475"/>
        <item x="731"/>
        <item x="173"/>
        <item x="732"/>
        <item x="685"/>
        <item x="678"/>
        <item x="326"/>
        <item x="1101"/>
        <item x="480"/>
        <item x="330"/>
        <item x="175"/>
        <item x="979"/>
        <item x="882"/>
        <item x="350"/>
        <item x="151"/>
        <item x="187"/>
        <item x="196"/>
        <item x="485"/>
        <item x="189"/>
        <item x="723"/>
        <item x="313"/>
        <item x="95"/>
        <item x="329"/>
        <item x="333"/>
        <item x="733"/>
        <item x="328"/>
        <item x="338"/>
        <item x="690"/>
        <item x="1132"/>
        <item x="315"/>
        <item x="1098"/>
        <item x="691"/>
        <item x="503"/>
        <item x="1035"/>
        <item x="734"/>
        <item x="479"/>
        <item x="227"/>
        <item x="693"/>
        <item x="1104"/>
        <item x="1211"/>
        <item x="152"/>
        <item x="1073"/>
        <item x="186"/>
        <item x="1052"/>
        <item x="994"/>
        <item x="1036"/>
        <item x="756"/>
        <item x="303"/>
        <item x="332"/>
        <item x="1142"/>
        <item x="327"/>
        <item x="695"/>
        <item x="481"/>
        <item x="686"/>
        <item x="914"/>
        <item x="679"/>
        <item x="483"/>
        <item x="692"/>
        <item x="1018"/>
        <item x="1072"/>
        <item x="764"/>
        <item x="768"/>
        <item x="340"/>
        <item x="299"/>
        <item x="727"/>
        <item x="568"/>
        <item x="578"/>
        <item x="792"/>
        <item x="1077"/>
        <item x="190"/>
        <item x="334"/>
        <item x="795"/>
        <item x="1"/>
        <item x="766"/>
        <item x="314"/>
        <item x="955"/>
        <item x="694"/>
        <item x="990"/>
        <item x="343"/>
        <item x="1203"/>
        <item x="797"/>
        <item x="1023"/>
        <item x="114"/>
        <item x="793"/>
        <item x="17"/>
        <item x="769"/>
        <item x="80"/>
        <item x="1122"/>
        <item x="796"/>
        <item x="783"/>
        <item x="671"/>
        <item x="765"/>
        <item x="1033"/>
        <item x="703"/>
        <item x="754"/>
        <item x="356"/>
        <item x="579"/>
        <item x="573"/>
        <item x="128"/>
        <item x="615"/>
        <item x="493"/>
        <item x="583"/>
        <item x="1195"/>
        <item x="789"/>
        <item x="587"/>
        <item x="767"/>
        <item x="377"/>
        <item x="584"/>
        <item x="794"/>
        <item x="1105"/>
        <item x="378"/>
        <item x="884"/>
        <item x="704"/>
        <item x="381"/>
        <item x="664"/>
        <item x="221"/>
        <item x="588"/>
        <item x="743"/>
        <item x="954"/>
        <item x="586"/>
        <item x="938"/>
        <item x="741"/>
        <item x="97"/>
        <item x="577"/>
        <item x="98"/>
        <item x="788"/>
        <item x="129"/>
        <item x="585"/>
        <item x="603"/>
        <item x="604"/>
        <item x="359"/>
        <item x="96"/>
        <item x="661"/>
        <item x="304"/>
        <item x="953"/>
        <item x="345"/>
        <item x="497"/>
        <item x="753"/>
        <item x="1037"/>
        <item x="716"/>
        <item x="778"/>
        <item x="1131"/>
        <item x="952"/>
        <item x="715"/>
        <item x="117"/>
        <item x="224"/>
        <item x="212"/>
        <item x="298"/>
        <item x="1210"/>
        <item x="959"/>
        <item x="894"/>
        <item x="564"/>
        <item x="803"/>
        <item x="736"/>
        <item x="951"/>
        <item x="841"/>
        <item x="1162"/>
        <item x="837"/>
        <item x="663"/>
        <item x="552"/>
        <item x="367"/>
        <item x="665"/>
        <item x="550"/>
        <item x="805"/>
        <item x="551"/>
        <item x="473"/>
        <item x="747"/>
        <item x="980"/>
        <item x="949"/>
        <item x="18"/>
        <item x="555"/>
        <item x="791"/>
        <item x="1164"/>
        <item x="120"/>
        <item x="950"/>
        <item x="956"/>
        <item x="948"/>
        <item x="804"/>
        <item x="1120"/>
        <item x="105"/>
        <item x="1148"/>
        <item x="683"/>
        <item x="106"/>
        <item x="937"/>
        <item x="1100"/>
        <item x="1093"/>
        <item x="104"/>
        <item x="596"/>
        <item x="838"/>
        <item x="355"/>
        <item x="921"/>
        <item x="947"/>
        <item x="933"/>
        <item x="1092"/>
        <item x="103"/>
        <item x="220"/>
        <item x="358"/>
        <item x="806"/>
        <item x="1196"/>
        <item x="1053"/>
        <item x="658"/>
        <item x="928"/>
        <item x="1209"/>
        <item x="1086"/>
        <item x="354"/>
        <item x="925"/>
        <item x="946"/>
        <item x="112"/>
        <item x="223"/>
        <item x="1176"/>
        <item x="107"/>
        <item x="1056"/>
        <item x="944"/>
        <item x="945"/>
        <item x="219"/>
        <item x="923"/>
        <item x="931"/>
        <item x="750"/>
        <item x="193"/>
        <item x="1026"/>
        <item x="991"/>
        <item x="1106"/>
        <item x="1205"/>
        <item x="1125"/>
        <item x="660"/>
        <item x="924"/>
        <item x="927"/>
        <item x="1206"/>
        <item x="498"/>
        <item x="563"/>
        <item x="1028"/>
        <item x="936"/>
        <item x="943"/>
        <item x="1062"/>
        <item x="9"/>
        <item x="915"/>
        <item x="222"/>
        <item x="1179"/>
        <item x="929"/>
        <item x="1177"/>
        <item x="1121"/>
        <item x="942"/>
        <item x="926"/>
        <item x="961"/>
        <item x="939"/>
        <item x="839"/>
        <item x="1070"/>
        <item x="376"/>
        <item x="941"/>
        <item x="940"/>
        <item x="208"/>
        <item x="874"/>
        <item x="357"/>
        <item x="353"/>
        <item x="872"/>
        <item x="1174"/>
        <item x="935"/>
        <item x="922"/>
        <item x="471"/>
        <item x="932"/>
        <item x="889"/>
        <item x="934"/>
        <item x="1137"/>
        <item x="960"/>
        <item x="815"/>
        <item x="1163"/>
        <item x="682"/>
        <item x="742"/>
        <item x="861"/>
        <item x="1091"/>
        <item x="1149"/>
        <item x="1017"/>
        <item x="777"/>
        <item x="130"/>
        <item x="1204"/>
        <item x="490"/>
        <item x="349"/>
        <item x="599"/>
        <item x="717"/>
        <item x="662"/>
        <item x="657"/>
        <item x="817"/>
        <item x="870"/>
        <item x="1186"/>
        <item x="751"/>
        <item x="300"/>
        <item x="816"/>
        <item x="860"/>
        <item x="319"/>
        <item x="320"/>
        <item x="739"/>
        <item x="177"/>
        <item x="1084"/>
        <item x="971"/>
        <item x="1175"/>
        <item x="684"/>
        <item x="602"/>
        <item x="709"/>
        <item x="601"/>
        <item x="375"/>
        <item x="3"/>
        <item x="1130"/>
        <item x="1165"/>
        <item x="873"/>
        <item x="598"/>
        <item x="659"/>
        <item x="600"/>
        <item x="1138"/>
        <item x="1044"/>
        <item x="1178"/>
        <item x="846"/>
        <item x="321"/>
        <item x="868"/>
        <item x="771"/>
        <item x="740"/>
        <item x="776"/>
        <item x="869"/>
        <item x="845"/>
        <item x="565"/>
        <item x="347"/>
        <item x="1187"/>
        <item x="284"/>
        <item x="81"/>
        <item x="1154"/>
        <item x="962"/>
        <item x="84"/>
        <item x="752"/>
        <item x="553"/>
        <item x="554"/>
        <item x="99"/>
        <item x="597"/>
        <item x="1045"/>
        <item x="1046"/>
        <item x="667"/>
        <item x="76"/>
        <item x="77"/>
        <item x="85"/>
        <item x="1054"/>
        <item x="83"/>
        <item x="74"/>
        <item x="79"/>
        <item x="590"/>
        <item x="801"/>
        <item x="1027"/>
        <item x="279"/>
        <item x="890"/>
        <item x="87"/>
        <item x="210"/>
        <item x="75"/>
        <item x="374"/>
        <item x="895"/>
        <item x="78"/>
        <item x="82"/>
        <item x="291"/>
        <item x="292"/>
        <item x="1049"/>
        <item x="288"/>
        <item x="847"/>
        <item x="1085"/>
        <item x="290"/>
        <item x="1040"/>
        <item x="1155"/>
        <item x="470"/>
        <item x="289"/>
        <item x="592"/>
        <item x="706"/>
        <item x="352"/>
        <item x="1071"/>
        <item x="744"/>
        <item x="213"/>
        <item x="368"/>
        <item x="295"/>
        <item x="1118"/>
        <item x="745"/>
        <item x="1020"/>
        <item x="919"/>
        <item x="864"/>
        <item x="1057"/>
        <item x="1055"/>
        <item x="1090"/>
        <item x="1069"/>
        <item x="735"/>
        <item x="1127"/>
        <item x="1156"/>
        <item x="348"/>
        <item x="888"/>
        <item x="1111"/>
        <item x="807"/>
        <item x="1024"/>
        <item x="749"/>
        <item x="983"/>
        <item x="1087"/>
        <item x="369"/>
        <item x="1180"/>
        <item x="383"/>
        <item x="226"/>
        <item x="918"/>
        <item x="127"/>
        <item x="834"/>
        <item x="1067"/>
        <item x="1129"/>
        <item x="830"/>
        <item x="930"/>
        <item x="832"/>
        <item x="297"/>
        <item x="294"/>
        <item x="1126"/>
        <item x="580"/>
        <item x="1050"/>
        <item x="790"/>
        <item x="770"/>
        <item x="697"/>
        <item x="982"/>
        <item x="800"/>
        <item x="365"/>
        <item x="811"/>
        <item x="0"/>
        <item x="835"/>
        <item x="989"/>
        <item x="351"/>
        <item x="957"/>
        <item x="984"/>
        <item x="1168"/>
        <item x="809"/>
        <item x="1095"/>
        <item x="859"/>
        <item x="1063"/>
        <item x="668"/>
        <item x="285"/>
        <item x="728"/>
        <item x="494"/>
        <item x="899"/>
        <item x="372"/>
        <item x="169"/>
        <item x="863"/>
        <item x="920"/>
        <item x="296"/>
        <item x="370"/>
        <item x="985"/>
        <item x="1088"/>
        <item x="696"/>
        <item x="987"/>
        <item x="109"/>
        <item x="833"/>
        <item x="1022"/>
        <item x="110"/>
        <item x="891"/>
        <item x="900"/>
        <item x="346"/>
        <item x="595"/>
        <item x="384"/>
        <item x="958"/>
        <item x="10"/>
        <item x="283"/>
        <item x="582"/>
        <item x="11"/>
        <item x="831"/>
        <item x="746"/>
        <item x="495"/>
        <item x="688"/>
        <item x="581"/>
        <item x="729"/>
        <item x="608"/>
        <item x="1021"/>
        <item x="799"/>
        <item x="1113"/>
        <item x="364"/>
        <item x="591"/>
        <item x="963"/>
        <item x="366"/>
        <item x="1097"/>
        <item x="862"/>
        <item x="1181"/>
        <item x="1025"/>
        <item x="176"/>
        <item x="496"/>
        <item x="738"/>
        <item x="474"/>
        <item x="858"/>
        <item x="1112"/>
        <item x="209"/>
        <item x="1051"/>
        <item x="609"/>
        <item x="500"/>
        <item x="487"/>
        <item x="548"/>
        <item x="282"/>
        <item x="707"/>
        <item x="708"/>
        <item x="1019"/>
        <item x="194"/>
        <item x="16"/>
        <item x="785"/>
        <item x="86"/>
        <item x="917"/>
        <item x="108"/>
        <item x="19"/>
        <item x="12"/>
        <item x="233"/>
        <item x="808"/>
        <item x="802"/>
        <item x="1167"/>
        <item x="798"/>
        <item x="710"/>
        <item x="362"/>
        <item x="986"/>
        <item x="689"/>
        <item x="988"/>
        <item x="611"/>
        <item x="705"/>
        <item x="236"/>
        <item x="612"/>
        <item x="610"/>
        <item x="593"/>
        <item x="972"/>
        <item x="235"/>
        <item x="547"/>
        <item x="489"/>
        <item x="993"/>
        <item x="594"/>
        <item x="451"/>
        <item x="1068"/>
        <item x="763"/>
        <item x="192"/>
        <item x="810"/>
        <item x="656"/>
        <item x="499"/>
        <item x="486"/>
        <item x="549"/>
        <item x="371"/>
        <item x="234"/>
        <item x="488"/>
        <item x="211"/>
        <item x="232"/>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t="default"/>
      </items>
    </pivotField>
    <pivotField name="inherited Category" compact="0" outline="0" multipleItemSelectionAllowed="1" showAll="0">
      <items>
        <item x="0"/>
        <item x="1"/>
        <item x="2"/>
        <item x="3"/>
        <item x="4"/>
        <item x="5"/>
        <item t="default"/>
      </items>
    </pivotField>
    <pivotField name="inherited Subcategory" compact="0" outline="0" multipleItemSelectionAllowed="1" showAll="0">
      <items>
        <item x="0"/>
        <item x="1"/>
        <item x="2"/>
        <item x="3"/>
        <item x="4"/>
        <item x="5"/>
        <item x="6"/>
        <item x="7"/>
        <item x="8"/>
        <item x="9"/>
        <item x="10"/>
        <item x="11"/>
        <item x="12"/>
        <item x="13"/>
        <item t="default"/>
      </items>
    </pivotField>
    <pivotField name="evaluated Category" axis="axisRow" compact="0" outline="0" multipleItemSelectionAllowed="1" showAll="0" sortType="ascending" defaultSubtotal="0">
      <items>
        <item x="5"/>
        <item x="0"/>
        <item x="4"/>
        <item x="2"/>
        <item x="1"/>
        <item x="3"/>
      </items>
    </pivotField>
    <pivotField name="evaluated Subcategory" axis="axisRow" compact="0" outline="0" multipleItemSelectionAllowed="1" showAll="0" sortType="ascending" defaultSubtotal="0">
      <items>
        <item x="19"/>
        <item x="7"/>
        <item x="12"/>
        <item x="13"/>
        <item x="17"/>
        <item x="15"/>
        <item x="1"/>
        <item x="10"/>
        <item x="6"/>
        <item x="11"/>
        <item x="5"/>
        <item x="14"/>
        <item x="16"/>
        <item x="4"/>
        <item x="9"/>
        <item x="2"/>
        <item x="18"/>
        <item x="8"/>
        <item x="0"/>
        <item x="3"/>
      </items>
    </pivotField>
  </pivotFields>
  <rowFields>
    <field x="0"/>
    <field x="8"/>
    <field x="4"/>
    <field x="9"/>
    <field x="14"/>
    <field x="15"/>
    <field x="3"/>
  </rowFields>
  <pageFields>
    <pageField fld="2"/>
  </pageFields>
</pivotTableDefinition>
</file>

<file path=xl/pivotTables/pivotTable7.xml><?xml version="1.0" encoding="utf-8"?>
<pivotTableDefinition xmlns="http://schemas.openxmlformats.org/spreadsheetml/2006/main" name="Referenda Pivots" cacheId="0" dataCaption="" compact="0" compactData="0">
  <location ref="A5:C11" firstHeaderRow="0" firstDataRow="2"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Row" compact="0" outline="0" multipleItemSelectionAllowed="1" showAll="0" sortType="ascending">
      <items>
        <item h="1" x="0"/>
        <item x="2"/>
        <item x="1"/>
        <item x="4"/>
        <item x="5"/>
        <item x="3"/>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9"/>
  </rowFields>
  <colFields>
    <field x="-2"/>
  </colFields>
  <pageFields>
    <pageField fld="2"/>
    <pageField fld="13"/>
  </pageFields>
  <dataFields>
    <dataField name="SUM of USD Last Update" fld="10" baseField="0"/>
    <dataField name="SUM of DOT" fld="3" baseField="0"/>
  </dataFields>
</pivotTableDefinition>
</file>

<file path=xl/pivotTables/pivotTable8.xml><?xml version="1.0" encoding="utf-8"?>
<pivotTableDefinition xmlns="http://schemas.openxmlformats.org/spreadsheetml/2006/main" name="Referenda Pivots 2" cacheId="0" dataCaption="" compact="0" compactData="0">
  <location ref="I6:K15" firstHeaderRow="0" firstDataRow="2"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9.xml><?xml version="1.0" encoding="utf-8"?>
<pivotTableDefinition xmlns="http://schemas.openxmlformats.org/spreadsheetml/2006/main" name="Referenda Pivots 3" cacheId="0" dataCaption="" compact="0" compactData="0">
  <location ref="N6:P14" firstHeaderRow="0" firstDataRow="2"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x="1"/>
        <item h="1" x="2"/>
        <item h="1" x="3"/>
        <item x="4"/>
        <item h="1"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0.xml><?xml version="1.0" encoding="utf-8"?>
<pivotTableDefinition xmlns="http://schemas.openxmlformats.org/spreadsheetml/2006/main" name="Referenda Pivots 4" cacheId="0" dataCaption="" compact="0" compactData="0">
  <location ref="S6:U14" firstHeaderRow="0" firstDataRow="2"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h="1" x="1"/>
        <item h="1" x="2"/>
        <item x="3"/>
        <item h="1"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1.xml><?xml version="1.0" encoding="utf-8"?>
<pivotTableDefinition xmlns="http://schemas.openxmlformats.org/spreadsheetml/2006/main" name="Referenda Pivots 5" cacheId="1" dataCaption="" compact="0" compactData="0">
  <location ref="X5:AA15" firstHeaderRow="0" firstDataRow="1" firstDataCol="1"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compact="0" outline="0" multipleItemSelectionAllowed="1" showAll="0">
      <items>
        <item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 name="half-years" axis="axisCol" compact="0" outline="0" multipleItemSelectionAllowed="1" showAll="0" sortType="ascending">
      <items>
        <item x="0"/>
        <item h="1" x="2"/>
        <item x="1"/>
        <item x="3"/>
        <item t="default"/>
      </items>
    </pivotField>
  </pivotFields>
  <rowFields>
    <field x="11"/>
  </rowFields>
  <colFields>
    <field x="21"/>
  </colFields>
  <pageFields>
    <pageField fld="2"/>
    <pageField fld="13"/>
  </pageFields>
  <dataFields>
    <dataField name="SUM of USD Last Update" fld="10" baseField="0"/>
  </dataFields>
</pivotTableDefinition>
</file>

<file path=xl/pivotTables/pivotTable12.xml><?xml version="1.0" encoding="utf-8"?>
<pivotTableDefinition xmlns="http://schemas.openxmlformats.org/spreadsheetml/2006/main" name="Referenda Pivots 6" cacheId="0" dataCaption="" compact="0" compactData="0">
  <location ref="AE5:AJ15" firstHeaderRow="0" firstDataRow="1" firstDataCol="1"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Col" compact="0" outline="0" multipleItemSelectionAllowed="1" showAll="0" sortType="ascending">
      <items>
        <item h="1" x="0"/>
        <item h="1" x="2"/>
        <item x="1"/>
        <item x="4"/>
        <item x="5"/>
        <item x="3"/>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rowFields>
  <colFields>
    <field x="19"/>
  </colFields>
  <pageFields>
    <pageField fld="2"/>
    <pageField fld="13"/>
  </pageFields>
  <dataFields>
    <dataField name="SUM of USD Last Update" fld="10" baseField="0"/>
  </dataFields>
</pivotTableDefinition>
</file>

<file path=xl/pivotTables/pivotTable13.xml><?xml version="1.0" encoding="utf-8"?>
<pivotTableDefinition xmlns="http://schemas.openxmlformats.org/spreadsheetml/2006/main" name="Referenda Pivots 7" cacheId="0" dataCaption="" compact="0" compactData="0">
  <location ref="A15:C29" firstHeaderRow="0" firstDataRow="2"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compact="0" outline="0" multipleItemSelectionAllowed="1" showAll="0">
      <items>
        <item x="0"/>
        <item x="1"/>
        <item x="2"/>
        <item x="3"/>
        <item x="4"/>
        <item x="5"/>
        <item x="6"/>
        <item x="7"/>
        <item t="default"/>
      </items>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x="1"/>
        <item x="2"/>
        <item x="3"/>
        <item x="4"/>
        <item x="5"/>
        <item t="default"/>
      </items>
    </pivotField>
    <pivotField name="year-month" axis="axisRow" compact="0" outline="0" multipleItemSelectionAllowed="1" showAll="0" sortType="ascending">
      <items>
        <item x="0"/>
        <item x="2"/>
        <item x="1"/>
        <item x="3"/>
        <item x="6"/>
        <item x="7"/>
        <item x="8"/>
        <item x="9"/>
        <item x="10"/>
        <item x="12"/>
        <item x="11"/>
        <item x="5"/>
        <item x="13"/>
        <item x="4"/>
        <item t="default"/>
      </items>
    </pivotField>
  </pivotFields>
  <rowFields>
    <field x="20"/>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4.xml><?xml version="1.0" encoding="utf-8"?>
<pivotTableDefinition xmlns="http://schemas.openxmlformats.org/spreadsheetml/2006/main" name="Referenda Pivots 8" cacheId="0" dataCaption="" compact="0" compactData="0">
  <location ref="I17:L79" firstHeaderRow="0" firstDataRow="3"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references>
            <reference field="4294967294">
              <x v="0"/>
            </reference>
          </references>
        </pivotArea>
      </autoSortScope>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field x="12"/>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5.xml><?xml version="1.0" encoding="utf-8"?>
<pivotTableDefinition xmlns="http://schemas.openxmlformats.org/spreadsheetml/2006/main" name="Referenda Pivots 9" cacheId="0" dataCaption="" compact="0" compactData="0">
  <location ref="N17:Q60" firstHeaderRow="0" firstDataRow="3"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references>
            <reference field="4294967294">
              <x v="0"/>
            </reference>
          </references>
        </pivotArea>
      </autoSortScope>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x="1"/>
        <item h="1" x="2"/>
        <item h="1" x="3"/>
        <item x="4"/>
        <item h="1"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field x="12"/>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6.xml><?xml version="1.0" encoding="utf-8"?>
<pivotTableDefinition xmlns="http://schemas.openxmlformats.org/spreadsheetml/2006/main" name="Referenda Pivots 10" cacheId="0" dataCaption="" compact="0" compactData="0">
  <location ref="S17:V68" firstHeaderRow="0" firstDataRow="3" firstDataCol="0" rowPageCount="3"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autoSortScope>
        <pivotArea>
          <references>
            <reference field="4294967294">
              <x v="0"/>
            </reference>
          </references>
        </pivotArea>
      </autoSortScope>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Page" compact="0" outline="0" multipleItemSelectionAllowed="1" showAll="0">
      <items>
        <item h="1" x="0"/>
        <item h="1" x="1"/>
        <item h="1" x="2"/>
        <item x="3"/>
        <item h="1"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1"/>
    <field x="12"/>
  </rowFields>
  <colFields>
    <field x="-2"/>
  </colFields>
  <pageFields>
    <pageField fld="2"/>
    <pageField fld="13"/>
    <pageField fld="19"/>
  </pageFields>
  <dataFields>
    <dataField name="SUM of USD Last Update" fld="10" baseField="0"/>
    <dataField name="SUM of DOT" fld="3" baseField="0"/>
  </dataFields>
</pivotTableDefinition>
</file>

<file path=xl/pivotTables/pivotTable17.xml><?xml version="1.0" encoding="utf-8"?>
<pivotTableDefinition xmlns="http://schemas.openxmlformats.org/spreadsheetml/2006/main" name="Referenda Pivots 11" cacheId="1" dataCaption="" compact="0" compactData="0">
  <location ref="X19:AA36"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compact="0" outline="0" multipleItemSelectionAllowed="1" showAll="0">
      <items>
        <item x="0"/>
        <item x="1"/>
        <item x="2"/>
        <item x="3"/>
        <item x="4"/>
        <item x="5"/>
        <item t="default"/>
      </items>
    </pivotField>
    <pivotField name="year-month" compact="0" outline="0" multipleItemSelectionAllowed="1" showAll="0">
      <items>
        <item x="0"/>
        <item x="1"/>
        <item x="2"/>
        <item x="3"/>
        <item x="4"/>
        <item x="5"/>
        <item x="6"/>
        <item x="7"/>
        <item x="8"/>
        <item x="9"/>
        <item x="10"/>
        <item x="11"/>
        <item x="12"/>
        <item x="13"/>
        <item t="default"/>
      </items>
    </pivotField>
    <pivotField name="half-years" axis="axisRow" compact="0" outline="0" multipleItemSelectionAllowed="1" showAll="0" sortType="ascending">
      <items>
        <item x="0"/>
        <item h="1" x="2"/>
        <item x="1"/>
        <item x="3"/>
        <item t="default"/>
      </items>
    </pivotField>
  </pivotFields>
  <rowFields>
    <field x="21"/>
    <field x="11"/>
  </rowFields>
  <colFields>
    <field x="-2"/>
  </colFields>
  <pageFields>
    <pageField fld="2"/>
    <pageField fld="13"/>
  </pageFields>
  <dataFields>
    <dataField name="SUM of USD Last Update" fld="10" baseField="0"/>
    <dataField name="SUM of DOT" fld="3" baseField="0"/>
  </dataFields>
</pivotTableDefinition>
</file>

<file path=xl/pivotTables/pivotTable18.xml><?xml version="1.0" encoding="utf-8"?>
<pivotTableDefinition xmlns="http://schemas.openxmlformats.org/spreadsheetml/2006/main" name="Referenda Pivots 12" cacheId="0" dataCaption="" compact="0" compactData="0">
  <location ref="AE19:AH49" firstHeaderRow="0" firstDataRow="3" firstDataCol="0" rowPageCount="2" colPageCount="1"/>
  <pivotFields>
    <pivotField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t="default"/>
      </items>
    </pivotField>
    <pivotField name="Status" axis="axisPage" compact="0" outline="0" multipleItemSelectionAllowed="1" showAll="0">
      <items>
        <item h="1" x="0"/>
        <item x="1"/>
        <item h="1" x="2"/>
        <item h="1" x="3"/>
        <item h="1" x="4"/>
        <item h="1" x="5"/>
        <item h="1" x="6"/>
        <item h="1" x="7"/>
        <item h="1" x="8"/>
        <item h="1" x="9"/>
        <item h="1" x="10"/>
        <item h="1" x="11"/>
        <item t="default"/>
      </items>
    </pivotField>
    <pivotField name="DO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USD Propose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rack" compact="0" outline="0" multipleItemSelectionAllowed="1" showAll="0">
      <items>
        <item x="0"/>
        <item x="1"/>
        <item x="2"/>
        <item x="3"/>
        <item x="4"/>
        <item x="5"/>
        <item x="6"/>
        <item x="7"/>
        <item x="8"/>
        <item x="9"/>
        <item x="10"/>
        <item x="11"/>
        <item x="12"/>
        <item x="13"/>
        <item x="14"/>
        <item x="15"/>
        <item x="16"/>
        <item t="default"/>
      </items>
    </pivotField>
    <pivotField name="AYE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t="default"/>
      </items>
    </pivotField>
    <pivotField name="NAYs"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t="default"/>
      </items>
    </pivotField>
    <pivotField name="Propose 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t="default"/>
      </items>
    </pivotField>
    <pivotField name="Last Up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t="default"/>
      </items>
    </pivotField>
    <pivotField name="USD Last Up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t="default"/>
      </items>
    </pivotField>
    <pivotField name="Category"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hide from income statement (represented via child bounties and/or via the balance sheet)" axis="axisPage" compact="0" outline="0" multipleItemSelectionAllowed="1" showAll="0">
      <items>
        <item x="0"/>
        <item h="1" x="1"/>
        <item t="default"/>
      </items>
    </pivotField>
    <pivotField name="bounty-related" compact="0" outline="0" multipleItemSelectionAllowed="1" showAll="0">
      <items>
        <item x="0"/>
        <item x="1"/>
        <item t="default"/>
      </items>
    </pivotField>
    <pivotField name="recurring" compact="0" outline="0" multipleItemSelectionAllowed="1" showAll="0">
      <items>
        <item x="0"/>
        <item x="1"/>
        <item t="default"/>
      </items>
    </pivotField>
    <pivotField name="Notes" compact="0" outline="0" multipleItemSelectionAllowed="1" showAll="0">
      <items>
        <item x="0"/>
        <item x="1"/>
        <item x="2"/>
        <item t="default"/>
      </items>
    </pivotField>
    <pivotField name="year" compact="0" outline="0" multipleItemSelectionAllowed="1" showAll="0">
      <items>
        <item x="0"/>
        <item x="1"/>
        <item x="2"/>
        <item t="default"/>
      </items>
    </pivotField>
    <pivotField name="month" compact="0" outline="0" multipleItemSelectionAllowed="1" showAll="0">
      <items>
        <item x="0"/>
        <item x="1"/>
        <item x="2"/>
        <item x="3"/>
        <item x="4"/>
        <item x="5"/>
        <item x="6"/>
        <item x="7"/>
        <item x="8"/>
        <item x="9"/>
        <item x="10"/>
        <item x="11"/>
        <item x="12"/>
        <item t="default"/>
      </items>
    </pivotField>
    <pivotField name="quarter" axis="axisRow" compact="0" outline="0" multipleItemSelectionAllowed="1" showAll="0" sortType="ascending">
      <items>
        <item h="1" x="0"/>
        <item h="1" x="2"/>
        <item x="1"/>
        <item x="4"/>
        <item x="5"/>
        <item x="3"/>
        <item t="default"/>
      </items>
    </pivotField>
    <pivotField name="year-month" compact="0" outline="0" multipleItemSelectionAllowed="1" showAll="0">
      <items>
        <item x="0"/>
        <item x="1"/>
        <item x="2"/>
        <item x="3"/>
        <item x="4"/>
        <item x="5"/>
        <item x="6"/>
        <item x="7"/>
        <item x="8"/>
        <item x="9"/>
        <item x="10"/>
        <item x="11"/>
        <item x="12"/>
        <item x="13"/>
        <item t="default"/>
      </items>
    </pivotField>
  </pivotFields>
  <rowFields>
    <field x="19"/>
    <field x="11"/>
  </rowFields>
  <colFields>
    <field x="-2"/>
  </colFields>
  <pageFields>
    <pageField fld="2"/>
    <pageField fld="13"/>
  </pageFields>
  <dataFields>
    <dataField name="SUM of USD Last Update" fld="10" baseField="0"/>
    <dataField name="SUM of DOT" fld="3" baseField="0"/>
  </dataFields>
</pivotTableDefinition>
</file>

<file path=xl/pivotTables/pivotTable19.xml><?xml version="1.0" encoding="utf-8"?>
<pivotTableDefinition xmlns="http://schemas.openxmlformats.org/spreadsheetml/2006/main" name="Parity Data" cacheId="4" dataCaption="" createdVersion="6" compact="0" compactData="0">
  <location ref="E4:J19" firstHeaderRow="0" firstDataRow="1" firstDataCol="1" rowPageCount="1" colPageCount="1"/>
  <pivotFields>
    <pivotField name="month" axis="axisRow" compact="0" numFmtId="169" outline="0" multipleItemSelectionAllowed="1" showAll="0" sortType="ascending">
      <items>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type" axis="axisCol" compact="0" outline="0" multipleItemSelectionAllowed="1" showAll="0" sortType="ascending">
      <items>
        <item x="8"/>
        <item x="4"/>
        <item x="5"/>
        <item x="0"/>
        <item x="1"/>
        <item x="2"/>
        <item x="6"/>
        <item x="7"/>
        <item x="3"/>
        <item t="default"/>
      </items>
    </pivotField>
    <pivotField name="net_flows_dot"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t="default"/>
      </items>
    </pivotField>
  </pivotFields>
  <rowFields>
    <field x="0"/>
  </rowFields>
  <colFields>
    <field x="1"/>
  </colFields>
  <pageFields>
    <pageField fld="2"/>
  </pageFields>
  <dataFields>
    <dataField name="SUM of net_flows_dot" fld="2" baseField="0"/>
  </dataFields>
  <filters>
    <filter fld="0" type="captionGreaterThanOrEqual" evalOrder="-1" id="1" stringValue1="2023-06">
      <autoFilter ref="A1">
        <filterColumn colId="0">
          <customFilters>
            <customFilter operator="greaterThanOrEqual" val="2023-06"/>
          </customFilters>
        </filterColumn>
      </autoFilter>
    </filter>
    <filter fld="2" type="captionGreaterThanOrEqual" evalOrder="-1" id="2" stringValue1="0">
      <autoFilter ref="A1">
        <filterColumn colId="0">
          <customFilters>
            <customFilter operator="greaterThanOrEqual" val="0"/>
          </customFilters>
        </filterColumn>
      </autoFilter>
    </filter>
  </filters>
</pivotTableDefinition>
</file>

<file path=xl/pivotTables/pivotTable20.xml><?xml version="1.0" encoding="utf-8"?>
<pivotTableDefinition xmlns="http://schemas.openxmlformats.org/spreadsheetml/2006/main" name="Parity Data 2" cacheId="4" dataCaption="" createdVersion="6" compact="0" compactData="0">
  <location ref="E21:K36" firstHeaderRow="0" firstDataRow="1" firstDataCol="1" rowPageCount="1" colPageCount="1"/>
  <pivotFields>
    <pivotField name="month" axis="axisRow" compact="0" numFmtId="169" outline="0" multipleItemSelectionAllowed="1" showAll="0" sortType="ascending">
      <items>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type" axis="axisCol" compact="0" outline="0" multipleItemSelectionAllowed="1" showAll="0" sortType="ascending">
      <items>
        <item x="8"/>
        <item x="4"/>
        <item x="5"/>
        <item x="0"/>
        <item x="1"/>
        <item x="2"/>
        <item x="6"/>
        <item x="7"/>
        <item x="3"/>
        <item t="default"/>
      </items>
    </pivotField>
    <pivotField name="net_flows_dot"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t="default"/>
      </items>
    </pivotField>
  </pivotFields>
  <rowFields>
    <field x="0"/>
  </rowFields>
  <colFields>
    <field x="1"/>
  </colFields>
  <pageFields>
    <pageField fld="2"/>
  </pageFields>
  <dataFields>
    <dataField name="SUM of net_flows_dot" fld="2" baseField="0"/>
  </dataFields>
  <filters>
    <filter fld="0" type="captionGreaterThanOrEqual" evalOrder="-1" id="1" stringValue1="2023-06">
      <autoFilter ref="A1">
        <filterColumn colId="0">
          <customFilters>
            <customFilter operator="greaterThanOrEqual" val="2023-06"/>
          </customFilters>
        </filterColumn>
      </autoFilter>
    </filter>
    <filter fld="2" type="captionLessThanOrEqual" evalOrder="-1" id="2" stringValue1="0">
      <autoFilter ref="A1">
        <filterColumn colId="0">
          <customFilters>
            <customFilter operator="lessThanOrEqual" val="0"/>
          </customFilters>
        </filterColumn>
      </autoFilter>
    </filter>
  </filters>
</pivotTableDefinition>
</file>

<file path=xl/tables/table1.xml><?xml version="1.0" encoding="utf-8"?>
<table xmlns="http://schemas.openxmlformats.org/spreadsheetml/2006/main" headerRowCount="0" ref="A1:N798"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Detail90-Bounty-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N29"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Detail86-Development-Bounty-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olkadot.subscan.io/account/13UVJyLnbVp9RBZYFwFGyDvVd1y27Tt8tkntv6Q7JVPhFsTB" TargetMode="External"/><Relationship Id="rId2" Type="http://schemas.openxmlformats.org/officeDocument/2006/relationships/hyperlink" Target="https://assethub-polkadot.subscan.io/account/14xmwinmCEz6oRrFdczHKqHgWNMiCysE2KrA4jXXAAM1Eogk?tab=transfer" TargetMode="External"/><Relationship Id="rId3" Type="http://schemas.openxmlformats.org/officeDocument/2006/relationships/hyperlink" Target="https://assethub-polkadot.subscan.io/account/13w7NdvSR1Af8xsQTArDtZmVvjE8XhWNdL4yed3iFHrUNCnS?tab=transfer" TargetMode="External"/><Relationship Id="rId4" Type="http://schemas.openxmlformats.org/officeDocument/2006/relationships/hyperlink" Target="https://hydration.subscan.io/account/7LcF8b5GSvajXkSChhoMFcGDxF9Yn9unRDceZj1Q6NYox8HY" TargetMode="External"/><Relationship Id="rId5" Type="http://schemas.openxmlformats.org/officeDocument/2006/relationships/hyperlink" Target="https://hydration.subscan.io/account/7KQx4f7yU3hqZHfvDVnSfe6mpgAT8Pxyr67LXHV6nsbZo3Tm?tab=transfer"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92" Type="http://schemas.openxmlformats.org/officeDocument/2006/relationships/hyperlink" Target="https://polkadot.subsquare.io/treasury/child-bounties/8" TargetMode="External"/><Relationship Id="rId391" Type="http://schemas.openxmlformats.org/officeDocument/2006/relationships/hyperlink" Target="https://polkadot.subsquare.io/treasury/child-bounties/7" TargetMode="External"/><Relationship Id="rId390" Type="http://schemas.openxmlformats.org/officeDocument/2006/relationships/hyperlink" Target="https://polkadot.subsquare.io/treasury/child-bounties/6" TargetMode="External"/><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hyperlink" Target="https://polkadot.subsquare.io/referenda/4" TargetMode="External"/><Relationship Id="rId4" Type="http://schemas.openxmlformats.org/officeDocument/2006/relationships/hyperlink" Target="https://polkadot.subsquare.io/referenda/5" TargetMode="External"/><Relationship Id="rId9" Type="http://schemas.openxmlformats.org/officeDocument/2006/relationships/hyperlink" Target="https://polkadot.subsquare.io/referenda/15" TargetMode="External"/><Relationship Id="rId385" Type="http://schemas.openxmlformats.org/officeDocument/2006/relationships/hyperlink" Target="https://polkadot.subsquare.io/treasury/child-bounties/1" TargetMode="External"/><Relationship Id="rId384" Type="http://schemas.openxmlformats.org/officeDocument/2006/relationships/hyperlink" Target="https://polkadot.subsquare.io/treasury/child-bounties/0" TargetMode="External"/><Relationship Id="rId383" Type="http://schemas.openxmlformats.org/officeDocument/2006/relationships/hyperlink" Target="https://polkadot.subsquare.io/referenda/904" TargetMode="External"/><Relationship Id="rId382" Type="http://schemas.openxmlformats.org/officeDocument/2006/relationships/hyperlink" Target="https://polkadot.subsquare.io/referenda/865" TargetMode="External"/><Relationship Id="rId5" Type="http://schemas.openxmlformats.org/officeDocument/2006/relationships/hyperlink" Target="https://polkadot.subsquare.io/referenda/6" TargetMode="External"/><Relationship Id="rId389" Type="http://schemas.openxmlformats.org/officeDocument/2006/relationships/hyperlink" Target="https://polkadot.subsquare.io/treasury/child-bounties/5" TargetMode="External"/><Relationship Id="rId6" Type="http://schemas.openxmlformats.org/officeDocument/2006/relationships/hyperlink" Target="https://polkadot.subsquare.io/referenda/8" TargetMode="External"/><Relationship Id="rId388" Type="http://schemas.openxmlformats.org/officeDocument/2006/relationships/hyperlink" Target="https://polkadot.subsquare.io/treasury/child-bounties/4" TargetMode="External"/><Relationship Id="rId7" Type="http://schemas.openxmlformats.org/officeDocument/2006/relationships/hyperlink" Target="https://polkadot.subsquare.io/referenda/13" TargetMode="External"/><Relationship Id="rId387" Type="http://schemas.openxmlformats.org/officeDocument/2006/relationships/hyperlink" Target="https://polkadot.subsquare.io/treasury/child-bounties/3" TargetMode="External"/><Relationship Id="rId8" Type="http://schemas.openxmlformats.org/officeDocument/2006/relationships/hyperlink" Target="https://polkadot.subsquare.io/referenda/14" TargetMode="External"/><Relationship Id="rId386" Type="http://schemas.openxmlformats.org/officeDocument/2006/relationships/hyperlink" Target="https://polkadot.subsquare.io/treasury/child-bounties/2" TargetMode="External"/><Relationship Id="rId381" Type="http://schemas.openxmlformats.org/officeDocument/2006/relationships/hyperlink" Target="https://polkadot.subsquare.io/referenda/856" TargetMode="External"/><Relationship Id="rId380" Type="http://schemas.openxmlformats.org/officeDocument/2006/relationships/hyperlink" Target="https://polkadot.subsquare.io/referenda/848" TargetMode="External"/><Relationship Id="rId379" Type="http://schemas.openxmlformats.org/officeDocument/2006/relationships/hyperlink" Target="https://polkadot.subsquare.io/referenda/842" TargetMode="External"/><Relationship Id="rId374" Type="http://schemas.openxmlformats.org/officeDocument/2006/relationships/hyperlink" Target="https://polkadot.subsquare.io/referenda/812" TargetMode="External"/><Relationship Id="rId373" Type="http://schemas.openxmlformats.org/officeDocument/2006/relationships/hyperlink" Target="https://polkadot.subsquare.io/referenda/809" TargetMode="External"/><Relationship Id="rId372" Type="http://schemas.openxmlformats.org/officeDocument/2006/relationships/hyperlink" Target="https://polkadot.subsquare.io/referenda/803" TargetMode="External"/><Relationship Id="rId371" Type="http://schemas.openxmlformats.org/officeDocument/2006/relationships/hyperlink" Target="https://polkadot.subsquare.io/referenda/799" TargetMode="External"/><Relationship Id="rId378" Type="http://schemas.openxmlformats.org/officeDocument/2006/relationships/hyperlink" Target="https://polkadot.subsquare.io/referenda/827" TargetMode="External"/><Relationship Id="rId377" Type="http://schemas.openxmlformats.org/officeDocument/2006/relationships/hyperlink" Target="https://polkadot.subsquare.io/referenda/821" TargetMode="External"/><Relationship Id="rId376" Type="http://schemas.openxmlformats.org/officeDocument/2006/relationships/hyperlink" Target="https://polkadot.subsquare.io/referenda/818" TargetMode="External"/><Relationship Id="rId375" Type="http://schemas.openxmlformats.org/officeDocument/2006/relationships/hyperlink" Target="https://polkadot.subsquare.io/referenda/816" TargetMode="External"/><Relationship Id="rId396" Type="http://schemas.openxmlformats.org/officeDocument/2006/relationships/hyperlink" Target="https://polkadot.subsquare.io/treasury/child-bounties/12" TargetMode="External"/><Relationship Id="rId395" Type="http://schemas.openxmlformats.org/officeDocument/2006/relationships/hyperlink" Target="https://polkadot.subsquare.io/treasury/child-bounties/11" TargetMode="External"/><Relationship Id="rId394" Type="http://schemas.openxmlformats.org/officeDocument/2006/relationships/hyperlink" Target="https://polkadot.subsquare.io/treasury/child-bounties/10" TargetMode="External"/><Relationship Id="rId393" Type="http://schemas.openxmlformats.org/officeDocument/2006/relationships/hyperlink" Target="https://polkadot.subsquare.io/treasury/child-bounties/9" TargetMode="External"/><Relationship Id="rId399" Type="http://schemas.openxmlformats.org/officeDocument/2006/relationships/hyperlink" Target="https://polkadot.subsquare.io/treasury/child-bounties/15" TargetMode="External"/><Relationship Id="rId398" Type="http://schemas.openxmlformats.org/officeDocument/2006/relationships/hyperlink" Target="https://polkadot.subsquare.io/treasury/child-bounties/14" TargetMode="External"/><Relationship Id="rId397" Type="http://schemas.openxmlformats.org/officeDocument/2006/relationships/hyperlink" Target="https://polkadot.subsquare.io/treasury/child-bounties/13" TargetMode="External"/><Relationship Id="rId808" Type="http://schemas.openxmlformats.org/officeDocument/2006/relationships/hyperlink" Target="https://polkadot.subsquare.io/treasury/child-bounties/446" TargetMode="External"/><Relationship Id="rId807" Type="http://schemas.openxmlformats.org/officeDocument/2006/relationships/hyperlink" Target="https://polkadot.subsquare.io/treasury/child-bounties/445" TargetMode="External"/><Relationship Id="rId806" Type="http://schemas.openxmlformats.org/officeDocument/2006/relationships/hyperlink" Target="https://polkadot.subsquare.io/treasury/child-bounties/444" TargetMode="External"/><Relationship Id="rId805" Type="http://schemas.openxmlformats.org/officeDocument/2006/relationships/hyperlink" Target="https://polkadot.subsquare.io/treasury/child-bounties/443" TargetMode="External"/><Relationship Id="rId809" Type="http://schemas.openxmlformats.org/officeDocument/2006/relationships/hyperlink" Target="https://polkadot.subsquare.io/treasury/child-bounties/447" TargetMode="External"/><Relationship Id="rId800" Type="http://schemas.openxmlformats.org/officeDocument/2006/relationships/hyperlink" Target="https://polkadot.subsquare.io/treasury/child-bounties/438" TargetMode="External"/><Relationship Id="rId804" Type="http://schemas.openxmlformats.org/officeDocument/2006/relationships/hyperlink" Target="https://polkadot.subsquare.io/treasury/child-bounties/442" TargetMode="External"/><Relationship Id="rId803" Type="http://schemas.openxmlformats.org/officeDocument/2006/relationships/hyperlink" Target="https://polkadot.subsquare.io/treasury/child-bounties/441" TargetMode="External"/><Relationship Id="rId802" Type="http://schemas.openxmlformats.org/officeDocument/2006/relationships/hyperlink" Target="https://polkadot.subsquare.io/treasury/child-bounties/440" TargetMode="External"/><Relationship Id="rId801" Type="http://schemas.openxmlformats.org/officeDocument/2006/relationships/hyperlink" Target="https://polkadot.subsquare.io/treasury/child-bounties/439" TargetMode="External"/><Relationship Id="rId40" Type="http://schemas.openxmlformats.org/officeDocument/2006/relationships/hyperlink" Target="https://polkadot.subsquare.io/referenda/93" TargetMode="External"/><Relationship Id="rId1334" Type="http://schemas.openxmlformats.org/officeDocument/2006/relationships/hyperlink" Target="https://polkadot.subsquare.io/treasury/child-bounties/999" TargetMode="External"/><Relationship Id="rId1335" Type="http://schemas.openxmlformats.org/officeDocument/2006/relationships/hyperlink" Target="https://polkadot.subsquare.io/treasury/child-bounties/1000" TargetMode="External"/><Relationship Id="rId42" Type="http://schemas.openxmlformats.org/officeDocument/2006/relationships/hyperlink" Target="https://polkadot.subsquare.io/referenda/95" TargetMode="External"/><Relationship Id="rId1336" Type="http://schemas.openxmlformats.org/officeDocument/2006/relationships/hyperlink" Target="https://polkadot.subsquare.io/treasury/child-bounties/1002" TargetMode="External"/><Relationship Id="rId41" Type="http://schemas.openxmlformats.org/officeDocument/2006/relationships/hyperlink" Target="https://polkadot.subsquare.io/referenda/94" TargetMode="External"/><Relationship Id="rId1337" Type="http://schemas.openxmlformats.org/officeDocument/2006/relationships/hyperlink" Target="https://polkadot.subsquare.io/treasury/child-bounties/1003" TargetMode="External"/><Relationship Id="rId44" Type="http://schemas.openxmlformats.org/officeDocument/2006/relationships/hyperlink" Target="https://polkadot.subsquare.io/referenda/98" TargetMode="External"/><Relationship Id="rId1338" Type="http://schemas.openxmlformats.org/officeDocument/2006/relationships/hyperlink" Target="https://polkadot.subsquare.io/treasury/child-bounties/1004" TargetMode="External"/><Relationship Id="rId43" Type="http://schemas.openxmlformats.org/officeDocument/2006/relationships/hyperlink" Target="https://polkadot.subsquare.io/referenda/97" TargetMode="External"/><Relationship Id="rId1339" Type="http://schemas.openxmlformats.org/officeDocument/2006/relationships/hyperlink" Target="https://polkadot.subsquare.io/treasury/child-bounties/1005" TargetMode="External"/><Relationship Id="rId46" Type="http://schemas.openxmlformats.org/officeDocument/2006/relationships/hyperlink" Target="https://polkadot.subsquare.io/referenda/103" TargetMode="External"/><Relationship Id="rId45" Type="http://schemas.openxmlformats.org/officeDocument/2006/relationships/hyperlink" Target="https://polkadot.subsquare.io/referenda/100" TargetMode="External"/><Relationship Id="rId745" Type="http://schemas.openxmlformats.org/officeDocument/2006/relationships/hyperlink" Target="https://polkadot.subsquare.io/treasury/child-bounties/375" TargetMode="External"/><Relationship Id="rId744" Type="http://schemas.openxmlformats.org/officeDocument/2006/relationships/hyperlink" Target="https://polkadot.subsquare.io/treasury/child-bounties/374" TargetMode="External"/><Relationship Id="rId743" Type="http://schemas.openxmlformats.org/officeDocument/2006/relationships/hyperlink" Target="https://polkadot.subsquare.io/treasury/child-bounties/373" TargetMode="External"/><Relationship Id="rId742" Type="http://schemas.openxmlformats.org/officeDocument/2006/relationships/hyperlink" Target="https://polkadot.subsquare.io/treasury/child-bounties/372" TargetMode="External"/><Relationship Id="rId749" Type="http://schemas.openxmlformats.org/officeDocument/2006/relationships/hyperlink" Target="https://polkadot.subsquare.io/treasury/child-bounties/379" TargetMode="External"/><Relationship Id="rId748" Type="http://schemas.openxmlformats.org/officeDocument/2006/relationships/hyperlink" Target="https://polkadot.subsquare.io/treasury/child-bounties/378" TargetMode="External"/><Relationship Id="rId747" Type="http://schemas.openxmlformats.org/officeDocument/2006/relationships/hyperlink" Target="https://polkadot.subsquare.io/treasury/child-bounties/377" TargetMode="External"/><Relationship Id="rId746" Type="http://schemas.openxmlformats.org/officeDocument/2006/relationships/hyperlink" Target="https://polkadot.subsquare.io/treasury/child-bounties/376" TargetMode="External"/><Relationship Id="rId48" Type="http://schemas.openxmlformats.org/officeDocument/2006/relationships/hyperlink" Target="https://polkadot.subsquare.io/referenda/108" TargetMode="External"/><Relationship Id="rId47" Type="http://schemas.openxmlformats.org/officeDocument/2006/relationships/hyperlink" Target="https://polkadot.subsquare.io/referenda/105" TargetMode="External"/><Relationship Id="rId49" Type="http://schemas.openxmlformats.org/officeDocument/2006/relationships/hyperlink" Target="https://polkadot.subsquare.io/referenda/112" TargetMode="External"/><Relationship Id="rId741" Type="http://schemas.openxmlformats.org/officeDocument/2006/relationships/hyperlink" Target="https://polkadot.subsquare.io/treasury/child-bounties/371" TargetMode="External"/><Relationship Id="rId1330" Type="http://schemas.openxmlformats.org/officeDocument/2006/relationships/hyperlink" Target="https://polkadot.subsquare.io/treasury/child-bounties/994" TargetMode="External"/><Relationship Id="rId740" Type="http://schemas.openxmlformats.org/officeDocument/2006/relationships/hyperlink" Target="https://polkadot.subsquare.io/treasury/child-bounties/370" TargetMode="External"/><Relationship Id="rId1331" Type="http://schemas.openxmlformats.org/officeDocument/2006/relationships/hyperlink" Target="https://polkadot.subsquare.io/treasury/child-bounties/995" TargetMode="External"/><Relationship Id="rId1332" Type="http://schemas.openxmlformats.org/officeDocument/2006/relationships/hyperlink" Target="https://polkadot.subsquare.io/treasury/child-bounties/996" TargetMode="External"/><Relationship Id="rId1333" Type="http://schemas.openxmlformats.org/officeDocument/2006/relationships/hyperlink" Target="https://polkadot.subsquare.io/treasury/child-bounties/997" TargetMode="External"/><Relationship Id="rId1323" Type="http://schemas.openxmlformats.org/officeDocument/2006/relationships/hyperlink" Target="https://polkadot.subsquare.io/treasury/child-bounties/987" TargetMode="External"/><Relationship Id="rId1324" Type="http://schemas.openxmlformats.org/officeDocument/2006/relationships/hyperlink" Target="https://polkadot.subsquare.io/treasury/child-bounties/988" TargetMode="External"/><Relationship Id="rId31" Type="http://schemas.openxmlformats.org/officeDocument/2006/relationships/hyperlink" Target="https://polkadot.subsquare.io/referenda/68" TargetMode="External"/><Relationship Id="rId1325" Type="http://schemas.openxmlformats.org/officeDocument/2006/relationships/hyperlink" Target="https://polkadot.subsquare.io/treasury/child-bounties/989" TargetMode="External"/><Relationship Id="rId30" Type="http://schemas.openxmlformats.org/officeDocument/2006/relationships/hyperlink" Target="https://polkadot.subsquare.io/referenda/62" TargetMode="External"/><Relationship Id="rId1326" Type="http://schemas.openxmlformats.org/officeDocument/2006/relationships/hyperlink" Target="https://polkadot.subsquare.io/treasury/child-bounties/990" TargetMode="External"/><Relationship Id="rId33" Type="http://schemas.openxmlformats.org/officeDocument/2006/relationships/hyperlink" Target="https://polkadot.subsquare.io/referenda/73" TargetMode="External"/><Relationship Id="rId1327" Type="http://schemas.openxmlformats.org/officeDocument/2006/relationships/hyperlink" Target="https://polkadot.subsquare.io/treasury/child-bounties/991" TargetMode="External"/><Relationship Id="rId32" Type="http://schemas.openxmlformats.org/officeDocument/2006/relationships/hyperlink" Target="https://polkadot.subsquare.io/referenda/72" TargetMode="External"/><Relationship Id="rId1328" Type="http://schemas.openxmlformats.org/officeDocument/2006/relationships/hyperlink" Target="https://polkadot.subsquare.io/treasury/child-bounties/992" TargetMode="External"/><Relationship Id="rId35" Type="http://schemas.openxmlformats.org/officeDocument/2006/relationships/hyperlink" Target="https://polkadot.subsquare.io/referenda/79" TargetMode="External"/><Relationship Id="rId1329" Type="http://schemas.openxmlformats.org/officeDocument/2006/relationships/hyperlink" Target="https://polkadot.subsquare.io/treasury/child-bounties/993" TargetMode="External"/><Relationship Id="rId34" Type="http://schemas.openxmlformats.org/officeDocument/2006/relationships/hyperlink" Target="https://polkadot.subsquare.io/referenda/77" TargetMode="External"/><Relationship Id="rId739" Type="http://schemas.openxmlformats.org/officeDocument/2006/relationships/hyperlink" Target="https://polkadot.subsquare.io/treasury/child-bounties/365" TargetMode="External"/><Relationship Id="rId734" Type="http://schemas.openxmlformats.org/officeDocument/2006/relationships/hyperlink" Target="https://polkadot.subsquare.io/treasury/child-bounties/360" TargetMode="External"/><Relationship Id="rId733" Type="http://schemas.openxmlformats.org/officeDocument/2006/relationships/hyperlink" Target="https://polkadot.subsquare.io/treasury/child-bounties/359" TargetMode="External"/><Relationship Id="rId732" Type="http://schemas.openxmlformats.org/officeDocument/2006/relationships/hyperlink" Target="https://polkadot.subsquare.io/treasury/child-bounties/358" TargetMode="External"/><Relationship Id="rId731" Type="http://schemas.openxmlformats.org/officeDocument/2006/relationships/hyperlink" Target="https://polkadot.subsquare.io/treasury/child-bounties/357" TargetMode="External"/><Relationship Id="rId738" Type="http://schemas.openxmlformats.org/officeDocument/2006/relationships/hyperlink" Target="https://polkadot.subsquare.io/treasury/child-bounties/364" TargetMode="External"/><Relationship Id="rId737" Type="http://schemas.openxmlformats.org/officeDocument/2006/relationships/hyperlink" Target="https://polkadot.subsquare.io/treasury/child-bounties/363" TargetMode="External"/><Relationship Id="rId736" Type="http://schemas.openxmlformats.org/officeDocument/2006/relationships/hyperlink" Target="https://polkadot.subsquare.io/treasury/child-bounties/362" TargetMode="External"/><Relationship Id="rId735" Type="http://schemas.openxmlformats.org/officeDocument/2006/relationships/hyperlink" Target="https://polkadot.subsquare.io/treasury/child-bounties/361" TargetMode="External"/><Relationship Id="rId37" Type="http://schemas.openxmlformats.org/officeDocument/2006/relationships/hyperlink" Target="https://polkadot.subsquare.io/referenda/83" TargetMode="External"/><Relationship Id="rId36" Type="http://schemas.openxmlformats.org/officeDocument/2006/relationships/hyperlink" Target="https://polkadot.subsquare.io/referenda/82" TargetMode="External"/><Relationship Id="rId39" Type="http://schemas.openxmlformats.org/officeDocument/2006/relationships/hyperlink" Target="https://polkadot.subsquare.io/referenda/90" TargetMode="External"/><Relationship Id="rId38" Type="http://schemas.openxmlformats.org/officeDocument/2006/relationships/hyperlink" Target="https://polkadot.subsquare.io/referenda/85" TargetMode="External"/><Relationship Id="rId730" Type="http://schemas.openxmlformats.org/officeDocument/2006/relationships/hyperlink" Target="https://polkadot.subsquare.io/treasury/child-bounties/356" TargetMode="External"/><Relationship Id="rId1320" Type="http://schemas.openxmlformats.org/officeDocument/2006/relationships/hyperlink" Target="https://polkadot.subsquare.io/treasury/child-bounties/984" TargetMode="External"/><Relationship Id="rId1321" Type="http://schemas.openxmlformats.org/officeDocument/2006/relationships/hyperlink" Target="https://polkadot.subsquare.io/treasury/child-bounties/985" TargetMode="External"/><Relationship Id="rId1322" Type="http://schemas.openxmlformats.org/officeDocument/2006/relationships/hyperlink" Target="https://polkadot.subsquare.io/treasury/child-bounties/986" TargetMode="External"/><Relationship Id="rId1356" Type="http://schemas.openxmlformats.org/officeDocument/2006/relationships/hyperlink" Target="https://polkadot.subsquare.io/treasury/child-bounties/1023" TargetMode="External"/><Relationship Id="rId1357" Type="http://schemas.openxmlformats.org/officeDocument/2006/relationships/hyperlink" Target="https://polkadot.subsquare.io/treasury/child-bounties/1024" TargetMode="External"/><Relationship Id="rId20" Type="http://schemas.openxmlformats.org/officeDocument/2006/relationships/hyperlink" Target="https://polkadot.subsquare.io/referenda/35" TargetMode="External"/><Relationship Id="rId1358" Type="http://schemas.openxmlformats.org/officeDocument/2006/relationships/hyperlink" Target="https://polkadot.subsquare.io/treasury/child-bounties/1025" TargetMode="External"/><Relationship Id="rId1359" Type="http://schemas.openxmlformats.org/officeDocument/2006/relationships/hyperlink" Target="https://polkadot.subsquare.io/treasury/child-bounties/1026" TargetMode="External"/><Relationship Id="rId22" Type="http://schemas.openxmlformats.org/officeDocument/2006/relationships/hyperlink" Target="https://polkadot.subsquare.io/referenda/37" TargetMode="External"/><Relationship Id="rId21" Type="http://schemas.openxmlformats.org/officeDocument/2006/relationships/hyperlink" Target="https://polkadot.subsquare.io/referenda/36" TargetMode="External"/><Relationship Id="rId24" Type="http://schemas.openxmlformats.org/officeDocument/2006/relationships/hyperlink" Target="https://polkadot.subsquare.io/referenda/44" TargetMode="External"/><Relationship Id="rId23" Type="http://schemas.openxmlformats.org/officeDocument/2006/relationships/hyperlink" Target="https://polkadot.subsquare.io/referenda/43" TargetMode="External"/><Relationship Id="rId767" Type="http://schemas.openxmlformats.org/officeDocument/2006/relationships/hyperlink" Target="https://polkadot.subsquare.io/treasury/child-bounties/397" TargetMode="External"/><Relationship Id="rId766" Type="http://schemas.openxmlformats.org/officeDocument/2006/relationships/hyperlink" Target="https://polkadot.subsquare.io/treasury/child-bounties/396" TargetMode="External"/><Relationship Id="rId765" Type="http://schemas.openxmlformats.org/officeDocument/2006/relationships/hyperlink" Target="https://polkadot.subsquare.io/treasury/child-bounties/395" TargetMode="External"/><Relationship Id="rId764" Type="http://schemas.openxmlformats.org/officeDocument/2006/relationships/hyperlink" Target="https://polkadot.subsquare.io/treasury/child-bounties/394" TargetMode="External"/><Relationship Id="rId769" Type="http://schemas.openxmlformats.org/officeDocument/2006/relationships/hyperlink" Target="https://polkadot.subsquare.io/treasury/child-bounties/402" TargetMode="External"/><Relationship Id="rId768" Type="http://schemas.openxmlformats.org/officeDocument/2006/relationships/hyperlink" Target="https://polkadot.subsquare.io/treasury/child-bounties/401" TargetMode="External"/><Relationship Id="rId26" Type="http://schemas.openxmlformats.org/officeDocument/2006/relationships/hyperlink" Target="https://polkadot.subsquare.io/referenda/48" TargetMode="External"/><Relationship Id="rId25" Type="http://schemas.openxmlformats.org/officeDocument/2006/relationships/hyperlink" Target="https://polkadot.subsquare.io/referenda/45" TargetMode="External"/><Relationship Id="rId28" Type="http://schemas.openxmlformats.org/officeDocument/2006/relationships/hyperlink" Target="https://polkadot.subsquare.io/referenda/54" TargetMode="External"/><Relationship Id="rId1350" Type="http://schemas.openxmlformats.org/officeDocument/2006/relationships/hyperlink" Target="https://polkadot.subsquare.io/treasury/child-bounties/1017" TargetMode="External"/><Relationship Id="rId27" Type="http://schemas.openxmlformats.org/officeDocument/2006/relationships/hyperlink" Target="https://polkadot.subsquare.io/referenda/49" TargetMode="External"/><Relationship Id="rId1351" Type="http://schemas.openxmlformats.org/officeDocument/2006/relationships/hyperlink" Target="https://polkadot.subsquare.io/treasury/child-bounties/1018" TargetMode="External"/><Relationship Id="rId763" Type="http://schemas.openxmlformats.org/officeDocument/2006/relationships/hyperlink" Target="https://polkadot.subsquare.io/treasury/child-bounties/393" TargetMode="External"/><Relationship Id="rId1352" Type="http://schemas.openxmlformats.org/officeDocument/2006/relationships/hyperlink" Target="https://polkadot.subsquare.io/treasury/child-bounties/1019" TargetMode="External"/><Relationship Id="rId29" Type="http://schemas.openxmlformats.org/officeDocument/2006/relationships/hyperlink" Target="https://polkadot.subsquare.io/referenda/57" TargetMode="External"/><Relationship Id="rId762" Type="http://schemas.openxmlformats.org/officeDocument/2006/relationships/hyperlink" Target="https://polkadot.subsquare.io/treasury/child-bounties/392" TargetMode="External"/><Relationship Id="rId1353" Type="http://schemas.openxmlformats.org/officeDocument/2006/relationships/hyperlink" Target="https://polkadot.subsquare.io/treasury/child-bounties/1020" TargetMode="External"/><Relationship Id="rId761" Type="http://schemas.openxmlformats.org/officeDocument/2006/relationships/hyperlink" Target="https://polkadot.subsquare.io/treasury/child-bounties/391" TargetMode="External"/><Relationship Id="rId1354" Type="http://schemas.openxmlformats.org/officeDocument/2006/relationships/hyperlink" Target="https://polkadot.subsquare.io/treasury/child-bounties/1021" TargetMode="External"/><Relationship Id="rId760" Type="http://schemas.openxmlformats.org/officeDocument/2006/relationships/hyperlink" Target="https://polkadot.subsquare.io/treasury/child-bounties/390" TargetMode="External"/><Relationship Id="rId1355" Type="http://schemas.openxmlformats.org/officeDocument/2006/relationships/hyperlink" Target="https://polkadot.subsquare.io/treasury/child-bounties/1022" TargetMode="External"/><Relationship Id="rId1345" Type="http://schemas.openxmlformats.org/officeDocument/2006/relationships/hyperlink" Target="https://polkadot.subsquare.io/treasury/child-bounties/1012" TargetMode="External"/><Relationship Id="rId1346" Type="http://schemas.openxmlformats.org/officeDocument/2006/relationships/hyperlink" Target="https://polkadot.subsquare.io/treasury/child-bounties/1013" TargetMode="External"/><Relationship Id="rId1347" Type="http://schemas.openxmlformats.org/officeDocument/2006/relationships/hyperlink" Target="https://polkadot.subsquare.io/treasury/child-bounties/1014" TargetMode="External"/><Relationship Id="rId1348" Type="http://schemas.openxmlformats.org/officeDocument/2006/relationships/hyperlink" Target="https://polkadot.subsquare.io/treasury/child-bounties/1015" TargetMode="External"/><Relationship Id="rId11" Type="http://schemas.openxmlformats.org/officeDocument/2006/relationships/hyperlink" Target="https://polkadot.subsquare.io/referenda/21" TargetMode="External"/><Relationship Id="rId1349" Type="http://schemas.openxmlformats.org/officeDocument/2006/relationships/hyperlink" Target="https://polkadot.subsquare.io/treasury/child-bounties/1016" TargetMode="External"/><Relationship Id="rId10" Type="http://schemas.openxmlformats.org/officeDocument/2006/relationships/hyperlink" Target="https://polkadot.subsquare.io/referenda/20" TargetMode="External"/><Relationship Id="rId13" Type="http://schemas.openxmlformats.org/officeDocument/2006/relationships/hyperlink" Target="https://polkadot.subsquare.io/referenda/24" TargetMode="External"/><Relationship Id="rId12" Type="http://schemas.openxmlformats.org/officeDocument/2006/relationships/hyperlink" Target="https://polkadot.subsquare.io/referenda/22" TargetMode="External"/><Relationship Id="rId756" Type="http://schemas.openxmlformats.org/officeDocument/2006/relationships/hyperlink" Target="https://polkadot.subsquare.io/treasury/child-bounties/386" TargetMode="External"/><Relationship Id="rId755" Type="http://schemas.openxmlformats.org/officeDocument/2006/relationships/hyperlink" Target="https://polkadot.subsquare.io/treasury/child-bounties/385" TargetMode="External"/><Relationship Id="rId754" Type="http://schemas.openxmlformats.org/officeDocument/2006/relationships/hyperlink" Target="https://polkadot.subsquare.io/treasury/child-bounties/384" TargetMode="External"/><Relationship Id="rId753" Type="http://schemas.openxmlformats.org/officeDocument/2006/relationships/hyperlink" Target="https://polkadot.subsquare.io/treasury/child-bounties/383" TargetMode="External"/><Relationship Id="rId759" Type="http://schemas.openxmlformats.org/officeDocument/2006/relationships/hyperlink" Target="https://polkadot.subsquare.io/treasury/child-bounties/389" TargetMode="External"/><Relationship Id="rId758" Type="http://schemas.openxmlformats.org/officeDocument/2006/relationships/hyperlink" Target="https://polkadot.subsquare.io/treasury/child-bounties/388" TargetMode="External"/><Relationship Id="rId757" Type="http://schemas.openxmlformats.org/officeDocument/2006/relationships/hyperlink" Target="https://polkadot.subsquare.io/treasury/child-bounties/387" TargetMode="External"/><Relationship Id="rId15" Type="http://schemas.openxmlformats.org/officeDocument/2006/relationships/hyperlink" Target="https://polkadot.subsquare.io/referenda/26" TargetMode="External"/><Relationship Id="rId14" Type="http://schemas.openxmlformats.org/officeDocument/2006/relationships/hyperlink" Target="https://polkadot.subsquare.io/referenda/25" TargetMode="External"/><Relationship Id="rId17" Type="http://schemas.openxmlformats.org/officeDocument/2006/relationships/hyperlink" Target="https://polkadot.subsquare.io/referenda/28" TargetMode="External"/><Relationship Id="rId16" Type="http://schemas.openxmlformats.org/officeDocument/2006/relationships/hyperlink" Target="https://polkadot.subsquare.io/referenda/27" TargetMode="External"/><Relationship Id="rId1340" Type="http://schemas.openxmlformats.org/officeDocument/2006/relationships/hyperlink" Target="https://polkadot.subsquare.io/treasury/child-bounties/1007" TargetMode="External"/><Relationship Id="rId19" Type="http://schemas.openxmlformats.org/officeDocument/2006/relationships/hyperlink" Target="https://polkadot.subsquare.io/referenda/32" TargetMode="External"/><Relationship Id="rId752" Type="http://schemas.openxmlformats.org/officeDocument/2006/relationships/hyperlink" Target="https://polkadot.subsquare.io/treasury/child-bounties/382" TargetMode="External"/><Relationship Id="rId1341" Type="http://schemas.openxmlformats.org/officeDocument/2006/relationships/hyperlink" Target="https://polkadot.subsquare.io/treasury/child-bounties/1008" TargetMode="External"/><Relationship Id="rId18" Type="http://schemas.openxmlformats.org/officeDocument/2006/relationships/hyperlink" Target="https://polkadot.subsquare.io/referenda/31" TargetMode="External"/><Relationship Id="rId751" Type="http://schemas.openxmlformats.org/officeDocument/2006/relationships/hyperlink" Target="https://polkadot.subsquare.io/treasury/child-bounties/381" TargetMode="External"/><Relationship Id="rId1342" Type="http://schemas.openxmlformats.org/officeDocument/2006/relationships/hyperlink" Target="https://polkadot.subsquare.io/treasury/child-bounties/1009" TargetMode="External"/><Relationship Id="rId750" Type="http://schemas.openxmlformats.org/officeDocument/2006/relationships/hyperlink" Target="https://polkadot.subsquare.io/treasury/child-bounties/380" TargetMode="External"/><Relationship Id="rId1343" Type="http://schemas.openxmlformats.org/officeDocument/2006/relationships/hyperlink" Target="https://polkadot.subsquare.io/treasury/child-bounties/1010" TargetMode="External"/><Relationship Id="rId1344" Type="http://schemas.openxmlformats.org/officeDocument/2006/relationships/hyperlink" Target="https://polkadot.subsquare.io/treasury/child-bounties/1011" TargetMode="External"/><Relationship Id="rId84" Type="http://schemas.openxmlformats.org/officeDocument/2006/relationships/hyperlink" Target="https://polkadot.subsquare.io/referenda/179" TargetMode="External"/><Relationship Id="rId83" Type="http://schemas.openxmlformats.org/officeDocument/2006/relationships/hyperlink" Target="https://polkadot.subsquare.io/referenda/178" TargetMode="External"/><Relationship Id="rId86" Type="http://schemas.openxmlformats.org/officeDocument/2006/relationships/hyperlink" Target="https://polkadot.subsquare.io/referenda/183" TargetMode="External"/><Relationship Id="rId85" Type="http://schemas.openxmlformats.org/officeDocument/2006/relationships/hyperlink" Target="https://polkadot.subsquare.io/referenda/181" TargetMode="External"/><Relationship Id="rId88" Type="http://schemas.openxmlformats.org/officeDocument/2006/relationships/hyperlink" Target="https://polkadot.subsquare.io/referenda/185" TargetMode="External"/><Relationship Id="rId87" Type="http://schemas.openxmlformats.org/officeDocument/2006/relationships/hyperlink" Target="https://polkadot.subsquare.io/referenda/184" TargetMode="External"/><Relationship Id="rId89" Type="http://schemas.openxmlformats.org/officeDocument/2006/relationships/hyperlink" Target="https://polkadot.subsquare.io/referenda/187" TargetMode="External"/><Relationship Id="rId709" Type="http://schemas.openxmlformats.org/officeDocument/2006/relationships/hyperlink" Target="https://polkadot.subsquare.io/treasury/child-bounties/335" TargetMode="External"/><Relationship Id="rId708" Type="http://schemas.openxmlformats.org/officeDocument/2006/relationships/hyperlink" Target="https://polkadot.subsquare.io/treasury/child-bounties/334" TargetMode="External"/><Relationship Id="rId707" Type="http://schemas.openxmlformats.org/officeDocument/2006/relationships/hyperlink" Target="https://polkadot.subsquare.io/treasury/child-bounties/333" TargetMode="External"/><Relationship Id="rId706" Type="http://schemas.openxmlformats.org/officeDocument/2006/relationships/hyperlink" Target="https://polkadot.subsquare.io/treasury/child-bounties/332" TargetMode="External"/><Relationship Id="rId80" Type="http://schemas.openxmlformats.org/officeDocument/2006/relationships/hyperlink" Target="https://polkadot.subsquare.io/referenda/175" TargetMode="External"/><Relationship Id="rId82" Type="http://schemas.openxmlformats.org/officeDocument/2006/relationships/hyperlink" Target="https://polkadot.subsquare.io/referenda/177" TargetMode="External"/><Relationship Id="rId81" Type="http://schemas.openxmlformats.org/officeDocument/2006/relationships/hyperlink" Target="https://polkadot.subsquare.io/referenda/176" TargetMode="External"/><Relationship Id="rId701" Type="http://schemas.openxmlformats.org/officeDocument/2006/relationships/hyperlink" Target="https://polkadot.subsquare.io/treasury/child-bounties/327" TargetMode="External"/><Relationship Id="rId700" Type="http://schemas.openxmlformats.org/officeDocument/2006/relationships/hyperlink" Target="https://polkadot.subsquare.io/treasury/child-bounties/326" TargetMode="External"/><Relationship Id="rId705" Type="http://schemas.openxmlformats.org/officeDocument/2006/relationships/hyperlink" Target="https://polkadot.subsquare.io/treasury/child-bounties/331" TargetMode="External"/><Relationship Id="rId704" Type="http://schemas.openxmlformats.org/officeDocument/2006/relationships/hyperlink" Target="https://polkadot.subsquare.io/treasury/child-bounties/330" TargetMode="External"/><Relationship Id="rId703" Type="http://schemas.openxmlformats.org/officeDocument/2006/relationships/hyperlink" Target="https://polkadot.subsquare.io/treasury/child-bounties/329" TargetMode="External"/><Relationship Id="rId702" Type="http://schemas.openxmlformats.org/officeDocument/2006/relationships/hyperlink" Target="https://polkadot.subsquare.io/treasury/child-bounties/328" TargetMode="External"/><Relationship Id="rId73" Type="http://schemas.openxmlformats.org/officeDocument/2006/relationships/hyperlink" Target="https://polkadot.subsquare.io/referenda/164" TargetMode="External"/><Relationship Id="rId72" Type="http://schemas.openxmlformats.org/officeDocument/2006/relationships/hyperlink" Target="https://polkadot.subsquare.io/referenda/162" TargetMode="External"/><Relationship Id="rId75" Type="http://schemas.openxmlformats.org/officeDocument/2006/relationships/hyperlink" Target="https://polkadot.subsquare.io/referenda/167" TargetMode="External"/><Relationship Id="rId74" Type="http://schemas.openxmlformats.org/officeDocument/2006/relationships/hyperlink" Target="https://polkadot.subsquare.io/referenda/165" TargetMode="External"/><Relationship Id="rId77" Type="http://schemas.openxmlformats.org/officeDocument/2006/relationships/hyperlink" Target="https://polkadot.subsquare.io/referenda/170" TargetMode="External"/><Relationship Id="rId76" Type="http://schemas.openxmlformats.org/officeDocument/2006/relationships/hyperlink" Target="https://polkadot.subsquare.io/referenda/168" TargetMode="External"/><Relationship Id="rId79" Type="http://schemas.openxmlformats.org/officeDocument/2006/relationships/hyperlink" Target="https://polkadot.subsquare.io/referenda/172" TargetMode="External"/><Relationship Id="rId78" Type="http://schemas.openxmlformats.org/officeDocument/2006/relationships/hyperlink" Target="https://polkadot.subsquare.io/referenda/171" TargetMode="External"/><Relationship Id="rId71" Type="http://schemas.openxmlformats.org/officeDocument/2006/relationships/hyperlink" Target="https://polkadot.subsquare.io/referenda/161" TargetMode="External"/><Relationship Id="rId70" Type="http://schemas.openxmlformats.org/officeDocument/2006/relationships/hyperlink" Target="https://polkadot.subsquare.io/referenda/160" TargetMode="External"/><Relationship Id="rId62" Type="http://schemas.openxmlformats.org/officeDocument/2006/relationships/hyperlink" Target="https://polkadot.subsquare.io/referenda/140" TargetMode="External"/><Relationship Id="rId1312" Type="http://schemas.openxmlformats.org/officeDocument/2006/relationships/hyperlink" Target="https://polkadot.subsquare.io/treasury/child-bounties/976" TargetMode="External"/><Relationship Id="rId61" Type="http://schemas.openxmlformats.org/officeDocument/2006/relationships/hyperlink" Target="https://polkadot.subsquare.io/referenda/137" TargetMode="External"/><Relationship Id="rId1313" Type="http://schemas.openxmlformats.org/officeDocument/2006/relationships/hyperlink" Target="https://polkadot.subsquare.io/treasury/child-bounties/977" TargetMode="External"/><Relationship Id="rId64" Type="http://schemas.openxmlformats.org/officeDocument/2006/relationships/hyperlink" Target="https://polkadot.subsquare.io/referenda/145" TargetMode="External"/><Relationship Id="rId1314" Type="http://schemas.openxmlformats.org/officeDocument/2006/relationships/hyperlink" Target="https://polkadot.subsquare.io/treasury/child-bounties/978" TargetMode="External"/><Relationship Id="rId63" Type="http://schemas.openxmlformats.org/officeDocument/2006/relationships/hyperlink" Target="https://polkadot.subsquare.io/referenda/141" TargetMode="External"/><Relationship Id="rId1315" Type="http://schemas.openxmlformats.org/officeDocument/2006/relationships/hyperlink" Target="https://polkadot.subsquare.io/treasury/child-bounties/979" TargetMode="External"/><Relationship Id="rId66" Type="http://schemas.openxmlformats.org/officeDocument/2006/relationships/hyperlink" Target="https://polkadot.subsquare.io/referenda/153" TargetMode="External"/><Relationship Id="rId1316" Type="http://schemas.openxmlformats.org/officeDocument/2006/relationships/hyperlink" Target="https://polkadot.subsquare.io/treasury/child-bounties/980" TargetMode="External"/><Relationship Id="rId65" Type="http://schemas.openxmlformats.org/officeDocument/2006/relationships/hyperlink" Target="https://polkadot.subsquare.io/referenda/152" TargetMode="External"/><Relationship Id="rId1317" Type="http://schemas.openxmlformats.org/officeDocument/2006/relationships/hyperlink" Target="https://polkadot.subsquare.io/treasury/child-bounties/981" TargetMode="External"/><Relationship Id="rId68" Type="http://schemas.openxmlformats.org/officeDocument/2006/relationships/hyperlink" Target="https://polkadot.subsquare.io/referenda/156" TargetMode="External"/><Relationship Id="rId1318" Type="http://schemas.openxmlformats.org/officeDocument/2006/relationships/hyperlink" Target="https://polkadot.subsquare.io/treasury/child-bounties/982" TargetMode="External"/><Relationship Id="rId67" Type="http://schemas.openxmlformats.org/officeDocument/2006/relationships/hyperlink" Target="https://polkadot.subsquare.io/referenda/155" TargetMode="External"/><Relationship Id="rId1319" Type="http://schemas.openxmlformats.org/officeDocument/2006/relationships/hyperlink" Target="https://polkadot.subsquare.io/treasury/child-bounties/983" TargetMode="External"/><Relationship Id="rId729" Type="http://schemas.openxmlformats.org/officeDocument/2006/relationships/hyperlink" Target="https://polkadot.subsquare.io/treasury/child-bounties/355" TargetMode="External"/><Relationship Id="rId728" Type="http://schemas.openxmlformats.org/officeDocument/2006/relationships/hyperlink" Target="https://polkadot.subsquare.io/treasury/child-bounties/354" TargetMode="External"/><Relationship Id="rId60" Type="http://schemas.openxmlformats.org/officeDocument/2006/relationships/hyperlink" Target="https://polkadot.subsquare.io/referenda/136" TargetMode="External"/><Relationship Id="rId723" Type="http://schemas.openxmlformats.org/officeDocument/2006/relationships/hyperlink" Target="https://polkadot.subsquare.io/treasury/child-bounties/349" TargetMode="External"/><Relationship Id="rId722" Type="http://schemas.openxmlformats.org/officeDocument/2006/relationships/hyperlink" Target="https://polkadot.subsquare.io/treasury/child-bounties/348" TargetMode="External"/><Relationship Id="rId721" Type="http://schemas.openxmlformats.org/officeDocument/2006/relationships/hyperlink" Target="https://polkadot.subsquare.io/treasury/child-bounties/347" TargetMode="External"/><Relationship Id="rId720" Type="http://schemas.openxmlformats.org/officeDocument/2006/relationships/hyperlink" Target="https://polkadot.subsquare.io/treasury/child-bounties/346" TargetMode="External"/><Relationship Id="rId727" Type="http://schemas.openxmlformats.org/officeDocument/2006/relationships/hyperlink" Target="https://polkadot.subsquare.io/treasury/child-bounties/353" TargetMode="External"/><Relationship Id="rId726" Type="http://schemas.openxmlformats.org/officeDocument/2006/relationships/hyperlink" Target="https://polkadot.subsquare.io/treasury/child-bounties/352" TargetMode="External"/><Relationship Id="rId725" Type="http://schemas.openxmlformats.org/officeDocument/2006/relationships/hyperlink" Target="https://polkadot.subsquare.io/treasury/child-bounties/351" TargetMode="External"/><Relationship Id="rId724" Type="http://schemas.openxmlformats.org/officeDocument/2006/relationships/hyperlink" Target="https://polkadot.subsquare.io/treasury/child-bounties/350" TargetMode="External"/><Relationship Id="rId69" Type="http://schemas.openxmlformats.org/officeDocument/2006/relationships/hyperlink" Target="https://polkadot.subsquare.io/referenda/158" TargetMode="External"/><Relationship Id="rId1310" Type="http://schemas.openxmlformats.org/officeDocument/2006/relationships/hyperlink" Target="https://polkadot.subsquare.io/treasury/child-bounties/974" TargetMode="External"/><Relationship Id="rId1311" Type="http://schemas.openxmlformats.org/officeDocument/2006/relationships/hyperlink" Target="https://polkadot.subsquare.io/treasury/child-bounties/975" TargetMode="External"/><Relationship Id="rId51" Type="http://schemas.openxmlformats.org/officeDocument/2006/relationships/hyperlink" Target="https://polkadot.subsquare.io/referenda/114" TargetMode="External"/><Relationship Id="rId1301" Type="http://schemas.openxmlformats.org/officeDocument/2006/relationships/hyperlink" Target="https://polkadot.subsquare.io/treasury/child-bounties/965" TargetMode="External"/><Relationship Id="rId50" Type="http://schemas.openxmlformats.org/officeDocument/2006/relationships/hyperlink" Target="https://polkadot.subsquare.io/referenda/113" TargetMode="External"/><Relationship Id="rId1302" Type="http://schemas.openxmlformats.org/officeDocument/2006/relationships/hyperlink" Target="https://polkadot.subsquare.io/treasury/child-bounties/966" TargetMode="External"/><Relationship Id="rId53" Type="http://schemas.openxmlformats.org/officeDocument/2006/relationships/hyperlink" Target="https://polkadot.subsquare.io/referenda/118" TargetMode="External"/><Relationship Id="rId1303" Type="http://schemas.openxmlformats.org/officeDocument/2006/relationships/hyperlink" Target="https://polkadot.subsquare.io/treasury/child-bounties/967" TargetMode="External"/><Relationship Id="rId52" Type="http://schemas.openxmlformats.org/officeDocument/2006/relationships/hyperlink" Target="https://polkadot.subsquare.io/referenda/115" TargetMode="External"/><Relationship Id="rId1304" Type="http://schemas.openxmlformats.org/officeDocument/2006/relationships/hyperlink" Target="https://polkadot.subsquare.io/treasury/child-bounties/968" TargetMode="External"/><Relationship Id="rId55" Type="http://schemas.openxmlformats.org/officeDocument/2006/relationships/hyperlink" Target="https://polkadot.subsquare.io/referenda/120" TargetMode="External"/><Relationship Id="rId1305" Type="http://schemas.openxmlformats.org/officeDocument/2006/relationships/hyperlink" Target="https://polkadot.subsquare.io/treasury/child-bounties/969" TargetMode="External"/><Relationship Id="rId54" Type="http://schemas.openxmlformats.org/officeDocument/2006/relationships/hyperlink" Target="https://polkadot.subsquare.io/referenda/119" TargetMode="External"/><Relationship Id="rId1306" Type="http://schemas.openxmlformats.org/officeDocument/2006/relationships/hyperlink" Target="https://polkadot.subsquare.io/treasury/child-bounties/970" TargetMode="External"/><Relationship Id="rId57" Type="http://schemas.openxmlformats.org/officeDocument/2006/relationships/hyperlink" Target="https://polkadot.subsquare.io/referenda/124" TargetMode="External"/><Relationship Id="rId1307" Type="http://schemas.openxmlformats.org/officeDocument/2006/relationships/hyperlink" Target="https://polkadot.subsquare.io/treasury/child-bounties/971" TargetMode="External"/><Relationship Id="rId56" Type="http://schemas.openxmlformats.org/officeDocument/2006/relationships/hyperlink" Target="https://polkadot.subsquare.io/referenda/123" TargetMode="External"/><Relationship Id="rId1308" Type="http://schemas.openxmlformats.org/officeDocument/2006/relationships/hyperlink" Target="https://polkadot.subsquare.io/treasury/child-bounties/972" TargetMode="External"/><Relationship Id="rId1309" Type="http://schemas.openxmlformats.org/officeDocument/2006/relationships/hyperlink" Target="https://polkadot.subsquare.io/treasury/child-bounties/973" TargetMode="External"/><Relationship Id="rId719" Type="http://schemas.openxmlformats.org/officeDocument/2006/relationships/hyperlink" Target="https://polkadot.subsquare.io/treasury/child-bounties/345" TargetMode="External"/><Relationship Id="rId718" Type="http://schemas.openxmlformats.org/officeDocument/2006/relationships/hyperlink" Target="https://polkadot.subsquare.io/treasury/child-bounties/344" TargetMode="External"/><Relationship Id="rId717" Type="http://schemas.openxmlformats.org/officeDocument/2006/relationships/hyperlink" Target="https://polkadot.subsquare.io/treasury/child-bounties/343" TargetMode="External"/><Relationship Id="rId712" Type="http://schemas.openxmlformats.org/officeDocument/2006/relationships/hyperlink" Target="https://polkadot.subsquare.io/treasury/child-bounties/338" TargetMode="External"/><Relationship Id="rId711" Type="http://schemas.openxmlformats.org/officeDocument/2006/relationships/hyperlink" Target="https://polkadot.subsquare.io/treasury/child-bounties/337" TargetMode="External"/><Relationship Id="rId710" Type="http://schemas.openxmlformats.org/officeDocument/2006/relationships/hyperlink" Target="https://polkadot.subsquare.io/treasury/child-bounties/336" TargetMode="External"/><Relationship Id="rId716" Type="http://schemas.openxmlformats.org/officeDocument/2006/relationships/hyperlink" Target="https://polkadot.subsquare.io/treasury/child-bounties/342" TargetMode="External"/><Relationship Id="rId715" Type="http://schemas.openxmlformats.org/officeDocument/2006/relationships/hyperlink" Target="https://polkadot.subsquare.io/treasury/child-bounties/341" TargetMode="External"/><Relationship Id="rId714" Type="http://schemas.openxmlformats.org/officeDocument/2006/relationships/hyperlink" Target="https://polkadot.subsquare.io/treasury/child-bounties/340" TargetMode="External"/><Relationship Id="rId713" Type="http://schemas.openxmlformats.org/officeDocument/2006/relationships/hyperlink" Target="https://polkadot.subsquare.io/treasury/child-bounties/339" TargetMode="External"/><Relationship Id="rId59" Type="http://schemas.openxmlformats.org/officeDocument/2006/relationships/hyperlink" Target="https://polkadot.subsquare.io/referenda/134" TargetMode="External"/><Relationship Id="rId58" Type="http://schemas.openxmlformats.org/officeDocument/2006/relationships/hyperlink" Target="https://polkadot.subsquare.io/referenda/125" TargetMode="External"/><Relationship Id="rId1300" Type="http://schemas.openxmlformats.org/officeDocument/2006/relationships/hyperlink" Target="https://polkadot.subsquare.io/treasury/child-bounties/964" TargetMode="External"/><Relationship Id="rId349" Type="http://schemas.openxmlformats.org/officeDocument/2006/relationships/hyperlink" Target="https://polkadot.subsquare.io/referenda/756" TargetMode="External"/><Relationship Id="rId348" Type="http://schemas.openxmlformats.org/officeDocument/2006/relationships/hyperlink" Target="https://polkadot.subsquare.io/referenda/753" TargetMode="External"/><Relationship Id="rId347" Type="http://schemas.openxmlformats.org/officeDocument/2006/relationships/hyperlink" Target="https://polkadot.subsquare.io/referenda/751" TargetMode="External"/><Relationship Id="rId346" Type="http://schemas.openxmlformats.org/officeDocument/2006/relationships/hyperlink" Target="https://polkadot.subsquare.io/referenda/749" TargetMode="External"/><Relationship Id="rId341" Type="http://schemas.openxmlformats.org/officeDocument/2006/relationships/hyperlink" Target="https://polkadot.subsquare.io/referenda/733" TargetMode="External"/><Relationship Id="rId340" Type="http://schemas.openxmlformats.org/officeDocument/2006/relationships/hyperlink" Target="https://polkadot.subsquare.io/referenda/730" TargetMode="External"/><Relationship Id="rId345" Type="http://schemas.openxmlformats.org/officeDocument/2006/relationships/hyperlink" Target="https://polkadot.subsquare.io/referenda/742" TargetMode="External"/><Relationship Id="rId344" Type="http://schemas.openxmlformats.org/officeDocument/2006/relationships/hyperlink" Target="https://polkadot.subsquare.io/referenda/738" TargetMode="External"/><Relationship Id="rId343" Type="http://schemas.openxmlformats.org/officeDocument/2006/relationships/hyperlink" Target="https://polkadot.subsquare.io/referenda/737" TargetMode="External"/><Relationship Id="rId342" Type="http://schemas.openxmlformats.org/officeDocument/2006/relationships/hyperlink" Target="https://polkadot.subsquare.io/referenda/735" TargetMode="External"/><Relationship Id="rId338" Type="http://schemas.openxmlformats.org/officeDocument/2006/relationships/hyperlink" Target="https://polkadot.subsquare.io/referenda/728" TargetMode="External"/><Relationship Id="rId337" Type="http://schemas.openxmlformats.org/officeDocument/2006/relationships/hyperlink" Target="https://polkadot.subsquare.io/referenda/725" TargetMode="External"/><Relationship Id="rId336" Type="http://schemas.openxmlformats.org/officeDocument/2006/relationships/hyperlink" Target="https://polkadot.subsquare.io/referenda/723" TargetMode="External"/><Relationship Id="rId335" Type="http://schemas.openxmlformats.org/officeDocument/2006/relationships/hyperlink" Target="https://polkadot.subsquare.io/referenda/721" TargetMode="External"/><Relationship Id="rId339" Type="http://schemas.openxmlformats.org/officeDocument/2006/relationships/hyperlink" Target="https://polkadot.subsquare.io/referenda/729" TargetMode="External"/><Relationship Id="rId330" Type="http://schemas.openxmlformats.org/officeDocument/2006/relationships/hyperlink" Target="https://polkadot.subsquare.io/referenda/711" TargetMode="External"/><Relationship Id="rId334" Type="http://schemas.openxmlformats.org/officeDocument/2006/relationships/hyperlink" Target="https://polkadot.subsquare.io/referenda/720" TargetMode="External"/><Relationship Id="rId333" Type="http://schemas.openxmlformats.org/officeDocument/2006/relationships/hyperlink" Target="https://polkadot.subsquare.io/referenda/719" TargetMode="External"/><Relationship Id="rId332" Type="http://schemas.openxmlformats.org/officeDocument/2006/relationships/hyperlink" Target="https://polkadot.subsquare.io/referenda/717" TargetMode="External"/><Relationship Id="rId331" Type="http://schemas.openxmlformats.org/officeDocument/2006/relationships/hyperlink" Target="https://polkadot.subsquare.io/referenda/715" TargetMode="External"/><Relationship Id="rId370" Type="http://schemas.openxmlformats.org/officeDocument/2006/relationships/hyperlink" Target="https://polkadot.subsquare.io/referenda/798" TargetMode="External"/><Relationship Id="rId369" Type="http://schemas.openxmlformats.org/officeDocument/2006/relationships/hyperlink" Target="https://polkadot.subsquare.io/referenda/797" TargetMode="External"/><Relationship Id="rId368" Type="http://schemas.openxmlformats.org/officeDocument/2006/relationships/hyperlink" Target="https://polkadot.subsquare.io/referenda/796" TargetMode="External"/><Relationship Id="rId363" Type="http://schemas.openxmlformats.org/officeDocument/2006/relationships/hyperlink" Target="https://polkadot.subsquare.io/referenda/779" TargetMode="External"/><Relationship Id="rId362" Type="http://schemas.openxmlformats.org/officeDocument/2006/relationships/hyperlink" Target="https://polkadot.subsquare.io/referenda/778" TargetMode="External"/><Relationship Id="rId361" Type="http://schemas.openxmlformats.org/officeDocument/2006/relationships/hyperlink" Target="https://polkadot.subsquare.io/referenda/776" TargetMode="External"/><Relationship Id="rId360" Type="http://schemas.openxmlformats.org/officeDocument/2006/relationships/hyperlink" Target="https://polkadot.subsquare.io/referenda/773" TargetMode="External"/><Relationship Id="rId367" Type="http://schemas.openxmlformats.org/officeDocument/2006/relationships/hyperlink" Target="https://polkadot.subsquare.io/referenda/793" TargetMode="External"/><Relationship Id="rId366" Type="http://schemas.openxmlformats.org/officeDocument/2006/relationships/hyperlink" Target="https://polkadot.subsquare.io/referenda/792" TargetMode="External"/><Relationship Id="rId365" Type="http://schemas.openxmlformats.org/officeDocument/2006/relationships/hyperlink" Target="https://polkadot.subsquare.io/referenda/789" TargetMode="External"/><Relationship Id="rId364" Type="http://schemas.openxmlformats.org/officeDocument/2006/relationships/hyperlink" Target="https://polkadot.subsquare.io/referenda/783" TargetMode="External"/><Relationship Id="rId95" Type="http://schemas.openxmlformats.org/officeDocument/2006/relationships/hyperlink" Target="https://polkadot.subsquare.io/referenda/197" TargetMode="External"/><Relationship Id="rId94" Type="http://schemas.openxmlformats.org/officeDocument/2006/relationships/hyperlink" Target="https://polkadot.subsquare.io/referenda/196" TargetMode="External"/><Relationship Id="rId97" Type="http://schemas.openxmlformats.org/officeDocument/2006/relationships/hyperlink" Target="https://polkadot.subsquare.io/referenda/200" TargetMode="External"/><Relationship Id="rId96" Type="http://schemas.openxmlformats.org/officeDocument/2006/relationships/hyperlink" Target="https://polkadot.subsquare.io/referenda/198" TargetMode="External"/><Relationship Id="rId99" Type="http://schemas.openxmlformats.org/officeDocument/2006/relationships/hyperlink" Target="https://polkadot.subsquare.io/referenda/202" TargetMode="External"/><Relationship Id="rId98" Type="http://schemas.openxmlformats.org/officeDocument/2006/relationships/hyperlink" Target="https://polkadot.subsquare.io/referenda/201" TargetMode="External"/><Relationship Id="rId91" Type="http://schemas.openxmlformats.org/officeDocument/2006/relationships/hyperlink" Target="https://polkadot.subsquare.io/referenda/191" TargetMode="External"/><Relationship Id="rId90" Type="http://schemas.openxmlformats.org/officeDocument/2006/relationships/hyperlink" Target="https://polkadot.subsquare.io/referenda/190" TargetMode="External"/><Relationship Id="rId93" Type="http://schemas.openxmlformats.org/officeDocument/2006/relationships/hyperlink" Target="https://polkadot.subsquare.io/referenda/194" TargetMode="External"/><Relationship Id="rId92" Type="http://schemas.openxmlformats.org/officeDocument/2006/relationships/hyperlink" Target="https://polkadot.subsquare.io/referenda/193" TargetMode="External"/><Relationship Id="rId359" Type="http://schemas.openxmlformats.org/officeDocument/2006/relationships/hyperlink" Target="https://polkadot.subsquare.io/referenda/772" TargetMode="External"/><Relationship Id="rId358" Type="http://schemas.openxmlformats.org/officeDocument/2006/relationships/hyperlink" Target="https://polkadot.subsquare.io/referenda/768" TargetMode="External"/><Relationship Id="rId357" Type="http://schemas.openxmlformats.org/officeDocument/2006/relationships/hyperlink" Target="https://polkadot.subsquare.io/referenda/767" TargetMode="External"/><Relationship Id="rId352" Type="http://schemas.openxmlformats.org/officeDocument/2006/relationships/hyperlink" Target="https://polkadot.subsquare.io/referenda/761" TargetMode="External"/><Relationship Id="rId351" Type="http://schemas.openxmlformats.org/officeDocument/2006/relationships/hyperlink" Target="https://polkadot.subsquare.io/referenda/760" TargetMode="External"/><Relationship Id="rId350" Type="http://schemas.openxmlformats.org/officeDocument/2006/relationships/hyperlink" Target="https://polkadot.subsquare.io/referenda/759" TargetMode="External"/><Relationship Id="rId356" Type="http://schemas.openxmlformats.org/officeDocument/2006/relationships/hyperlink" Target="https://polkadot.subsquare.io/referenda/766" TargetMode="External"/><Relationship Id="rId355" Type="http://schemas.openxmlformats.org/officeDocument/2006/relationships/hyperlink" Target="https://polkadot.subsquare.io/referenda/764" TargetMode="External"/><Relationship Id="rId354" Type="http://schemas.openxmlformats.org/officeDocument/2006/relationships/hyperlink" Target="https://polkadot.subsquare.io/referenda/763" TargetMode="External"/><Relationship Id="rId353" Type="http://schemas.openxmlformats.org/officeDocument/2006/relationships/hyperlink" Target="https://polkadot.subsquare.io/referenda/762" TargetMode="External"/><Relationship Id="rId1378" Type="http://schemas.openxmlformats.org/officeDocument/2006/relationships/hyperlink" Target="https://polkadot.subsquare.io/treasury/child-bounties/1046" TargetMode="External"/><Relationship Id="rId1379" Type="http://schemas.openxmlformats.org/officeDocument/2006/relationships/hyperlink" Target="https://polkadot.subsquare.io/treasury/child-bounties/1047" TargetMode="External"/><Relationship Id="rId305" Type="http://schemas.openxmlformats.org/officeDocument/2006/relationships/hyperlink" Target="https://polkadot.subsquare.io/referenda/660" TargetMode="External"/><Relationship Id="rId789" Type="http://schemas.openxmlformats.org/officeDocument/2006/relationships/hyperlink" Target="https://polkadot.subsquare.io/treasury/child-bounties/427" TargetMode="External"/><Relationship Id="rId304" Type="http://schemas.openxmlformats.org/officeDocument/2006/relationships/hyperlink" Target="https://polkadot.subsquare.io/referenda/659" TargetMode="External"/><Relationship Id="rId788" Type="http://schemas.openxmlformats.org/officeDocument/2006/relationships/hyperlink" Target="https://polkadot.subsquare.io/treasury/child-bounties/426" TargetMode="External"/><Relationship Id="rId303" Type="http://schemas.openxmlformats.org/officeDocument/2006/relationships/hyperlink" Target="https://polkadot.subsquare.io/referenda/657" TargetMode="External"/><Relationship Id="rId787" Type="http://schemas.openxmlformats.org/officeDocument/2006/relationships/hyperlink" Target="https://polkadot.subsquare.io/treasury/child-bounties/425" TargetMode="External"/><Relationship Id="rId302" Type="http://schemas.openxmlformats.org/officeDocument/2006/relationships/hyperlink" Target="https://polkadot.subsquare.io/referenda/656" TargetMode="External"/><Relationship Id="rId786" Type="http://schemas.openxmlformats.org/officeDocument/2006/relationships/hyperlink" Target="https://polkadot.subsquare.io/treasury/child-bounties/424" TargetMode="External"/><Relationship Id="rId309" Type="http://schemas.openxmlformats.org/officeDocument/2006/relationships/hyperlink" Target="https://polkadot.subsquare.io/referenda/667" TargetMode="External"/><Relationship Id="rId308" Type="http://schemas.openxmlformats.org/officeDocument/2006/relationships/hyperlink" Target="https://polkadot.subsquare.io/referenda/666" TargetMode="External"/><Relationship Id="rId307" Type="http://schemas.openxmlformats.org/officeDocument/2006/relationships/hyperlink" Target="https://polkadot.subsquare.io/referenda/663" TargetMode="External"/><Relationship Id="rId306" Type="http://schemas.openxmlformats.org/officeDocument/2006/relationships/hyperlink" Target="https://polkadot.subsquare.io/referenda/662" TargetMode="External"/><Relationship Id="rId781" Type="http://schemas.openxmlformats.org/officeDocument/2006/relationships/hyperlink" Target="https://polkadot.subsquare.io/treasury/child-bounties/419" TargetMode="External"/><Relationship Id="rId1370" Type="http://schemas.openxmlformats.org/officeDocument/2006/relationships/hyperlink" Target="https://polkadot.subsquare.io/treasury/child-bounties/1037" TargetMode="External"/><Relationship Id="rId780" Type="http://schemas.openxmlformats.org/officeDocument/2006/relationships/hyperlink" Target="https://polkadot.subsquare.io/treasury/child-bounties/418" TargetMode="External"/><Relationship Id="rId1371" Type="http://schemas.openxmlformats.org/officeDocument/2006/relationships/hyperlink" Target="https://polkadot.subsquare.io/treasury/child-bounties/1038" TargetMode="External"/><Relationship Id="rId1372" Type="http://schemas.openxmlformats.org/officeDocument/2006/relationships/hyperlink" Target="https://polkadot.subsquare.io/treasury/child-bounties/1040" TargetMode="External"/><Relationship Id="rId1373" Type="http://schemas.openxmlformats.org/officeDocument/2006/relationships/hyperlink" Target="https://polkadot.subsquare.io/treasury/child-bounties/1041" TargetMode="External"/><Relationship Id="rId301" Type="http://schemas.openxmlformats.org/officeDocument/2006/relationships/hyperlink" Target="https://polkadot.subsquare.io/referenda/654" TargetMode="External"/><Relationship Id="rId785" Type="http://schemas.openxmlformats.org/officeDocument/2006/relationships/hyperlink" Target="https://polkadot.subsquare.io/treasury/child-bounties/423" TargetMode="External"/><Relationship Id="rId1374" Type="http://schemas.openxmlformats.org/officeDocument/2006/relationships/hyperlink" Target="https://polkadot.subsquare.io/treasury/child-bounties/1042" TargetMode="External"/><Relationship Id="rId300" Type="http://schemas.openxmlformats.org/officeDocument/2006/relationships/hyperlink" Target="https://polkadot.subsquare.io/referenda/651" TargetMode="External"/><Relationship Id="rId784" Type="http://schemas.openxmlformats.org/officeDocument/2006/relationships/hyperlink" Target="https://polkadot.subsquare.io/treasury/child-bounties/422" TargetMode="External"/><Relationship Id="rId1375" Type="http://schemas.openxmlformats.org/officeDocument/2006/relationships/hyperlink" Target="https://polkadot.subsquare.io/treasury/child-bounties/1043" TargetMode="External"/><Relationship Id="rId783" Type="http://schemas.openxmlformats.org/officeDocument/2006/relationships/hyperlink" Target="https://polkadot.subsquare.io/treasury/child-bounties/421" TargetMode="External"/><Relationship Id="rId1376" Type="http://schemas.openxmlformats.org/officeDocument/2006/relationships/hyperlink" Target="https://polkadot.subsquare.io/treasury/child-bounties/1044" TargetMode="External"/><Relationship Id="rId782" Type="http://schemas.openxmlformats.org/officeDocument/2006/relationships/hyperlink" Target="https://polkadot.subsquare.io/treasury/child-bounties/420" TargetMode="External"/><Relationship Id="rId1377" Type="http://schemas.openxmlformats.org/officeDocument/2006/relationships/hyperlink" Target="https://polkadot.subsquare.io/treasury/child-bounties/1045" TargetMode="External"/><Relationship Id="rId1367" Type="http://schemas.openxmlformats.org/officeDocument/2006/relationships/hyperlink" Target="https://polkadot.subsquare.io/treasury/child-bounties/1034" TargetMode="External"/><Relationship Id="rId1368" Type="http://schemas.openxmlformats.org/officeDocument/2006/relationships/hyperlink" Target="https://polkadot.subsquare.io/treasury/child-bounties/1035" TargetMode="External"/><Relationship Id="rId1369" Type="http://schemas.openxmlformats.org/officeDocument/2006/relationships/hyperlink" Target="https://polkadot.subsquare.io/treasury/child-bounties/1036" TargetMode="External"/><Relationship Id="rId778" Type="http://schemas.openxmlformats.org/officeDocument/2006/relationships/hyperlink" Target="https://polkadot.subsquare.io/treasury/child-bounties/416" TargetMode="External"/><Relationship Id="rId777" Type="http://schemas.openxmlformats.org/officeDocument/2006/relationships/hyperlink" Target="https://polkadot.subsquare.io/treasury/child-bounties/415" TargetMode="External"/><Relationship Id="rId776" Type="http://schemas.openxmlformats.org/officeDocument/2006/relationships/hyperlink" Target="https://polkadot.subsquare.io/treasury/child-bounties/414" TargetMode="External"/><Relationship Id="rId775" Type="http://schemas.openxmlformats.org/officeDocument/2006/relationships/hyperlink" Target="https://polkadot.subsquare.io/treasury/child-bounties/413" TargetMode="External"/><Relationship Id="rId779" Type="http://schemas.openxmlformats.org/officeDocument/2006/relationships/hyperlink" Target="https://polkadot.subsquare.io/treasury/child-bounties/417" TargetMode="External"/><Relationship Id="rId770" Type="http://schemas.openxmlformats.org/officeDocument/2006/relationships/hyperlink" Target="https://polkadot.subsquare.io/treasury/child-bounties/403" TargetMode="External"/><Relationship Id="rId1360" Type="http://schemas.openxmlformats.org/officeDocument/2006/relationships/hyperlink" Target="https://polkadot.subsquare.io/treasury/child-bounties/1027" TargetMode="External"/><Relationship Id="rId1361" Type="http://schemas.openxmlformats.org/officeDocument/2006/relationships/hyperlink" Target="https://polkadot.subsquare.io/treasury/child-bounties/1028" TargetMode="External"/><Relationship Id="rId1362" Type="http://schemas.openxmlformats.org/officeDocument/2006/relationships/hyperlink" Target="https://polkadot.subsquare.io/treasury/child-bounties/1029" TargetMode="External"/><Relationship Id="rId774" Type="http://schemas.openxmlformats.org/officeDocument/2006/relationships/hyperlink" Target="https://polkadot.subsquare.io/treasury/child-bounties/412" TargetMode="External"/><Relationship Id="rId1363" Type="http://schemas.openxmlformats.org/officeDocument/2006/relationships/hyperlink" Target="https://polkadot.subsquare.io/treasury/child-bounties/1030" TargetMode="External"/><Relationship Id="rId773" Type="http://schemas.openxmlformats.org/officeDocument/2006/relationships/hyperlink" Target="https://polkadot.subsquare.io/treasury/child-bounties/411" TargetMode="External"/><Relationship Id="rId1364" Type="http://schemas.openxmlformats.org/officeDocument/2006/relationships/hyperlink" Target="https://polkadot.subsquare.io/treasury/child-bounties/1031" TargetMode="External"/><Relationship Id="rId772" Type="http://schemas.openxmlformats.org/officeDocument/2006/relationships/hyperlink" Target="https://polkadot.subsquare.io/treasury/child-bounties/405" TargetMode="External"/><Relationship Id="rId1365" Type="http://schemas.openxmlformats.org/officeDocument/2006/relationships/hyperlink" Target="https://polkadot.subsquare.io/treasury/child-bounties/1032" TargetMode="External"/><Relationship Id="rId771" Type="http://schemas.openxmlformats.org/officeDocument/2006/relationships/hyperlink" Target="https://polkadot.subsquare.io/treasury/child-bounties/404" TargetMode="External"/><Relationship Id="rId1366" Type="http://schemas.openxmlformats.org/officeDocument/2006/relationships/hyperlink" Target="https://polkadot.subsquare.io/treasury/child-bounties/1033" TargetMode="External"/><Relationship Id="rId327" Type="http://schemas.openxmlformats.org/officeDocument/2006/relationships/hyperlink" Target="https://polkadot.subsquare.io/referenda/700" TargetMode="External"/><Relationship Id="rId326" Type="http://schemas.openxmlformats.org/officeDocument/2006/relationships/hyperlink" Target="https://polkadot.subsquare.io/referenda/699" TargetMode="External"/><Relationship Id="rId325" Type="http://schemas.openxmlformats.org/officeDocument/2006/relationships/hyperlink" Target="https://polkadot.subsquare.io/referenda/698" TargetMode="External"/><Relationship Id="rId324" Type="http://schemas.openxmlformats.org/officeDocument/2006/relationships/hyperlink" Target="https://polkadot.subsquare.io/referenda/695" TargetMode="External"/><Relationship Id="rId329" Type="http://schemas.openxmlformats.org/officeDocument/2006/relationships/hyperlink" Target="https://polkadot.subsquare.io/referenda/709" TargetMode="External"/><Relationship Id="rId1390" Type="http://schemas.openxmlformats.org/officeDocument/2006/relationships/hyperlink" Target="https://polkadot.subsquare.io/treasury/child-bounties/1058" TargetMode="External"/><Relationship Id="rId328" Type="http://schemas.openxmlformats.org/officeDocument/2006/relationships/hyperlink" Target="https://polkadot.subsquare.io/referenda/703" TargetMode="External"/><Relationship Id="rId1391" Type="http://schemas.openxmlformats.org/officeDocument/2006/relationships/hyperlink" Target="https://polkadot.subsquare.io/treasury/child-bounties/1059" TargetMode="External"/><Relationship Id="rId1392" Type="http://schemas.openxmlformats.org/officeDocument/2006/relationships/hyperlink" Target="https://polkadot.subsquare.io/treasury/child-bounties/1060" TargetMode="External"/><Relationship Id="rId1393" Type="http://schemas.openxmlformats.org/officeDocument/2006/relationships/hyperlink" Target="https://polkadot.subsquare.io/treasury/child-bounties/1061" TargetMode="External"/><Relationship Id="rId1394" Type="http://schemas.openxmlformats.org/officeDocument/2006/relationships/hyperlink" Target="https://polkadot.subsquare.io/treasury/child-bounties/1062" TargetMode="External"/><Relationship Id="rId1395" Type="http://schemas.openxmlformats.org/officeDocument/2006/relationships/hyperlink" Target="https://polkadot.subsquare.io/treasury/child-bounties/1063" TargetMode="External"/><Relationship Id="rId323" Type="http://schemas.openxmlformats.org/officeDocument/2006/relationships/hyperlink" Target="https://polkadot.subsquare.io/referenda/690" TargetMode="External"/><Relationship Id="rId1396" Type="http://schemas.openxmlformats.org/officeDocument/2006/relationships/hyperlink" Target="https://polkadot.subsquare.io/treasury/child-bounties/1064" TargetMode="External"/><Relationship Id="rId322" Type="http://schemas.openxmlformats.org/officeDocument/2006/relationships/hyperlink" Target="https://polkadot.subsquare.io/referenda/687" TargetMode="External"/><Relationship Id="rId1397" Type="http://schemas.openxmlformats.org/officeDocument/2006/relationships/hyperlink" Target="https://polkadot.subsquare.io/treasury/child-bounties/1065" TargetMode="External"/><Relationship Id="rId321" Type="http://schemas.openxmlformats.org/officeDocument/2006/relationships/hyperlink" Target="https://polkadot.subsquare.io/referenda/685" TargetMode="External"/><Relationship Id="rId1398" Type="http://schemas.openxmlformats.org/officeDocument/2006/relationships/hyperlink" Target="https://polkadot.subsquare.io/treasury/child-bounties/1066" TargetMode="External"/><Relationship Id="rId320" Type="http://schemas.openxmlformats.org/officeDocument/2006/relationships/hyperlink" Target="https://polkadot.subsquare.io/referenda/683" TargetMode="External"/><Relationship Id="rId1399" Type="http://schemas.openxmlformats.org/officeDocument/2006/relationships/hyperlink" Target="https://polkadot.subsquare.io/treasury/child-bounties/1067" TargetMode="External"/><Relationship Id="rId1389" Type="http://schemas.openxmlformats.org/officeDocument/2006/relationships/hyperlink" Target="https://polkadot.subsquare.io/treasury/child-bounties/1057" TargetMode="External"/><Relationship Id="rId316" Type="http://schemas.openxmlformats.org/officeDocument/2006/relationships/hyperlink" Target="https://polkadot.subsquare.io/referenda/675" TargetMode="External"/><Relationship Id="rId315" Type="http://schemas.openxmlformats.org/officeDocument/2006/relationships/hyperlink" Target="https://polkadot.subsquare.io/referenda/674" TargetMode="External"/><Relationship Id="rId799" Type="http://schemas.openxmlformats.org/officeDocument/2006/relationships/hyperlink" Target="https://polkadot.subsquare.io/treasury/child-bounties/437" TargetMode="External"/><Relationship Id="rId314" Type="http://schemas.openxmlformats.org/officeDocument/2006/relationships/hyperlink" Target="https://polkadot.subsquare.io/referenda/673" TargetMode="External"/><Relationship Id="rId798" Type="http://schemas.openxmlformats.org/officeDocument/2006/relationships/hyperlink" Target="https://polkadot.subsquare.io/treasury/child-bounties/436" TargetMode="External"/><Relationship Id="rId313" Type="http://schemas.openxmlformats.org/officeDocument/2006/relationships/hyperlink" Target="https://polkadot.subsquare.io/referenda/672" TargetMode="External"/><Relationship Id="rId797" Type="http://schemas.openxmlformats.org/officeDocument/2006/relationships/hyperlink" Target="https://polkadot.subsquare.io/treasury/child-bounties/435" TargetMode="External"/><Relationship Id="rId319" Type="http://schemas.openxmlformats.org/officeDocument/2006/relationships/hyperlink" Target="https://polkadot.subsquare.io/referenda/681" TargetMode="External"/><Relationship Id="rId318" Type="http://schemas.openxmlformats.org/officeDocument/2006/relationships/hyperlink" Target="https://polkadot.subsquare.io/referenda/677" TargetMode="External"/><Relationship Id="rId317" Type="http://schemas.openxmlformats.org/officeDocument/2006/relationships/hyperlink" Target="https://polkadot.subsquare.io/referenda/676" TargetMode="External"/><Relationship Id="rId1380" Type="http://schemas.openxmlformats.org/officeDocument/2006/relationships/hyperlink" Target="https://polkadot.subsquare.io/treasury/child-bounties/1048" TargetMode="External"/><Relationship Id="rId792" Type="http://schemas.openxmlformats.org/officeDocument/2006/relationships/hyperlink" Target="https://polkadot.subsquare.io/treasury/child-bounties/430" TargetMode="External"/><Relationship Id="rId1381" Type="http://schemas.openxmlformats.org/officeDocument/2006/relationships/hyperlink" Target="https://polkadot.subsquare.io/treasury/child-bounties/1049" TargetMode="External"/><Relationship Id="rId791" Type="http://schemas.openxmlformats.org/officeDocument/2006/relationships/hyperlink" Target="https://polkadot.subsquare.io/treasury/child-bounties/429" TargetMode="External"/><Relationship Id="rId1382" Type="http://schemas.openxmlformats.org/officeDocument/2006/relationships/hyperlink" Target="https://polkadot.subsquare.io/treasury/child-bounties/1050" TargetMode="External"/><Relationship Id="rId790" Type="http://schemas.openxmlformats.org/officeDocument/2006/relationships/hyperlink" Target="https://polkadot.subsquare.io/treasury/child-bounties/428" TargetMode="External"/><Relationship Id="rId1383" Type="http://schemas.openxmlformats.org/officeDocument/2006/relationships/hyperlink" Target="https://polkadot.subsquare.io/treasury/child-bounties/1051" TargetMode="External"/><Relationship Id="rId1384" Type="http://schemas.openxmlformats.org/officeDocument/2006/relationships/hyperlink" Target="https://polkadot.subsquare.io/treasury/child-bounties/1052" TargetMode="External"/><Relationship Id="rId312" Type="http://schemas.openxmlformats.org/officeDocument/2006/relationships/hyperlink" Target="https://polkadot.subsquare.io/referenda/671" TargetMode="External"/><Relationship Id="rId796" Type="http://schemas.openxmlformats.org/officeDocument/2006/relationships/hyperlink" Target="https://polkadot.subsquare.io/treasury/child-bounties/434" TargetMode="External"/><Relationship Id="rId1385" Type="http://schemas.openxmlformats.org/officeDocument/2006/relationships/hyperlink" Target="https://polkadot.subsquare.io/treasury/child-bounties/1053" TargetMode="External"/><Relationship Id="rId311" Type="http://schemas.openxmlformats.org/officeDocument/2006/relationships/hyperlink" Target="https://polkadot.subsquare.io/referenda/670" TargetMode="External"/><Relationship Id="rId795" Type="http://schemas.openxmlformats.org/officeDocument/2006/relationships/hyperlink" Target="https://polkadot.subsquare.io/treasury/child-bounties/433" TargetMode="External"/><Relationship Id="rId1386" Type="http://schemas.openxmlformats.org/officeDocument/2006/relationships/hyperlink" Target="https://polkadot.subsquare.io/treasury/child-bounties/1054" TargetMode="External"/><Relationship Id="rId310" Type="http://schemas.openxmlformats.org/officeDocument/2006/relationships/hyperlink" Target="https://polkadot.subsquare.io/referenda/668" TargetMode="External"/><Relationship Id="rId794" Type="http://schemas.openxmlformats.org/officeDocument/2006/relationships/hyperlink" Target="https://polkadot.subsquare.io/treasury/child-bounties/432" TargetMode="External"/><Relationship Id="rId1387" Type="http://schemas.openxmlformats.org/officeDocument/2006/relationships/hyperlink" Target="https://polkadot.subsquare.io/treasury/child-bounties/1055" TargetMode="External"/><Relationship Id="rId793" Type="http://schemas.openxmlformats.org/officeDocument/2006/relationships/hyperlink" Target="https://polkadot.subsquare.io/treasury/child-bounties/431" TargetMode="External"/><Relationship Id="rId1388" Type="http://schemas.openxmlformats.org/officeDocument/2006/relationships/hyperlink" Target="https://polkadot.subsquare.io/treasury/child-bounties/1056" TargetMode="External"/><Relationship Id="rId297" Type="http://schemas.openxmlformats.org/officeDocument/2006/relationships/hyperlink" Target="https://polkadot.subsquare.io/referenda/641" TargetMode="External"/><Relationship Id="rId296" Type="http://schemas.openxmlformats.org/officeDocument/2006/relationships/hyperlink" Target="https://polkadot.subsquare.io/referenda/638" TargetMode="External"/><Relationship Id="rId295" Type="http://schemas.openxmlformats.org/officeDocument/2006/relationships/hyperlink" Target="https://polkadot.subsquare.io/referenda/634" TargetMode="External"/><Relationship Id="rId294" Type="http://schemas.openxmlformats.org/officeDocument/2006/relationships/hyperlink" Target="https://polkadot.subsquare.io/referenda/633" TargetMode="External"/><Relationship Id="rId299" Type="http://schemas.openxmlformats.org/officeDocument/2006/relationships/hyperlink" Target="https://polkadot.subsquare.io/referenda/644" TargetMode="External"/><Relationship Id="rId298" Type="http://schemas.openxmlformats.org/officeDocument/2006/relationships/hyperlink" Target="https://polkadot.subsquare.io/referenda/642" TargetMode="External"/><Relationship Id="rId271" Type="http://schemas.openxmlformats.org/officeDocument/2006/relationships/hyperlink" Target="https://polkadot.subsquare.io/referenda/584" TargetMode="External"/><Relationship Id="rId270" Type="http://schemas.openxmlformats.org/officeDocument/2006/relationships/hyperlink" Target="https://polkadot.subsquare.io/referenda/582" TargetMode="External"/><Relationship Id="rId269" Type="http://schemas.openxmlformats.org/officeDocument/2006/relationships/hyperlink" Target="https://polkadot.subsquare.io/referenda/580" TargetMode="External"/><Relationship Id="rId264" Type="http://schemas.openxmlformats.org/officeDocument/2006/relationships/hyperlink" Target="https://polkadot.subsquare.io/referenda/571" TargetMode="External"/><Relationship Id="rId263" Type="http://schemas.openxmlformats.org/officeDocument/2006/relationships/hyperlink" Target="https://polkadot.subsquare.io/referenda/569" TargetMode="External"/><Relationship Id="rId262" Type="http://schemas.openxmlformats.org/officeDocument/2006/relationships/hyperlink" Target="https://polkadot.subsquare.io/referenda/568" TargetMode="External"/><Relationship Id="rId261" Type="http://schemas.openxmlformats.org/officeDocument/2006/relationships/hyperlink" Target="https://polkadot.subsquare.io/referenda/567" TargetMode="External"/><Relationship Id="rId268" Type="http://schemas.openxmlformats.org/officeDocument/2006/relationships/hyperlink" Target="https://polkadot.subsquare.io/referenda/579" TargetMode="External"/><Relationship Id="rId267" Type="http://schemas.openxmlformats.org/officeDocument/2006/relationships/hyperlink" Target="https://polkadot.subsquare.io/referenda/578" TargetMode="External"/><Relationship Id="rId266" Type="http://schemas.openxmlformats.org/officeDocument/2006/relationships/hyperlink" Target="https://polkadot.subsquare.io/referenda/576" TargetMode="External"/><Relationship Id="rId265" Type="http://schemas.openxmlformats.org/officeDocument/2006/relationships/hyperlink" Target="https://polkadot.subsquare.io/referenda/573" TargetMode="External"/><Relationship Id="rId260" Type="http://schemas.openxmlformats.org/officeDocument/2006/relationships/hyperlink" Target="https://polkadot.subsquare.io/referenda/561" TargetMode="External"/><Relationship Id="rId259" Type="http://schemas.openxmlformats.org/officeDocument/2006/relationships/hyperlink" Target="https://polkadot.subsquare.io/referenda/559" TargetMode="External"/><Relationship Id="rId258" Type="http://schemas.openxmlformats.org/officeDocument/2006/relationships/hyperlink" Target="https://polkadot.subsquare.io/referenda/555" TargetMode="External"/><Relationship Id="rId253" Type="http://schemas.openxmlformats.org/officeDocument/2006/relationships/hyperlink" Target="https://polkadot.subsquare.io/referenda/541" TargetMode="External"/><Relationship Id="rId252" Type="http://schemas.openxmlformats.org/officeDocument/2006/relationships/hyperlink" Target="https://polkadot.subsquare.io/referenda/539" TargetMode="External"/><Relationship Id="rId251" Type="http://schemas.openxmlformats.org/officeDocument/2006/relationships/hyperlink" Target="https://polkadot.subsquare.io/referenda/538" TargetMode="External"/><Relationship Id="rId250" Type="http://schemas.openxmlformats.org/officeDocument/2006/relationships/hyperlink" Target="https://polkadot.subsquare.io/referenda/527" TargetMode="External"/><Relationship Id="rId257" Type="http://schemas.openxmlformats.org/officeDocument/2006/relationships/hyperlink" Target="https://polkadot.subsquare.io/referenda/554" TargetMode="External"/><Relationship Id="rId256" Type="http://schemas.openxmlformats.org/officeDocument/2006/relationships/hyperlink" Target="https://polkadot.subsquare.io/referenda/552" TargetMode="External"/><Relationship Id="rId255" Type="http://schemas.openxmlformats.org/officeDocument/2006/relationships/hyperlink" Target="https://polkadot.subsquare.io/referenda/544" TargetMode="External"/><Relationship Id="rId254" Type="http://schemas.openxmlformats.org/officeDocument/2006/relationships/hyperlink" Target="https://polkadot.subsquare.io/referenda/542" TargetMode="External"/><Relationship Id="rId293" Type="http://schemas.openxmlformats.org/officeDocument/2006/relationships/hyperlink" Target="https://polkadot.subsquare.io/referenda/632" TargetMode="External"/><Relationship Id="rId292" Type="http://schemas.openxmlformats.org/officeDocument/2006/relationships/hyperlink" Target="https://polkadot.subsquare.io/referenda/631" TargetMode="External"/><Relationship Id="rId291" Type="http://schemas.openxmlformats.org/officeDocument/2006/relationships/hyperlink" Target="https://polkadot.subsquare.io/referenda/629" TargetMode="External"/><Relationship Id="rId290" Type="http://schemas.openxmlformats.org/officeDocument/2006/relationships/hyperlink" Target="https://polkadot.subsquare.io/referenda/628" TargetMode="External"/><Relationship Id="rId286" Type="http://schemas.openxmlformats.org/officeDocument/2006/relationships/hyperlink" Target="https://polkadot.subsquare.io/referenda/619" TargetMode="External"/><Relationship Id="rId285" Type="http://schemas.openxmlformats.org/officeDocument/2006/relationships/hyperlink" Target="https://polkadot.subsquare.io/referenda/618" TargetMode="External"/><Relationship Id="rId284" Type="http://schemas.openxmlformats.org/officeDocument/2006/relationships/hyperlink" Target="https://polkadot.subsquare.io/referenda/617" TargetMode="External"/><Relationship Id="rId283" Type="http://schemas.openxmlformats.org/officeDocument/2006/relationships/hyperlink" Target="https://polkadot.subsquare.io/referenda/616" TargetMode="External"/><Relationship Id="rId289" Type="http://schemas.openxmlformats.org/officeDocument/2006/relationships/hyperlink" Target="https://polkadot.subsquare.io/referenda/627" TargetMode="External"/><Relationship Id="rId288" Type="http://schemas.openxmlformats.org/officeDocument/2006/relationships/hyperlink" Target="https://polkadot.subsquare.io/referenda/622" TargetMode="External"/><Relationship Id="rId287" Type="http://schemas.openxmlformats.org/officeDocument/2006/relationships/hyperlink" Target="https://polkadot.subsquare.io/referenda/621" TargetMode="External"/><Relationship Id="rId282" Type="http://schemas.openxmlformats.org/officeDocument/2006/relationships/hyperlink" Target="https://polkadot.subsquare.io/referenda/613" TargetMode="External"/><Relationship Id="rId281" Type="http://schemas.openxmlformats.org/officeDocument/2006/relationships/hyperlink" Target="https://polkadot.subsquare.io/referenda/611" TargetMode="External"/><Relationship Id="rId280" Type="http://schemas.openxmlformats.org/officeDocument/2006/relationships/hyperlink" Target="https://polkadot.subsquare.io/referenda/610" TargetMode="External"/><Relationship Id="rId275" Type="http://schemas.openxmlformats.org/officeDocument/2006/relationships/hyperlink" Target="https://polkadot.subsquare.io/referenda/591" TargetMode="External"/><Relationship Id="rId274" Type="http://schemas.openxmlformats.org/officeDocument/2006/relationships/hyperlink" Target="https://polkadot.subsquare.io/referenda/589" TargetMode="External"/><Relationship Id="rId273" Type="http://schemas.openxmlformats.org/officeDocument/2006/relationships/hyperlink" Target="https://polkadot.subsquare.io/referenda/588" TargetMode="External"/><Relationship Id="rId272" Type="http://schemas.openxmlformats.org/officeDocument/2006/relationships/hyperlink" Target="https://polkadot.subsquare.io/referenda/585" TargetMode="External"/><Relationship Id="rId279" Type="http://schemas.openxmlformats.org/officeDocument/2006/relationships/hyperlink" Target="https://polkadot.subsquare.io/referenda/601" TargetMode="External"/><Relationship Id="rId278" Type="http://schemas.openxmlformats.org/officeDocument/2006/relationships/hyperlink" Target="https://polkadot.subsquare.io/referenda/600" TargetMode="External"/><Relationship Id="rId277" Type="http://schemas.openxmlformats.org/officeDocument/2006/relationships/hyperlink" Target="https://polkadot.subsquare.io/referenda/599" TargetMode="External"/><Relationship Id="rId276" Type="http://schemas.openxmlformats.org/officeDocument/2006/relationships/hyperlink" Target="https://polkadot.subsquare.io/referenda/597" TargetMode="External"/><Relationship Id="rId1455" Type="http://schemas.openxmlformats.org/officeDocument/2006/relationships/hyperlink" Target="https://polkadot.subsquare.io/treasury/child-bounties/1124" TargetMode="External"/><Relationship Id="rId1456" Type="http://schemas.openxmlformats.org/officeDocument/2006/relationships/hyperlink" Target="https://polkadot.subsquare.io/treasury/child-bounties/1125" TargetMode="External"/><Relationship Id="rId1457" Type="http://schemas.openxmlformats.org/officeDocument/2006/relationships/hyperlink" Target="https://polkadot.subsquare.io/treasury/child-bounties/1126" TargetMode="External"/><Relationship Id="rId1458" Type="http://schemas.openxmlformats.org/officeDocument/2006/relationships/hyperlink" Target="https://polkadot.subsquare.io/treasury/child-bounties/1127" TargetMode="External"/><Relationship Id="rId1459" Type="http://schemas.openxmlformats.org/officeDocument/2006/relationships/hyperlink" Target="https://polkadot.subsquare.io/treasury/child-bounties/1128" TargetMode="External"/><Relationship Id="rId629" Type="http://schemas.openxmlformats.org/officeDocument/2006/relationships/hyperlink" Target="https://polkadot.subsquare.io/treasury/child-bounties/254" TargetMode="External"/><Relationship Id="rId624" Type="http://schemas.openxmlformats.org/officeDocument/2006/relationships/hyperlink" Target="https://polkadot.subsquare.io/treasury/child-bounties/249" TargetMode="External"/><Relationship Id="rId623" Type="http://schemas.openxmlformats.org/officeDocument/2006/relationships/hyperlink" Target="https://polkadot.subsquare.io/treasury/child-bounties/248" TargetMode="External"/><Relationship Id="rId622" Type="http://schemas.openxmlformats.org/officeDocument/2006/relationships/hyperlink" Target="https://polkadot.subsquare.io/treasury/child-bounties/247" TargetMode="External"/><Relationship Id="rId621" Type="http://schemas.openxmlformats.org/officeDocument/2006/relationships/hyperlink" Target="https://polkadot.subsquare.io/treasury/child-bounties/246" TargetMode="External"/><Relationship Id="rId628" Type="http://schemas.openxmlformats.org/officeDocument/2006/relationships/hyperlink" Target="https://polkadot.subsquare.io/treasury/child-bounties/253" TargetMode="External"/><Relationship Id="rId627" Type="http://schemas.openxmlformats.org/officeDocument/2006/relationships/hyperlink" Target="https://polkadot.subsquare.io/treasury/child-bounties/252" TargetMode="External"/><Relationship Id="rId626" Type="http://schemas.openxmlformats.org/officeDocument/2006/relationships/hyperlink" Target="https://polkadot.subsquare.io/treasury/child-bounties/251" TargetMode="External"/><Relationship Id="rId625" Type="http://schemas.openxmlformats.org/officeDocument/2006/relationships/hyperlink" Target="https://polkadot.subsquare.io/treasury/child-bounties/250" TargetMode="External"/><Relationship Id="rId1450" Type="http://schemas.openxmlformats.org/officeDocument/2006/relationships/hyperlink" Target="https://polkadot.subsquare.io/treasury/child-bounties/1119" TargetMode="External"/><Relationship Id="rId620" Type="http://schemas.openxmlformats.org/officeDocument/2006/relationships/hyperlink" Target="https://polkadot.subsquare.io/treasury/child-bounties/245" TargetMode="External"/><Relationship Id="rId1451" Type="http://schemas.openxmlformats.org/officeDocument/2006/relationships/hyperlink" Target="https://polkadot.subsquare.io/treasury/child-bounties/1120" TargetMode="External"/><Relationship Id="rId1452" Type="http://schemas.openxmlformats.org/officeDocument/2006/relationships/hyperlink" Target="https://polkadot.subsquare.io/treasury/child-bounties/1121" TargetMode="External"/><Relationship Id="rId1453" Type="http://schemas.openxmlformats.org/officeDocument/2006/relationships/hyperlink" Target="https://polkadot.subsquare.io/treasury/child-bounties/1122" TargetMode="External"/><Relationship Id="rId1454" Type="http://schemas.openxmlformats.org/officeDocument/2006/relationships/hyperlink" Target="https://polkadot.subsquare.io/treasury/child-bounties/1123" TargetMode="External"/><Relationship Id="rId1444" Type="http://schemas.openxmlformats.org/officeDocument/2006/relationships/hyperlink" Target="https://polkadot.subsquare.io/treasury/child-bounties/1113" TargetMode="External"/><Relationship Id="rId1445" Type="http://schemas.openxmlformats.org/officeDocument/2006/relationships/hyperlink" Target="https://polkadot.subsquare.io/treasury/child-bounties/1114" TargetMode="External"/><Relationship Id="rId1446" Type="http://schemas.openxmlformats.org/officeDocument/2006/relationships/hyperlink" Target="https://polkadot.subsquare.io/treasury/child-bounties/1115" TargetMode="External"/><Relationship Id="rId1447" Type="http://schemas.openxmlformats.org/officeDocument/2006/relationships/hyperlink" Target="https://polkadot.subsquare.io/treasury/child-bounties/1116" TargetMode="External"/><Relationship Id="rId1448" Type="http://schemas.openxmlformats.org/officeDocument/2006/relationships/hyperlink" Target="https://polkadot.subsquare.io/treasury/child-bounties/1117" TargetMode="External"/><Relationship Id="rId1449" Type="http://schemas.openxmlformats.org/officeDocument/2006/relationships/hyperlink" Target="https://polkadot.subsquare.io/treasury/child-bounties/1118" TargetMode="External"/><Relationship Id="rId619" Type="http://schemas.openxmlformats.org/officeDocument/2006/relationships/hyperlink" Target="https://polkadot.subsquare.io/treasury/child-bounties/242" TargetMode="External"/><Relationship Id="rId618" Type="http://schemas.openxmlformats.org/officeDocument/2006/relationships/hyperlink" Target="https://polkadot.subsquare.io/treasury/child-bounties/241" TargetMode="External"/><Relationship Id="rId613" Type="http://schemas.openxmlformats.org/officeDocument/2006/relationships/hyperlink" Target="https://polkadot.subsquare.io/treasury/child-bounties/236" TargetMode="External"/><Relationship Id="rId612" Type="http://schemas.openxmlformats.org/officeDocument/2006/relationships/hyperlink" Target="https://polkadot.subsquare.io/treasury/child-bounties/235" TargetMode="External"/><Relationship Id="rId611" Type="http://schemas.openxmlformats.org/officeDocument/2006/relationships/hyperlink" Target="https://polkadot.subsquare.io/treasury/child-bounties/234" TargetMode="External"/><Relationship Id="rId610" Type="http://schemas.openxmlformats.org/officeDocument/2006/relationships/hyperlink" Target="https://polkadot.subsquare.io/treasury/child-bounties/233" TargetMode="External"/><Relationship Id="rId617" Type="http://schemas.openxmlformats.org/officeDocument/2006/relationships/hyperlink" Target="https://polkadot.subsquare.io/treasury/child-bounties/240" TargetMode="External"/><Relationship Id="rId616" Type="http://schemas.openxmlformats.org/officeDocument/2006/relationships/hyperlink" Target="https://polkadot.subsquare.io/treasury/child-bounties/239" TargetMode="External"/><Relationship Id="rId615" Type="http://schemas.openxmlformats.org/officeDocument/2006/relationships/hyperlink" Target="https://polkadot.subsquare.io/treasury/child-bounties/238" TargetMode="External"/><Relationship Id="rId614" Type="http://schemas.openxmlformats.org/officeDocument/2006/relationships/hyperlink" Target="https://polkadot.subsquare.io/treasury/child-bounties/237" TargetMode="External"/><Relationship Id="rId1440" Type="http://schemas.openxmlformats.org/officeDocument/2006/relationships/hyperlink" Target="https://polkadot.subsquare.io/treasury/child-bounties/1109" TargetMode="External"/><Relationship Id="rId1441" Type="http://schemas.openxmlformats.org/officeDocument/2006/relationships/hyperlink" Target="https://polkadot.subsquare.io/treasury/child-bounties/1110" TargetMode="External"/><Relationship Id="rId1442" Type="http://schemas.openxmlformats.org/officeDocument/2006/relationships/hyperlink" Target="https://polkadot.subsquare.io/treasury/child-bounties/1111" TargetMode="External"/><Relationship Id="rId1443" Type="http://schemas.openxmlformats.org/officeDocument/2006/relationships/hyperlink" Target="https://polkadot.subsquare.io/treasury/child-bounties/1112" TargetMode="External"/><Relationship Id="rId1477" Type="http://schemas.openxmlformats.org/officeDocument/2006/relationships/hyperlink" Target="https://polkadot.subsquare.io/treasury/child-bounties/1146" TargetMode="External"/><Relationship Id="rId1478" Type="http://schemas.openxmlformats.org/officeDocument/2006/relationships/hyperlink" Target="https://polkadot.subsquare.io/treasury/child-bounties/1147" TargetMode="External"/><Relationship Id="rId1479" Type="http://schemas.openxmlformats.org/officeDocument/2006/relationships/hyperlink" Target="https://polkadot.subsquare.io/treasury/child-bounties/1148" TargetMode="External"/><Relationship Id="rId646" Type="http://schemas.openxmlformats.org/officeDocument/2006/relationships/hyperlink" Target="https://polkadot.subsquare.io/treasury/child-bounties/271" TargetMode="External"/><Relationship Id="rId645" Type="http://schemas.openxmlformats.org/officeDocument/2006/relationships/hyperlink" Target="https://polkadot.subsquare.io/treasury/child-bounties/270" TargetMode="External"/><Relationship Id="rId644" Type="http://schemas.openxmlformats.org/officeDocument/2006/relationships/hyperlink" Target="https://polkadot.subsquare.io/treasury/child-bounties/269" TargetMode="External"/><Relationship Id="rId643" Type="http://schemas.openxmlformats.org/officeDocument/2006/relationships/hyperlink" Target="https://polkadot.subsquare.io/treasury/child-bounties/268" TargetMode="External"/><Relationship Id="rId649" Type="http://schemas.openxmlformats.org/officeDocument/2006/relationships/hyperlink" Target="https://polkadot.subsquare.io/treasury/child-bounties/274" TargetMode="External"/><Relationship Id="rId648" Type="http://schemas.openxmlformats.org/officeDocument/2006/relationships/hyperlink" Target="https://polkadot.subsquare.io/treasury/child-bounties/273" TargetMode="External"/><Relationship Id="rId647" Type="http://schemas.openxmlformats.org/officeDocument/2006/relationships/hyperlink" Target="https://polkadot.subsquare.io/treasury/child-bounties/272" TargetMode="External"/><Relationship Id="rId1470" Type="http://schemas.openxmlformats.org/officeDocument/2006/relationships/hyperlink" Target="https://polkadot.subsquare.io/treasury/child-bounties/1139" TargetMode="External"/><Relationship Id="rId1471" Type="http://schemas.openxmlformats.org/officeDocument/2006/relationships/hyperlink" Target="https://polkadot.subsquare.io/treasury/child-bounties/1140" TargetMode="External"/><Relationship Id="rId1472" Type="http://schemas.openxmlformats.org/officeDocument/2006/relationships/hyperlink" Target="https://polkadot.subsquare.io/treasury/child-bounties/1141" TargetMode="External"/><Relationship Id="rId642" Type="http://schemas.openxmlformats.org/officeDocument/2006/relationships/hyperlink" Target="https://polkadot.subsquare.io/treasury/child-bounties/267" TargetMode="External"/><Relationship Id="rId1473" Type="http://schemas.openxmlformats.org/officeDocument/2006/relationships/hyperlink" Target="https://polkadot.subsquare.io/treasury/child-bounties/1142" TargetMode="External"/><Relationship Id="rId641" Type="http://schemas.openxmlformats.org/officeDocument/2006/relationships/hyperlink" Target="https://polkadot.subsquare.io/treasury/child-bounties/266" TargetMode="External"/><Relationship Id="rId1474" Type="http://schemas.openxmlformats.org/officeDocument/2006/relationships/hyperlink" Target="https://polkadot.subsquare.io/treasury/child-bounties/1143" TargetMode="External"/><Relationship Id="rId640" Type="http://schemas.openxmlformats.org/officeDocument/2006/relationships/hyperlink" Target="https://polkadot.subsquare.io/treasury/child-bounties/265" TargetMode="External"/><Relationship Id="rId1475" Type="http://schemas.openxmlformats.org/officeDocument/2006/relationships/hyperlink" Target="https://polkadot.subsquare.io/treasury/child-bounties/1144" TargetMode="External"/><Relationship Id="rId1476" Type="http://schemas.openxmlformats.org/officeDocument/2006/relationships/hyperlink" Target="https://polkadot.subsquare.io/treasury/child-bounties/1145" TargetMode="External"/><Relationship Id="rId1466" Type="http://schemas.openxmlformats.org/officeDocument/2006/relationships/hyperlink" Target="https://polkadot.subsquare.io/treasury/child-bounties/1135" TargetMode="External"/><Relationship Id="rId1467" Type="http://schemas.openxmlformats.org/officeDocument/2006/relationships/hyperlink" Target="https://polkadot.subsquare.io/treasury/child-bounties/1136" TargetMode="External"/><Relationship Id="rId1468" Type="http://schemas.openxmlformats.org/officeDocument/2006/relationships/hyperlink" Target="https://polkadot.subsquare.io/treasury/child-bounties/1137" TargetMode="External"/><Relationship Id="rId1469" Type="http://schemas.openxmlformats.org/officeDocument/2006/relationships/hyperlink" Target="https://polkadot.subsquare.io/treasury/child-bounties/1138" TargetMode="External"/><Relationship Id="rId635" Type="http://schemas.openxmlformats.org/officeDocument/2006/relationships/hyperlink" Target="https://polkadot.subsquare.io/treasury/child-bounties/260" TargetMode="External"/><Relationship Id="rId634" Type="http://schemas.openxmlformats.org/officeDocument/2006/relationships/hyperlink" Target="https://polkadot.subsquare.io/treasury/child-bounties/259" TargetMode="External"/><Relationship Id="rId633" Type="http://schemas.openxmlformats.org/officeDocument/2006/relationships/hyperlink" Target="https://polkadot.subsquare.io/treasury/child-bounties/258" TargetMode="External"/><Relationship Id="rId632" Type="http://schemas.openxmlformats.org/officeDocument/2006/relationships/hyperlink" Target="https://polkadot.subsquare.io/treasury/child-bounties/257" TargetMode="External"/><Relationship Id="rId639" Type="http://schemas.openxmlformats.org/officeDocument/2006/relationships/hyperlink" Target="https://polkadot.subsquare.io/treasury/child-bounties/264" TargetMode="External"/><Relationship Id="rId638" Type="http://schemas.openxmlformats.org/officeDocument/2006/relationships/hyperlink" Target="https://polkadot.subsquare.io/treasury/child-bounties/263" TargetMode="External"/><Relationship Id="rId637" Type="http://schemas.openxmlformats.org/officeDocument/2006/relationships/hyperlink" Target="https://polkadot.subsquare.io/treasury/child-bounties/262" TargetMode="External"/><Relationship Id="rId636" Type="http://schemas.openxmlformats.org/officeDocument/2006/relationships/hyperlink" Target="https://polkadot.subsquare.io/treasury/child-bounties/261" TargetMode="External"/><Relationship Id="rId1460" Type="http://schemas.openxmlformats.org/officeDocument/2006/relationships/hyperlink" Target="https://polkadot.subsquare.io/treasury/child-bounties/1129" TargetMode="External"/><Relationship Id="rId1461" Type="http://schemas.openxmlformats.org/officeDocument/2006/relationships/hyperlink" Target="https://polkadot.subsquare.io/treasury/child-bounties/1130" TargetMode="External"/><Relationship Id="rId631" Type="http://schemas.openxmlformats.org/officeDocument/2006/relationships/hyperlink" Target="https://polkadot.subsquare.io/treasury/child-bounties/256" TargetMode="External"/><Relationship Id="rId1462" Type="http://schemas.openxmlformats.org/officeDocument/2006/relationships/hyperlink" Target="https://polkadot.subsquare.io/treasury/child-bounties/1131" TargetMode="External"/><Relationship Id="rId630" Type="http://schemas.openxmlformats.org/officeDocument/2006/relationships/hyperlink" Target="https://polkadot.subsquare.io/treasury/child-bounties/255" TargetMode="External"/><Relationship Id="rId1463" Type="http://schemas.openxmlformats.org/officeDocument/2006/relationships/hyperlink" Target="https://polkadot.subsquare.io/treasury/child-bounties/1132" TargetMode="External"/><Relationship Id="rId1464" Type="http://schemas.openxmlformats.org/officeDocument/2006/relationships/hyperlink" Target="https://polkadot.subsquare.io/treasury/child-bounties/1133" TargetMode="External"/><Relationship Id="rId1465" Type="http://schemas.openxmlformats.org/officeDocument/2006/relationships/hyperlink" Target="https://polkadot.subsquare.io/treasury/child-bounties/1134" TargetMode="External"/><Relationship Id="rId1411" Type="http://schemas.openxmlformats.org/officeDocument/2006/relationships/hyperlink" Target="https://polkadot.subsquare.io/treasury/child-bounties/1080" TargetMode="External"/><Relationship Id="rId1412" Type="http://schemas.openxmlformats.org/officeDocument/2006/relationships/hyperlink" Target="https://polkadot.subsquare.io/treasury/child-bounties/1081" TargetMode="External"/><Relationship Id="rId1413" Type="http://schemas.openxmlformats.org/officeDocument/2006/relationships/hyperlink" Target="https://polkadot.subsquare.io/treasury/child-bounties/1082" TargetMode="External"/><Relationship Id="rId1414" Type="http://schemas.openxmlformats.org/officeDocument/2006/relationships/hyperlink" Target="https://polkadot.subsquare.io/treasury/child-bounties/1083" TargetMode="External"/><Relationship Id="rId1415" Type="http://schemas.openxmlformats.org/officeDocument/2006/relationships/hyperlink" Target="https://polkadot.subsquare.io/treasury/child-bounties/1084" TargetMode="External"/><Relationship Id="rId1416" Type="http://schemas.openxmlformats.org/officeDocument/2006/relationships/hyperlink" Target="https://polkadot.subsquare.io/treasury/child-bounties/1085" TargetMode="External"/><Relationship Id="rId1417" Type="http://schemas.openxmlformats.org/officeDocument/2006/relationships/hyperlink" Target="https://polkadot.subsquare.io/treasury/child-bounties/1086" TargetMode="External"/><Relationship Id="rId1418" Type="http://schemas.openxmlformats.org/officeDocument/2006/relationships/hyperlink" Target="https://polkadot.subsquare.io/treasury/child-bounties/1087" TargetMode="External"/><Relationship Id="rId1419" Type="http://schemas.openxmlformats.org/officeDocument/2006/relationships/hyperlink" Target="https://polkadot.subsquare.io/treasury/child-bounties/1088" TargetMode="External"/><Relationship Id="rId1410" Type="http://schemas.openxmlformats.org/officeDocument/2006/relationships/hyperlink" Target="https://polkadot.subsquare.io/treasury/child-bounties/1079" TargetMode="External"/><Relationship Id="rId1400" Type="http://schemas.openxmlformats.org/officeDocument/2006/relationships/hyperlink" Target="https://polkadot.subsquare.io/treasury/child-bounties/1068" TargetMode="External"/><Relationship Id="rId1401" Type="http://schemas.openxmlformats.org/officeDocument/2006/relationships/hyperlink" Target="https://polkadot.subsquare.io/treasury/child-bounties/1069" TargetMode="External"/><Relationship Id="rId1402" Type="http://schemas.openxmlformats.org/officeDocument/2006/relationships/hyperlink" Target="https://polkadot.subsquare.io/treasury/child-bounties/1070" TargetMode="External"/><Relationship Id="rId1403" Type="http://schemas.openxmlformats.org/officeDocument/2006/relationships/hyperlink" Target="https://polkadot.subsquare.io/treasury/child-bounties/1071" TargetMode="External"/><Relationship Id="rId1404" Type="http://schemas.openxmlformats.org/officeDocument/2006/relationships/hyperlink" Target="https://polkadot.subsquare.io/treasury/child-bounties/1072" TargetMode="External"/><Relationship Id="rId1405" Type="http://schemas.openxmlformats.org/officeDocument/2006/relationships/hyperlink" Target="https://polkadot.subsquare.io/treasury/child-bounties/1073" TargetMode="External"/><Relationship Id="rId1406" Type="http://schemas.openxmlformats.org/officeDocument/2006/relationships/hyperlink" Target="https://polkadot.subsquare.io/treasury/child-bounties/1074" TargetMode="External"/><Relationship Id="rId1407" Type="http://schemas.openxmlformats.org/officeDocument/2006/relationships/hyperlink" Target="https://polkadot.subsquare.io/treasury/child-bounties/1075" TargetMode="External"/><Relationship Id="rId1408" Type="http://schemas.openxmlformats.org/officeDocument/2006/relationships/hyperlink" Target="https://polkadot.subsquare.io/treasury/child-bounties/1076" TargetMode="External"/><Relationship Id="rId1409" Type="http://schemas.openxmlformats.org/officeDocument/2006/relationships/hyperlink" Target="https://polkadot.subsquare.io/treasury/child-bounties/1078" TargetMode="External"/><Relationship Id="rId1433" Type="http://schemas.openxmlformats.org/officeDocument/2006/relationships/hyperlink" Target="https://polkadot.subsquare.io/treasury/child-bounties/1102" TargetMode="External"/><Relationship Id="rId1434" Type="http://schemas.openxmlformats.org/officeDocument/2006/relationships/hyperlink" Target="https://polkadot.subsquare.io/treasury/child-bounties/1103" TargetMode="External"/><Relationship Id="rId1435" Type="http://schemas.openxmlformats.org/officeDocument/2006/relationships/hyperlink" Target="https://polkadot.subsquare.io/treasury/child-bounties/1104" TargetMode="External"/><Relationship Id="rId1436" Type="http://schemas.openxmlformats.org/officeDocument/2006/relationships/hyperlink" Target="https://polkadot.subsquare.io/treasury/child-bounties/1105" TargetMode="External"/><Relationship Id="rId1437" Type="http://schemas.openxmlformats.org/officeDocument/2006/relationships/hyperlink" Target="https://polkadot.subsquare.io/treasury/child-bounties/1106" TargetMode="External"/><Relationship Id="rId1438" Type="http://schemas.openxmlformats.org/officeDocument/2006/relationships/hyperlink" Target="https://polkadot.subsquare.io/treasury/child-bounties/1107" TargetMode="External"/><Relationship Id="rId1439" Type="http://schemas.openxmlformats.org/officeDocument/2006/relationships/hyperlink" Target="https://polkadot.subsquare.io/treasury/child-bounties/1108" TargetMode="External"/><Relationship Id="rId609" Type="http://schemas.openxmlformats.org/officeDocument/2006/relationships/hyperlink" Target="https://polkadot.subsquare.io/treasury/child-bounties/232" TargetMode="External"/><Relationship Id="rId608" Type="http://schemas.openxmlformats.org/officeDocument/2006/relationships/hyperlink" Target="https://polkadot.subsquare.io/treasury/child-bounties/231" TargetMode="External"/><Relationship Id="rId607" Type="http://schemas.openxmlformats.org/officeDocument/2006/relationships/hyperlink" Target="https://polkadot.subsquare.io/treasury/child-bounties/230" TargetMode="External"/><Relationship Id="rId602" Type="http://schemas.openxmlformats.org/officeDocument/2006/relationships/hyperlink" Target="https://polkadot.subsquare.io/treasury/child-bounties/225" TargetMode="External"/><Relationship Id="rId601" Type="http://schemas.openxmlformats.org/officeDocument/2006/relationships/hyperlink" Target="https://polkadot.subsquare.io/treasury/child-bounties/224" TargetMode="External"/><Relationship Id="rId600" Type="http://schemas.openxmlformats.org/officeDocument/2006/relationships/hyperlink" Target="https://polkadot.subsquare.io/treasury/child-bounties/223" TargetMode="External"/><Relationship Id="rId606" Type="http://schemas.openxmlformats.org/officeDocument/2006/relationships/hyperlink" Target="https://polkadot.subsquare.io/treasury/child-bounties/229" TargetMode="External"/><Relationship Id="rId605" Type="http://schemas.openxmlformats.org/officeDocument/2006/relationships/hyperlink" Target="https://polkadot.subsquare.io/treasury/child-bounties/228" TargetMode="External"/><Relationship Id="rId604" Type="http://schemas.openxmlformats.org/officeDocument/2006/relationships/hyperlink" Target="https://polkadot.subsquare.io/treasury/child-bounties/227" TargetMode="External"/><Relationship Id="rId603" Type="http://schemas.openxmlformats.org/officeDocument/2006/relationships/hyperlink" Target="https://polkadot.subsquare.io/treasury/child-bounties/226" TargetMode="External"/><Relationship Id="rId1430" Type="http://schemas.openxmlformats.org/officeDocument/2006/relationships/hyperlink" Target="https://polkadot.subsquare.io/treasury/child-bounties/1099" TargetMode="External"/><Relationship Id="rId1431" Type="http://schemas.openxmlformats.org/officeDocument/2006/relationships/hyperlink" Target="https://polkadot.subsquare.io/treasury/child-bounties/1100" TargetMode="External"/><Relationship Id="rId1432" Type="http://schemas.openxmlformats.org/officeDocument/2006/relationships/hyperlink" Target="https://polkadot.subsquare.io/treasury/child-bounties/1101" TargetMode="External"/><Relationship Id="rId1422" Type="http://schemas.openxmlformats.org/officeDocument/2006/relationships/hyperlink" Target="https://polkadot.subsquare.io/treasury/child-bounties/1091" TargetMode="External"/><Relationship Id="rId1423" Type="http://schemas.openxmlformats.org/officeDocument/2006/relationships/hyperlink" Target="https://polkadot.subsquare.io/treasury/child-bounties/1092" TargetMode="External"/><Relationship Id="rId1424" Type="http://schemas.openxmlformats.org/officeDocument/2006/relationships/hyperlink" Target="https://polkadot.subsquare.io/treasury/child-bounties/1093" TargetMode="External"/><Relationship Id="rId1425" Type="http://schemas.openxmlformats.org/officeDocument/2006/relationships/hyperlink" Target="https://polkadot.subsquare.io/treasury/child-bounties/1094" TargetMode="External"/><Relationship Id="rId1426" Type="http://schemas.openxmlformats.org/officeDocument/2006/relationships/hyperlink" Target="https://polkadot.subsquare.io/treasury/child-bounties/1095" TargetMode="External"/><Relationship Id="rId1427" Type="http://schemas.openxmlformats.org/officeDocument/2006/relationships/hyperlink" Target="https://polkadot.subsquare.io/treasury/child-bounties/1096" TargetMode="External"/><Relationship Id="rId1428" Type="http://schemas.openxmlformats.org/officeDocument/2006/relationships/hyperlink" Target="https://polkadot.subsquare.io/treasury/child-bounties/1097" TargetMode="External"/><Relationship Id="rId1429" Type="http://schemas.openxmlformats.org/officeDocument/2006/relationships/hyperlink" Target="https://polkadot.subsquare.io/treasury/child-bounties/1098" TargetMode="External"/><Relationship Id="rId1420" Type="http://schemas.openxmlformats.org/officeDocument/2006/relationships/hyperlink" Target="https://polkadot.subsquare.io/treasury/child-bounties/1089" TargetMode="External"/><Relationship Id="rId1421" Type="http://schemas.openxmlformats.org/officeDocument/2006/relationships/hyperlink" Target="https://polkadot.subsquare.io/treasury/child-bounties/1090" TargetMode="External"/><Relationship Id="rId1059" Type="http://schemas.openxmlformats.org/officeDocument/2006/relationships/hyperlink" Target="https://polkadot.subsquare.io/treasury/child-bounties/713" TargetMode="External"/><Relationship Id="rId228" Type="http://schemas.openxmlformats.org/officeDocument/2006/relationships/hyperlink" Target="https://polkadot.subsquare.io/referenda/476" TargetMode="External"/><Relationship Id="rId227" Type="http://schemas.openxmlformats.org/officeDocument/2006/relationships/hyperlink" Target="https://polkadot.subsquare.io/referenda/473" TargetMode="External"/><Relationship Id="rId226" Type="http://schemas.openxmlformats.org/officeDocument/2006/relationships/hyperlink" Target="https://polkadot.subsquare.io/referenda/472" TargetMode="External"/><Relationship Id="rId225" Type="http://schemas.openxmlformats.org/officeDocument/2006/relationships/hyperlink" Target="https://polkadot.subsquare.io/referenda/469" TargetMode="External"/><Relationship Id="rId229" Type="http://schemas.openxmlformats.org/officeDocument/2006/relationships/hyperlink" Target="https://polkadot.subsquare.io/referenda/477" TargetMode="External"/><Relationship Id="rId1050" Type="http://schemas.openxmlformats.org/officeDocument/2006/relationships/hyperlink" Target="https://polkadot.subsquare.io/treasury/child-bounties/704" TargetMode="External"/><Relationship Id="rId220" Type="http://schemas.openxmlformats.org/officeDocument/2006/relationships/hyperlink" Target="https://polkadot.subsquare.io/referenda/462" TargetMode="External"/><Relationship Id="rId1051" Type="http://schemas.openxmlformats.org/officeDocument/2006/relationships/hyperlink" Target="https://polkadot.subsquare.io/treasury/child-bounties/705" TargetMode="External"/><Relationship Id="rId1052" Type="http://schemas.openxmlformats.org/officeDocument/2006/relationships/hyperlink" Target="https://polkadot.subsquare.io/treasury/child-bounties/706" TargetMode="External"/><Relationship Id="rId1053" Type="http://schemas.openxmlformats.org/officeDocument/2006/relationships/hyperlink" Target="https://polkadot.subsquare.io/treasury/child-bounties/707" TargetMode="External"/><Relationship Id="rId1054" Type="http://schemas.openxmlformats.org/officeDocument/2006/relationships/hyperlink" Target="https://polkadot.subsquare.io/treasury/child-bounties/708" TargetMode="External"/><Relationship Id="rId224" Type="http://schemas.openxmlformats.org/officeDocument/2006/relationships/hyperlink" Target="https://polkadot.subsquare.io/referenda/468" TargetMode="External"/><Relationship Id="rId1055" Type="http://schemas.openxmlformats.org/officeDocument/2006/relationships/hyperlink" Target="https://polkadot.subsquare.io/treasury/child-bounties/709" TargetMode="External"/><Relationship Id="rId223" Type="http://schemas.openxmlformats.org/officeDocument/2006/relationships/hyperlink" Target="https://polkadot.subsquare.io/referenda/467" TargetMode="External"/><Relationship Id="rId1056" Type="http://schemas.openxmlformats.org/officeDocument/2006/relationships/hyperlink" Target="https://polkadot.subsquare.io/treasury/child-bounties/710" TargetMode="External"/><Relationship Id="rId222" Type="http://schemas.openxmlformats.org/officeDocument/2006/relationships/hyperlink" Target="https://polkadot.subsquare.io/referenda/465" TargetMode="External"/><Relationship Id="rId1057" Type="http://schemas.openxmlformats.org/officeDocument/2006/relationships/hyperlink" Target="https://polkadot.subsquare.io/treasury/child-bounties/711" TargetMode="External"/><Relationship Id="rId221" Type="http://schemas.openxmlformats.org/officeDocument/2006/relationships/hyperlink" Target="https://polkadot.subsquare.io/referenda/463" TargetMode="External"/><Relationship Id="rId1058" Type="http://schemas.openxmlformats.org/officeDocument/2006/relationships/hyperlink" Target="https://polkadot.subsquare.io/treasury/child-bounties/712" TargetMode="External"/><Relationship Id="rId1048" Type="http://schemas.openxmlformats.org/officeDocument/2006/relationships/hyperlink" Target="https://polkadot.subsquare.io/treasury/child-bounties/702" TargetMode="External"/><Relationship Id="rId1049" Type="http://schemas.openxmlformats.org/officeDocument/2006/relationships/hyperlink" Target="https://polkadot.subsquare.io/treasury/child-bounties/703" TargetMode="External"/><Relationship Id="rId217" Type="http://schemas.openxmlformats.org/officeDocument/2006/relationships/hyperlink" Target="https://polkadot.subsquare.io/referenda/459" TargetMode="External"/><Relationship Id="rId216" Type="http://schemas.openxmlformats.org/officeDocument/2006/relationships/hyperlink" Target="https://polkadot.subsquare.io/referenda/451" TargetMode="External"/><Relationship Id="rId215" Type="http://schemas.openxmlformats.org/officeDocument/2006/relationships/hyperlink" Target="https://polkadot.subsquare.io/referenda/450" TargetMode="External"/><Relationship Id="rId699" Type="http://schemas.openxmlformats.org/officeDocument/2006/relationships/hyperlink" Target="https://polkadot.subsquare.io/treasury/child-bounties/325" TargetMode="External"/><Relationship Id="rId214" Type="http://schemas.openxmlformats.org/officeDocument/2006/relationships/hyperlink" Target="https://polkadot.subsquare.io/referenda/448" TargetMode="External"/><Relationship Id="rId698" Type="http://schemas.openxmlformats.org/officeDocument/2006/relationships/hyperlink" Target="https://polkadot.subsquare.io/treasury/child-bounties/324" TargetMode="External"/><Relationship Id="rId219" Type="http://schemas.openxmlformats.org/officeDocument/2006/relationships/hyperlink" Target="https://polkadot.subsquare.io/referenda/461" TargetMode="External"/><Relationship Id="rId218" Type="http://schemas.openxmlformats.org/officeDocument/2006/relationships/hyperlink" Target="https://polkadot.subsquare.io/referenda/460" TargetMode="External"/><Relationship Id="rId693" Type="http://schemas.openxmlformats.org/officeDocument/2006/relationships/hyperlink" Target="https://polkadot.subsquare.io/treasury/child-bounties/319" TargetMode="External"/><Relationship Id="rId1040" Type="http://schemas.openxmlformats.org/officeDocument/2006/relationships/hyperlink" Target="https://polkadot.subsquare.io/treasury/child-bounties/694" TargetMode="External"/><Relationship Id="rId692" Type="http://schemas.openxmlformats.org/officeDocument/2006/relationships/hyperlink" Target="https://polkadot.subsquare.io/treasury/child-bounties/318" TargetMode="External"/><Relationship Id="rId1041" Type="http://schemas.openxmlformats.org/officeDocument/2006/relationships/hyperlink" Target="https://polkadot.subsquare.io/treasury/child-bounties/695" TargetMode="External"/><Relationship Id="rId691" Type="http://schemas.openxmlformats.org/officeDocument/2006/relationships/hyperlink" Target="https://polkadot.subsquare.io/treasury/child-bounties/317" TargetMode="External"/><Relationship Id="rId1042" Type="http://schemas.openxmlformats.org/officeDocument/2006/relationships/hyperlink" Target="https://polkadot.subsquare.io/treasury/child-bounties/696" TargetMode="External"/><Relationship Id="rId690" Type="http://schemas.openxmlformats.org/officeDocument/2006/relationships/hyperlink" Target="https://polkadot.subsquare.io/treasury/child-bounties/316" TargetMode="External"/><Relationship Id="rId1043" Type="http://schemas.openxmlformats.org/officeDocument/2006/relationships/hyperlink" Target="https://polkadot.subsquare.io/treasury/child-bounties/697" TargetMode="External"/><Relationship Id="rId213" Type="http://schemas.openxmlformats.org/officeDocument/2006/relationships/hyperlink" Target="https://polkadot.subsquare.io/referenda/447" TargetMode="External"/><Relationship Id="rId697" Type="http://schemas.openxmlformats.org/officeDocument/2006/relationships/hyperlink" Target="https://polkadot.subsquare.io/treasury/child-bounties/323" TargetMode="External"/><Relationship Id="rId1044" Type="http://schemas.openxmlformats.org/officeDocument/2006/relationships/hyperlink" Target="https://polkadot.subsquare.io/treasury/child-bounties/698" TargetMode="External"/><Relationship Id="rId212" Type="http://schemas.openxmlformats.org/officeDocument/2006/relationships/hyperlink" Target="https://polkadot.subsquare.io/referenda/446" TargetMode="External"/><Relationship Id="rId696" Type="http://schemas.openxmlformats.org/officeDocument/2006/relationships/hyperlink" Target="https://polkadot.subsquare.io/treasury/child-bounties/322" TargetMode="External"/><Relationship Id="rId1045" Type="http://schemas.openxmlformats.org/officeDocument/2006/relationships/hyperlink" Target="https://polkadot.subsquare.io/treasury/child-bounties/699" TargetMode="External"/><Relationship Id="rId211" Type="http://schemas.openxmlformats.org/officeDocument/2006/relationships/hyperlink" Target="https://polkadot.subsquare.io/referenda/442" TargetMode="External"/><Relationship Id="rId695" Type="http://schemas.openxmlformats.org/officeDocument/2006/relationships/hyperlink" Target="https://polkadot.subsquare.io/treasury/child-bounties/321" TargetMode="External"/><Relationship Id="rId1046" Type="http://schemas.openxmlformats.org/officeDocument/2006/relationships/hyperlink" Target="https://polkadot.subsquare.io/treasury/child-bounties/700" TargetMode="External"/><Relationship Id="rId210" Type="http://schemas.openxmlformats.org/officeDocument/2006/relationships/hyperlink" Target="https://polkadot.subsquare.io/referenda/441" TargetMode="External"/><Relationship Id="rId694" Type="http://schemas.openxmlformats.org/officeDocument/2006/relationships/hyperlink" Target="https://polkadot.subsquare.io/treasury/child-bounties/320" TargetMode="External"/><Relationship Id="rId1047" Type="http://schemas.openxmlformats.org/officeDocument/2006/relationships/hyperlink" Target="https://polkadot.subsquare.io/treasury/child-bounties/701" TargetMode="External"/><Relationship Id="rId249" Type="http://schemas.openxmlformats.org/officeDocument/2006/relationships/hyperlink" Target="https://polkadot.subsquare.io/referenda/520" TargetMode="External"/><Relationship Id="rId248" Type="http://schemas.openxmlformats.org/officeDocument/2006/relationships/hyperlink" Target="https://polkadot.subsquare.io/referenda/518" TargetMode="External"/><Relationship Id="rId247" Type="http://schemas.openxmlformats.org/officeDocument/2006/relationships/hyperlink" Target="https://polkadot.subsquare.io/referenda/512" TargetMode="External"/><Relationship Id="rId1070" Type="http://schemas.openxmlformats.org/officeDocument/2006/relationships/hyperlink" Target="https://polkadot.subsquare.io/treasury/child-bounties/725" TargetMode="External"/><Relationship Id="rId1071" Type="http://schemas.openxmlformats.org/officeDocument/2006/relationships/hyperlink" Target="https://polkadot.subsquare.io/treasury/child-bounties/726" TargetMode="External"/><Relationship Id="rId1072" Type="http://schemas.openxmlformats.org/officeDocument/2006/relationships/hyperlink" Target="https://polkadot.subsquare.io/treasury/child-bounties/727" TargetMode="External"/><Relationship Id="rId242" Type="http://schemas.openxmlformats.org/officeDocument/2006/relationships/hyperlink" Target="https://polkadot.subsquare.io/referenda/502" TargetMode="External"/><Relationship Id="rId1073" Type="http://schemas.openxmlformats.org/officeDocument/2006/relationships/hyperlink" Target="https://polkadot.subsquare.io/treasury/child-bounties/729" TargetMode="External"/><Relationship Id="rId241" Type="http://schemas.openxmlformats.org/officeDocument/2006/relationships/hyperlink" Target="https://polkadot.subsquare.io/referenda/499" TargetMode="External"/><Relationship Id="rId1074" Type="http://schemas.openxmlformats.org/officeDocument/2006/relationships/hyperlink" Target="https://polkadot.subsquare.io/treasury/child-bounties/730" TargetMode="External"/><Relationship Id="rId240" Type="http://schemas.openxmlformats.org/officeDocument/2006/relationships/hyperlink" Target="https://polkadot.subsquare.io/referenda/496" TargetMode="External"/><Relationship Id="rId1075" Type="http://schemas.openxmlformats.org/officeDocument/2006/relationships/hyperlink" Target="https://polkadot.subsquare.io/treasury/child-bounties/731" TargetMode="External"/><Relationship Id="rId1076" Type="http://schemas.openxmlformats.org/officeDocument/2006/relationships/hyperlink" Target="https://polkadot.subsquare.io/treasury/child-bounties/732" TargetMode="External"/><Relationship Id="rId246" Type="http://schemas.openxmlformats.org/officeDocument/2006/relationships/hyperlink" Target="https://polkadot.subsquare.io/referenda/508" TargetMode="External"/><Relationship Id="rId1077" Type="http://schemas.openxmlformats.org/officeDocument/2006/relationships/hyperlink" Target="https://polkadot.subsquare.io/treasury/child-bounties/733" TargetMode="External"/><Relationship Id="rId245" Type="http://schemas.openxmlformats.org/officeDocument/2006/relationships/hyperlink" Target="https://polkadot.subsquare.io/referenda/506" TargetMode="External"/><Relationship Id="rId1078" Type="http://schemas.openxmlformats.org/officeDocument/2006/relationships/hyperlink" Target="https://polkadot.subsquare.io/treasury/child-bounties/734" TargetMode="External"/><Relationship Id="rId244" Type="http://schemas.openxmlformats.org/officeDocument/2006/relationships/hyperlink" Target="https://polkadot.subsquare.io/referenda/504" TargetMode="External"/><Relationship Id="rId1079" Type="http://schemas.openxmlformats.org/officeDocument/2006/relationships/hyperlink" Target="https://polkadot.subsquare.io/treasury/child-bounties/735" TargetMode="External"/><Relationship Id="rId243" Type="http://schemas.openxmlformats.org/officeDocument/2006/relationships/hyperlink" Target="https://polkadot.subsquare.io/referenda/503" TargetMode="External"/><Relationship Id="rId239" Type="http://schemas.openxmlformats.org/officeDocument/2006/relationships/hyperlink" Target="https://polkadot.subsquare.io/referenda/494" TargetMode="External"/><Relationship Id="rId238" Type="http://schemas.openxmlformats.org/officeDocument/2006/relationships/hyperlink" Target="https://polkadot.subsquare.io/referenda/493" TargetMode="External"/><Relationship Id="rId237" Type="http://schemas.openxmlformats.org/officeDocument/2006/relationships/hyperlink" Target="https://polkadot.subsquare.io/referenda/492" TargetMode="External"/><Relationship Id="rId236" Type="http://schemas.openxmlformats.org/officeDocument/2006/relationships/hyperlink" Target="https://polkadot.subsquare.io/referenda/491" TargetMode="External"/><Relationship Id="rId1060" Type="http://schemas.openxmlformats.org/officeDocument/2006/relationships/hyperlink" Target="https://polkadot.subsquare.io/treasury/child-bounties/714" TargetMode="External"/><Relationship Id="rId1061" Type="http://schemas.openxmlformats.org/officeDocument/2006/relationships/hyperlink" Target="https://polkadot.subsquare.io/treasury/child-bounties/715" TargetMode="External"/><Relationship Id="rId231" Type="http://schemas.openxmlformats.org/officeDocument/2006/relationships/hyperlink" Target="https://polkadot.subsquare.io/referenda/480" TargetMode="External"/><Relationship Id="rId1062" Type="http://schemas.openxmlformats.org/officeDocument/2006/relationships/hyperlink" Target="https://polkadot.subsquare.io/treasury/child-bounties/716" TargetMode="External"/><Relationship Id="rId230" Type="http://schemas.openxmlformats.org/officeDocument/2006/relationships/hyperlink" Target="https://polkadot.subsquare.io/referenda/478" TargetMode="External"/><Relationship Id="rId1063" Type="http://schemas.openxmlformats.org/officeDocument/2006/relationships/hyperlink" Target="https://polkadot.subsquare.io/treasury/child-bounties/717" TargetMode="External"/><Relationship Id="rId1064" Type="http://schemas.openxmlformats.org/officeDocument/2006/relationships/hyperlink" Target="https://polkadot.subsquare.io/treasury/child-bounties/718" TargetMode="External"/><Relationship Id="rId1065" Type="http://schemas.openxmlformats.org/officeDocument/2006/relationships/hyperlink" Target="https://polkadot.subsquare.io/treasury/child-bounties/719" TargetMode="External"/><Relationship Id="rId235" Type="http://schemas.openxmlformats.org/officeDocument/2006/relationships/hyperlink" Target="https://polkadot.subsquare.io/referenda/490" TargetMode="External"/><Relationship Id="rId1066" Type="http://schemas.openxmlformats.org/officeDocument/2006/relationships/hyperlink" Target="https://polkadot.subsquare.io/treasury/child-bounties/720" TargetMode="External"/><Relationship Id="rId234" Type="http://schemas.openxmlformats.org/officeDocument/2006/relationships/hyperlink" Target="https://polkadot.subsquare.io/referenda/486" TargetMode="External"/><Relationship Id="rId1067" Type="http://schemas.openxmlformats.org/officeDocument/2006/relationships/hyperlink" Target="https://polkadot.subsquare.io/treasury/child-bounties/722" TargetMode="External"/><Relationship Id="rId233" Type="http://schemas.openxmlformats.org/officeDocument/2006/relationships/hyperlink" Target="https://polkadot.subsquare.io/referenda/485" TargetMode="External"/><Relationship Id="rId1068" Type="http://schemas.openxmlformats.org/officeDocument/2006/relationships/hyperlink" Target="https://polkadot.subsquare.io/treasury/child-bounties/723" TargetMode="External"/><Relationship Id="rId232" Type="http://schemas.openxmlformats.org/officeDocument/2006/relationships/hyperlink" Target="https://polkadot.subsquare.io/referenda/483" TargetMode="External"/><Relationship Id="rId1069" Type="http://schemas.openxmlformats.org/officeDocument/2006/relationships/hyperlink" Target="https://polkadot.subsquare.io/treasury/child-bounties/724" TargetMode="External"/><Relationship Id="rId1015" Type="http://schemas.openxmlformats.org/officeDocument/2006/relationships/hyperlink" Target="https://polkadot.subsquare.io/treasury/child-bounties/669" TargetMode="External"/><Relationship Id="rId1499" Type="http://schemas.openxmlformats.org/officeDocument/2006/relationships/hyperlink" Target="https://polkadot.subsquare.io/treasury/child-bounties/1173" TargetMode="External"/><Relationship Id="rId1016" Type="http://schemas.openxmlformats.org/officeDocument/2006/relationships/hyperlink" Target="https://polkadot.subsquare.io/treasury/child-bounties/670" TargetMode="External"/><Relationship Id="rId1017" Type="http://schemas.openxmlformats.org/officeDocument/2006/relationships/hyperlink" Target="https://polkadot.subsquare.io/treasury/child-bounties/671" TargetMode="External"/><Relationship Id="rId1018" Type="http://schemas.openxmlformats.org/officeDocument/2006/relationships/hyperlink" Target="https://polkadot.subsquare.io/treasury/child-bounties/672" TargetMode="External"/><Relationship Id="rId1019" Type="http://schemas.openxmlformats.org/officeDocument/2006/relationships/hyperlink" Target="https://polkadot.subsquare.io/treasury/child-bounties/673" TargetMode="External"/><Relationship Id="rId668" Type="http://schemas.openxmlformats.org/officeDocument/2006/relationships/hyperlink" Target="https://polkadot.subsquare.io/treasury/child-bounties/293" TargetMode="External"/><Relationship Id="rId667" Type="http://schemas.openxmlformats.org/officeDocument/2006/relationships/hyperlink" Target="https://polkadot.subsquare.io/treasury/child-bounties/292" TargetMode="External"/><Relationship Id="rId666" Type="http://schemas.openxmlformats.org/officeDocument/2006/relationships/hyperlink" Target="https://polkadot.subsquare.io/treasury/child-bounties/291" TargetMode="External"/><Relationship Id="rId665" Type="http://schemas.openxmlformats.org/officeDocument/2006/relationships/hyperlink" Target="https://polkadot.subsquare.io/treasury/child-bounties/290" TargetMode="External"/><Relationship Id="rId669" Type="http://schemas.openxmlformats.org/officeDocument/2006/relationships/hyperlink" Target="https://polkadot.subsquare.io/treasury/child-bounties/295" TargetMode="External"/><Relationship Id="rId1490" Type="http://schemas.openxmlformats.org/officeDocument/2006/relationships/hyperlink" Target="https://polkadot.subsquare.io/treasury/child-bounties/1161" TargetMode="External"/><Relationship Id="rId660" Type="http://schemas.openxmlformats.org/officeDocument/2006/relationships/hyperlink" Target="https://polkadot.subsquare.io/treasury/child-bounties/285" TargetMode="External"/><Relationship Id="rId1491" Type="http://schemas.openxmlformats.org/officeDocument/2006/relationships/hyperlink" Target="https://polkadot.subsquare.io/treasury/child-bounties/1162" TargetMode="External"/><Relationship Id="rId1492" Type="http://schemas.openxmlformats.org/officeDocument/2006/relationships/hyperlink" Target="https://polkadot.subsquare.io/treasury/child-bounties/1163" TargetMode="External"/><Relationship Id="rId1493" Type="http://schemas.openxmlformats.org/officeDocument/2006/relationships/hyperlink" Target="https://polkadot.subsquare.io/treasury/child-bounties/1164" TargetMode="External"/><Relationship Id="rId1010" Type="http://schemas.openxmlformats.org/officeDocument/2006/relationships/hyperlink" Target="https://polkadot.subsquare.io/treasury/child-bounties/664" TargetMode="External"/><Relationship Id="rId1494" Type="http://schemas.openxmlformats.org/officeDocument/2006/relationships/hyperlink" Target="https://polkadot.subsquare.io/treasury/child-bounties/1165" TargetMode="External"/><Relationship Id="rId664" Type="http://schemas.openxmlformats.org/officeDocument/2006/relationships/hyperlink" Target="https://polkadot.subsquare.io/treasury/child-bounties/289" TargetMode="External"/><Relationship Id="rId1011" Type="http://schemas.openxmlformats.org/officeDocument/2006/relationships/hyperlink" Target="https://polkadot.subsquare.io/treasury/child-bounties/665" TargetMode="External"/><Relationship Id="rId1495" Type="http://schemas.openxmlformats.org/officeDocument/2006/relationships/hyperlink" Target="https://polkadot.subsquare.io/treasury/child-bounties/1166" TargetMode="External"/><Relationship Id="rId663" Type="http://schemas.openxmlformats.org/officeDocument/2006/relationships/hyperlink" Target="https://polkadot.subsquare.io/treasury/child-bounties/288" TargetMode="External"/><Relationship Id="rId1012" Type="http://schemas.openxmlformats.org/officeDocument/2006/relationships/hyperlink" Target="https://polkadot.subsquare.io/treasury/child-bounties/666" TargetMode="External"/><Relationship Id="rId1496" Type="http://schemas.openxmlformats.org/officeDocument/2006/relationships/hyperlink" Target="https://polkadot.subsquare.io/treasury/child-bounties/1167" TargetMode="External"/><Relationship Id="rId662" Type="http://schemas.openxmlformats.org/officeDocument/2006/relationships/hyperlink" Target="https://polkadot.subsquare.io/treasury/child-bounties/287" TargetMode="External"/><Relationship Id="rId1013" Type="http://schemas.openxmlformats.org/officeDocument/2006/relationships/hyperlink" Target="https://polkadot.subsquare.io/treasury/child-bounties/667" TargetMode="External"/><Relationship Id="rId1497" Type="http://schemas.openxmlformats.org/officeDocument/2006/relationships/hyperlink" Target="https://polkadot.subsquare.io/treasury/child-bounties/1168" TargetMode="External"/><Relationship Id="rId661" Type="http://schemas.openxmlformats.org/officeDocument/2006/relationships/hyperlink" Target="https://polkadot.subsquare.io/treasury/child-bounties/286" TargetMode="External"/><Relationship Id="rId1014" Type="http://schemas.openxmlformats.org/officeDocument/2006/relationships/hyperlink" Target="https://polkadot.subsquare.io/treasury/child-bounties/668" TargetMode="External"/><Relationship Id="rId1498" Type="http://schemas.openxmlformats.org/officeDocument/2006/relationships/hyperlink" Target="https://polkadot.subsquare.io/treasury/child-bounties/1172" TargetMode="External"/><Relationship Id="rId1004" Type="http://schemas.openxmlformats.org/officeDocument/2006/relationships/hyperlink" Target="https://polkadot.subsquare.io/treasury/child-bounties/658" TargetMode="External"/><Relationship Id="rId1488" Type="http://schemas.openxmlformats.org/officeDocument/2006/relationships/hyperlink" Target="https://polkadot.subsquare.io/treasury/child-bounties/1159" TargetMode="External"/><Relationship Id="rId1005" Type="http://schemas.openxmlformats.org/officeDocument/2006/relationships/hyperlink" Target="https://polkadot.subsquare.io/treasury/child-bounties/659" TargetMode="External"/><Relationship Id="rId1489" Type="http://schemas.openxmlformats.org/officeDocument/2006/relationships/hyperlink" Target="https://polkadot.subsquare.io/treasury/child-bounties/1160" TargetMode="External"/><Relationship Id="rId1006" Type="http://schemas.openxmlformats.org/officeDocument/2006/relationships/hyperlink" Target="https://polkadot.subsquare.io/treasury/child-bounties/660" TargetMode="External"/><Relationship Id="rId1007" Type="http://schemas.openxmlformats.org/officeDocument/2006/relationships/hyperlink" Target="https://polkadot.subsquare.io/treasury/child-bounties/661" TargetMode="External"/><Relationship Id="rId1008" Type="http://schemas.openxmlformats.org/officeDocument/2006/relationships/hyperlink" Target="https://polkadot.subsquare.io/treasury/child-bounties/662" TargetMode="External"/><Relationship Id="rId1009" Type="http://schemas.openxmlformats.org/officeDocument/2006/relationships/hyperlink" Target="https://polkadot.subsquare.io/treasury/child-bounties/663" TargetMode="External"/><Relationship Id="rId657" Type="http://schemas.openxmlformats.org/officeDocument/2006/relationships/hyperlink" Target="https://polkadot.subsquare.io/treasury/child-bounties/282" TargetMode="External"/><Relationship Id="rId656" Type="http://schemas.openxmlformats.org/officeDocument/2006/relationships/hyperlink" Target="https://polkadot.subsquare.io/treasury/child-bounties/281" TargetMode="External"/><Relationship Id="rId655" Type="http://schemas.openxmlformats.org/officeDocument/2006/relationships/hyperlink" Target="https://polkadot.subsquare.io/treasury/child-bounties/280" TargetMode="External"/><Relationship Id="rId654" Type="http://schemas.openxmlformats.org/officeDocument/2006/relationships/hyperlink" Target="https://polkadot.subsquare.io/treasury/child-bounties/279" TargetMode="External"/><Relationship Id="rId659" Type="http://schemas.openxmlformats.org/officeDocument/2006/relationships/hyperlink" Target="https://polkadot.subsquare.io/treasury/child-bounties/284" TargetMode="External"/><Relationship Id="rId658" Type="http://schemas.openxmlformats.org/officeDocument/2006/relationships/hyperlink" Target="https://polkadot.subsquare.io/treasury/child-bounties/283" TargetMode="External"/><Relationship Id="rId1480" Type="http://schemas.openxmlformats.org/officeDocument/2006/relationships/hyperlink" Target="https://polkadot.subsquare.io/treasury/child-bounties/1149" TargetMode="External"/><Relationship Id="rId1481" Type="http://schemas.openxmlformats.org/officeDocument/2006/relationships/hyperlink" Target="https://polkadot.subsquare.io/treasury/child-bounties/1150" TargetMode="External"/><Relationship Id="rId1482" Type="http://schemas.openxmlformats.org/officeDocument/2006/relationships/hyperlink" Target="https://polkadot.subsquare.io/treasury/child-bounties/1151" TargetMode="External"/><Relationship Id="rId1483" Type="http://schemas.openxmlformats.org/officeDocument/2006/relationships/hyperlink" Target="https://polkadot.subsquare.io/treasury/child-bounties/1152" TargetMode="External"/><Relationship Id="rId653" Type="http://schemas.openxmlformats.org/officeDocument/2006/relationships/hyperlink" Target="https://polkadot.subsquare.io/treasury/child-bounties/278" TargetMode="External"/><Relationship Id="rId1000" Type="http://schemas.openxmlformats.org/officeDocument/2006/relationships/hyperlink" Target="https://polkadot.subsquare.io/treasury/child-bounties/654" TargetMode="External"/><Relationship Id="rId1484" Type="http://schemas.openxmlformats.org/officeDocument/2006/relationships/hyperlink" Target="https://polkadot.subsquare.io/treasury/child-bounties/1153" TargetMode="External"/><Relationship Id="rId652" Type="http://schemas.openxmlformats.org/officeDocument/2006/relationships/hyperlink" Target="https://polkadot.subsquare.io/treasury/child-bounties/277" TargetMode="External"/><Relationship Id="rId1001" Type="http://schemas.openxmlformats.org/officeDocument/2006/relationships/hyperlink" Target="https://polkadot.subsquare.io/treasury/child-bounties/655" TargetMode="External"/><Relationship Id="rId1485" Type="http://schemas.openxmlformats.org/officeDocument/2006/relationships/hyperlink" Target="https://polkadot.subsquare.io/treasury/child-bounties/1154" TargetMode="External"/><Relationship Id="rId651" Type="http://schemas.openxmlformats.org/officeDocument/2006/relationships/hyperlink" Target="https://polkadot.subsquare.io/treasury/child-bounties/276" TargetMode="External"/><Relationship Id="rId1002" Type="http://schemas.openxmlformats.org/officeDocument/2006/relationships/hyperlink" Target="https://polkadot.subsquare.io/treasury/child-bounties/656" TargetMode="External"/><Relationship Id="rId1486" Type="http://schemas.openxmlformats.org/officeDocument/2006/relationships/hyperlink" Target="https://polkadot.subsquare.io/treasury/child-bounties/1156" TargetMode="External"/><Relationship Id="rId650" Type="http://schemas.openxmlformats.org/officeDocument/2006/relationships/hyperlink" Target="https://polkadot.subsquare.io/treasury/child-bounties/275" TargetMode="External"/><Relationship Id="rId1003" Type="http://schemas.openxmlformats.org/officeDocument/2006/relationships/hyperlink" Target="https://polkadot.subsquare.io/treasury/child-bounties/657" TargetMode="External"/><Relationship Id="rId1487" Type="http://schemas.openxmlformats.org/officeDocument/2006/relationships/hyperlink" Target="https://polkadot.subsquare.io/treasury/child-bounties/1157" TargetMode="External"/><Relationship Id="rId1037" Type="http://schemas.openxmlformats.org/officeDocument/2006/relationships/hyperlink" Target="https://polkadot.subsquare.io/treasury/child-bounties/691" TargetMode="External"/><Relationship Id="rId1038" Type="http://schemas.openxmlformats.org/officeDocument/2006/relationships/hyperlink" Target="https://polkadot.subsquare.io/treasury/child-bounties/692" TargetMode="External"/><Relationship Id="rId1039" Type="http://schemas.openxmlformats.org/officeDocument/2006/relationships/hyperlink" Target="https://polkadot.subsquare.io/treasury/child-bounties/693" TargetMode="External"/><Relationship Id="rId206" Type="http://schemas.openxmlformats.org/officeDocument/2006/relationships/hyperlink" Target="https://polkadot.subsquare.io/referenda/429" TargetMode="External"/><Relationship Id="rId205" Type="http://schemas.openxmlformats.org/officeDocument/2006/relationships/hyperlink" Target="https://polkadot.subsquare.io/referenda/426" TargetMode="External"/><Relationship Id="rId689" Type="http://schemas.openxmlformats.org/officeDocument/2006/relationships/hyperlink" Target="https://polkadot.subsquare.io/treasury/child-bounties/315" TargetMode="External"/><Relationship Id="rId204" Type="http://schemas.openxmlformats.org/officeDocument/2006/relationships/hyperlink" Target="https://polkadot.subsquare.io/referenda/425" TargetMode="External"/><Relationship Id="rId688" Type="http://schemas.openxmlformats.org/officeDocument/2006/relationships/hyperlink" Target="https://polkadot.subsquare.io/treasury/child-bounties/314" TargetMode="External"/><Relationship Id="rId203" Type="http://schemas.openxmlformats.org/officeDocument/2006/relationships/hyperlink" Target="https://polkadot.subsquare.io/referenda/422" TargetMode="External"/><Relationship Id="rId687" Type="http://schemas.openxmlformats.org/officeDocument/2006/relationships/hyperlink" Target="https://polkadot.subsquare.io/treasury/child-bounties/313" TargetMode="External"/><Relationship Id="rId209" Type="http://schemas.openxmlformats.org/officeDocument/2006/relationships/hyperlink" Target="https://polkadot.subsquare.io/referenda/439" TargetMode="External"/><Relationship Id="rId208" Type="http://schemas.openxmlformats.org/officeDocument/2006/relationships/hyperlink" Target="https://polkadot.subsquare.io/referenda/436" TargetMode="External"/><Relationship Id="rId207" Type="http://schemas.openxmlformats.org/officeDocument/2006/relationships/hyperlink" Target="https://polkadot.subsquare.io/referenda/433" TargetMode="External"/><Relationship Id="rId682" Type="http://schemas.openxmlformats.org/officeDocument/2006/relationships/hyperlink" Target="https://polkadot.subsquare.io/treasury/child-bounties/308" TargetMode="External"/><Relationship Id="rId681" Type="http://schemas.openxmlformats.org/officeDocument/2006/relationships/hyperlink" Target="https://polkadot.subsquare.io/treasury/child-bounties/307" TargetMode="External"/><Relationship Id="rId1030" Type="http://schemas.openxmlformats.org/officeDocument/2006/relationships/hyperlink" Target="https://polkadot.subsquare.io/treasury/child-bounties/684" TargetMode="External"/><Relationship Id="rId680" Type="http://schemas.openxmlformats.org/officeDocument/2006/relationships/hyperlink" Target="https://polkadot.subsquare.io/treasury/child-bounties/306" TargetMode="External"/><Relationship Id="rId1031" Type="http://schemas.openxmlformats.org/officeDocument/2006/relationships/hyperlink" Target="https://polkadot.subsquare.io/treasury/child-bounties/685" TargetMode="External"/><Relationship Id="rId1032" Type="http://schemas.openxmlformats.org/officeDocument/2006/relationships/hyperlink" Target="https://polkadot.subsquare.io/treasury/child-bounties/686" TargetMode="External"/><Relationship Id="rId202" Type="http://schemas.openxmlformats.org/officeDocument/2006/relationships/hyperlink" Target="https://polkadot.subsquare.io/referenda/421" TargetMode="External"/><Relationship Id="rId686" Type="http://schemas.openxmlformats.org/officeDocument/2006/relationships/hyperlink" Target="https://polkadot.subsquare.io/treasury/child-bounties/312" TargetMode="External"/><Relationship Id="rId1033" Type="http://schemas.openxmlformats.org/officeDocument/2006/relationships/hyperlink" Target="https://polkadot.subsquare.io/treasury/child-bounties/687" TargetMode="External"/><Relationship Id="rId201" Type="http://schemas.openxmlformats.org/officeDocument/2006/relationships/hyperlink" Target="https://polkadot.subsquare.io/referenda/420" TargetMode="External"/><Relationship Id="rId685" Type="http://schemas.openxmlformats.org/officeDocument/2006/relationships/hyperlink" Target="https://polkadot.subsquare.io/treasury/child-bounties/311" TargetMode="External"/><Relationship Id="rId1034" Type="http://schemas.openxmlformats.org/officeDocument/2006/relationships/hyperlink" Target="https://polkadot.subsquare.io/treasury/child-bounties/688" TargetMode="External"/><Relationship Id="rId200" Type="http://schemas.openxmlformats.org/officeDocument/2006/relationships/hyperlink" Target="https://polkadot.subsquare.io/referenda/418" TargetMode="External"/><Relationship Id="rId684" Type="http://schemas.openxmlformats.org/officeDocument/2006/relationships/hyperlink" Target="https://polkadot.subsquare.io/treasury/child-bounties/310" TargetMode="External"/><Relationship Id="rId1035" Type="http://schemas.openxmlformats.org/officeDocument/2006/relationships/hyperlink" Target="https://polkadot.subsquare.io/treasury/child-bounties/689" TargetMode="External"/><Relationship Id="rId683" Type="http://schemas.openxmlformats.org/officeDocument/2006/relationships/hyperlink" Target="https://polkadot.subsquare.io/treasury/child-bounties/309" TargetMode="External"/><Relationship Id="rId1036" Type="http://schemas.openxmlformats.org/officeDocument/2006/relationships/hyperlink" Target="https://polkadot.subsquare.io/treasury/child-bounties/690" TargetMode="External"/><Relationship Id="rId1026" Type="http://schemas.openxmlformats.org/officeDocument/2006/relationships/hyperlink" Target="https://polkadot.subsquare.io/treasury/child-bounties/680" TargetMode="External"/><Relationship Id="rId1027" Type="http://schemas.openxmlformats.org/officeDocument/2006/relationships/hyperlink" Target="https://polkadot.subsquare.io/treasury/child-bounties/681" TargetMode="External"/><Relationship Id="rId1028" Type="http://schemas.openxmlformats.org/officeDocument/2006/relationships/hyperlink" Target="https://polkadot.subsquare.io/treasury/child-bounties/682" TargetMode="External"/><Relationship Id="rId1029" Type="http://schemas.openxmlformats.org/officeDocument/2006/relationships/hyperlink" Target="https://polkadot.subsquare.io/treasury/child-bounties/683" TargetMode="External"/><Relationship Id="rId679" Type="http://schemas.openxmlformats.org/officeDocument/2006/relationships/hyperlink" Target="https://polkadot.subsquare.io/treasury/child-bounties/305" TargetMode="External"/><Relationship Id="rId678" Type="http://schemas.openxmlformats.org/officeDocument/2006/relationships/hyperlink" Target="https://polkadot.subsquare.io/treasury/child-bounties/304" TargetMode="External"/><Relationship Id="rId677" Type="http://schemas.openxmlformats.org/officeDocument/2006/relationships/hyperlink" Target="https://polkadot.subsquare.io/treasury/child-bounties/303" TargetMode="External"/><Relationship Id="rId676" Type="http://schemas.openxmlformats.org/officeDocument/2006/relationships/hyperlink" Target="https://polkadot.subsquare.io/treasury/child-bounties/302" TargetMode="External"/><Relationship Id="rId671" Type="http://schemas.openxmlformats.org/officeDocument/2006/relationships/hyperlink" Target="https://polkadot.subsquare.io/treasury/child-bounties/297" TargetMode="External"/><Relationship Id="rId670" Type="http://schemas.openxmlformats.org/officeDocument/2006/relationships/hyperlink" Target="https://polkadot.subsquare.io/treasury/child-bounties/296" TargetMode="External"/><Relationship Id="rId1020" Type="http://schemas.openxmlformats.org/officeDocument/2006/relationships/hyperlink" Target="https://polkadot.subsquare.io/treasury/child-bounties/674" TargetMode="External"/><Relationship Id="rId1021" Type="http://schemas.openxmlformats.org/officeDocument/2006/relationships/hyperlink" Target="https://polkadot.subsquare.io/treasury/child-bounties/675" TargetMode="External"/><Relationship Id="rId675" Type="http://schemas.openxmlformats.org/officeDocument/2006/relationships/hyperlink" Target="https://polkadot.subsquare.io/treasury/child-bounties/301" TargetMode="External"/><Relationship Id="rId1022" Type="http://schemas.openxmlformats.org/officeDocument/2006/relationships/hyperlink" Target="https://polkadot.subsquare.io/treasury/child-bounties/676" TargetMode="External"/><Relationship Id="rId674" Type="http://schemas.openxmlformats.org/officeDocument/2006/relationships/hyperlink" Target="https://polkadot.subsquare.io/treasury/child-bounties/300" TargetMode="External"/><Relationship Id="rId1023" Type="http://schemas.openxmlformats.org/officeDocument/2006/relationships/hyperlink" Target="https://polkadot.subsquare.io/treasury/child-bounties/677" TargetMode="External"/><Relationship Id="rId673" Type="http://schemas.openxmlformats.org/officeDocument/2006/relationships/hyperlink" Target="https://polkadot.subsquare.io/treasury/child-bounties/299" TargetMode="External"/><Relationship Id="rId1024" Type="http://schemas.openxmlformats.org/officeDocument/2006/relationships/hyperlink" Target="https://polkadot.subsquare.io/treasury/child-bounties/678" TargetMode="External"/><Relationship Id="rId672" Type="http://schemas.openxmlformats.org/officeDocument/2006/relationships/hyperlink" Target="https://polkadot.subsquare.io/treasury/child-bounties/298" TargetMode="External"/><Relationship Id="rId1025" Type="http://schemas.openxmlformats.org/officeDocument/2006/relationships/hyperlink" Target="https://polkadot.subsquare.io/treasury/child-bounties/679" TargetMode="External"/><Relationship Id="rId190" Type="http://schemas.openxmlformats.org/officeDocument/2006/relationships/hyperlink" Target="https://polkadot.subsquare.io/referenda/393" TargetMode="External"/><Relationship Id="rId194" Type="http://schemas.openxmlformats.org/officeDocument/2006/relationships/hyperlink" Target="https://polkadot.subsquare.io/referenda/408" TargetMode="External"/><Relationship Id="rId193" Type="http://schemas.openxmlformats.org/officeDocument/2006/relationships/hyperlink" Target="https://polkadot.subsquare.io/referenda/406" TargetMode="External"/><Relationship Id="rId192" Type="http://schemas.openxmlformats.org/officeDocument/2006/relationships/hyperlink" Target="https://polkadot.subsquare.io/referenda/397" TargetMode="External"/><Relationship Id="rId191" Type="http://schemas.openxmlformats.org/officeDocument/2006/relationships/hyperlink" Target="https://polkadot.subsquare.io/referenda/396" TargetMode="External"/><Relationship Id="rId187" Type="http://schemas.openxmlformats.org/officeDocument/2006/relationships/hyperlink" Target="https://polkadot.subsquare.io/referenda/387" TargetMode="External"/><Relationship Id="rId186" Type="http://schemas.openxmlformats.org/officeDocument/2006/relationships/hyperlink" Target="https://polkadot.subsquare.io/referenda/385" TargetMode="External"/><Relationship Id="rId185" Type="http://schemas.openxmlformats.org/officeDocument/2006/relationships/hyperlink" Target="https://polkadot.subsquare.io/referenda/382" TargetMode="External"/><Relationship Id="rId184" Type="http://schemas.openxmlformats.org/officeDocument/2006/relationships/hyperlink" Target="https://polkadot.subsquare.io/referenda/379" TargetMode="External"/><Relationship Id="rId189" Type="http://schemas.openxmlformats.org/officeDocument/2006/relationships/hyperlink" Target="https://polkadot.subsquare.io/referenda/391" TargetMode="External"/><Relationship Id="rId188" Type="http://schemas.openxmlformats.org/officeDocument/2006/relationships/hyperlink" Target="https://polkadot.subsquare.io/referenda/389" TargetMode="External"/><Relationship Id="rId183" Type="http://schemas.openxmlformats.org/officeDocument/2006/relationships/hyperlink" Target="https://polkadot.subsquare.io/referenda/378" TargetMode="External"/><Relationship Id="rId182" Type="http://schemas.openxmlformats.org/officeDocument/2006/relationships/hyperlink" Target="https://polkadot.subsquare.io/referenda/377" TargetMode="External"/><Relationship Id="rId181" Type="http://schemas.openxmlformats.org/officeDocument/2006/relationships/hyperlink" Target="https://polkadot.subsquare.io/referenda/376" TargetMode="External"/><Relationship Id="rId180" Type="http://schemas.openxmlformats.org/officeDocument/2006/relationships/hyperlink" Target="https://polkadot.subsquare.io/referenda/375" TargetMode="External"/><Relationship Id="rId176" Type="http://schemas.openxmlformats.org/officeDocument/2006/relationships/hyperlink" Target="https://polkadot.subsquare.io/referenda/371" TargetMode="External"/><Relationship Id="rId175" Type="http://schemas.openxmlformats.org/officeDocument/2006/relationships/hyperlink" Target="https://polkadot.subsquare.io/referenda/370" TargetMode="External"/><Relationship Id="rId174" Type="http://schemas.openxmlformats.org/officeDocument/2006/relationships/hyperlink" Target="https://polkadot.subsquare.io/referenda/369" TargetMode="External"/><Relationship Id="rId173" Type="http://schemas.openxmlformats.org/officeDocument/2006/relationships/hyperlink" Target="https://polkadot.subsquare.io/referenda/368" TargetMode="External"/><Relationship Id="rId179" Type="http://schemas.openxmlformats.org/officeDocument/2006/relationships/hyperlink" Target="https://polkadot.subsquare.io/referenda/374" TargetMode="External"/><Relationship Id="rId178" Type="http://schemas.openxmlformats.org/officeDocument/2006/relationships/hyperlink" Target="https://polkadot.subsquare.io/referenda/373" TargetMode="External"/><Relationship Id="rId177" Type="http://schemas.openxmlformats.org/officeDocument/2006/relationships/hyperlink" Target="https://polkadot.subsquare.io/referenda/372" TargetMode="External"/><Relationship Id="rId198" Type="http://schemas.openxmlformats.org/officeDocument/2006/relationships/hyperlink" Target="https://polkadot.subsquare.io/referenda/415" TargetMode="External"/><Relationship Id="rId197" Type="http://schemas.openxmlformats.org/officeDocument/2006/relationships/hyperlink" Target="https://polkadot.subsquare.io/referenda/412" TargetMode="External"/><Relationship Id="rId196" Type="http://schemas.openxmlformats.org/officeDocument/2006/relationships/hyperlink" Target="https://polkadot.subsquare.io/referenda/411" TargetMode="External"/><Relationship Id="rId195" Type="http://schemas.openxmlformats.org/officeDocument/2006/relationships/hyperlink" Target="https://polkadot.subsquare.io/referenda/409" TargetMode="External"/><Relationship Id="rId199" Type="http://schemas.openxmlformats.org/officeDocument/2006/relationships/hyperlink" Target="https://polkadot.subsquare.io/referenda/417" TargetMode="External"/><Relationship Id="rId150" Type="http://schemas.openxmlformats.org/officeDocument/2006/relationships/hyperlink" Target="https://polkadot.subsquare.io/referenda/325" TargetMode="External"/><Relationship Id="rId149" Type="http://schemas.openxmlformats.org/officeDocument/2006/relationships/hyperlink" Target="https://polkadot.subsquare.io/referenda/324" TargetMode="External"/><Relationship Id="rId148" Type="http://schemas.openxmlformats.org/officeDocument/2006/relationships/hyperlink" Target="https://github.com/paritytech/polkadot-api/pull/200" TargetMode="External"/><Relationship Id="rId1090" Type="http://schemas.openxmlformats.org/officeDocument/2006/relationships/hyperlink" Target="https://polkadot.subsquare.io/treasury/child-bounties/746" TargetMode="External"/><Relationship Id="rId1091" Type="http://schemas.openxmlformats.org/officeDocument/2006/relationships/hyperlink" Target="https://polkadot.subsquare.io/treasury/child-bounties/747" TargetMode="External"/><Relationship Id="rId1092" Type="http://schemas.openxmlformats.org/officeDocument/2006/relationships/hyperlink" Target="https://polkadot.subsquare.io/treasury/child-bounties/748" TargetMode="External"/><Relationship Id="rId1093" Type="http://schemas.openxmlformats.org/officeDocument/2006/relationships/hyperlink" Target="https://polkadot.subsquare.io/treasury/child-bounties/749" TargetMode="External"/><Relationship Id="rId1094" Type="http://schemas.openxmlformats.org/officeDocument/2006/relationships/hyperlink" Target="https://polkadot.subsquare.io/treasury/child-bounties/750" TargetMode="External"/><Relationship Id="rId143" Type="http://schemas.openxmlformats.org/officeDocument/2006/relationships/hyperlink" Target="https://polkadot.subsquare.io/referenda/307" TargetMode="External"/><Relationship Id="rId1095" Type="http://schemas.openxmlformats.org/officeDocument/2006/relationships/hyperlink" Target="https://polkadot.subsquare.io/treasury/child-bounties/751" TargetMode="External"/><Relationship Id="rId142" Type="http://schemas.openxmlformats.org/officeDocument/2006/relationships/hyperlink" Target="https://polkadot.subsquare.io/referenda/304" TargetMode="External"/><Relationship Id="rId1096" Type="http://schemas.openxmlformats.org/officeDocument/2006/relationships/hyperlink" Target="https://polkadot.subsquare.io/treasury/child-bounties/752" TargetMode="External"/><Relationship Id="rId141" Type="http://schemas.openxmlformats.org/officeDocument/2006/relationships/hyperlink" Target="https://polkadot.subsquare.io/referenda/302" TargetMode="External"/><Relationship Id="rId1097" Type="http://schemas.openxmlformats.org/officeDocument/2006/relationships/hyperlink" Target="https://polkadot.subsquare.io/treasury/child-bounties/753" TargetMode="External"/><Relationship Id="rId140" Type="http://schemas.openxmlformats.org/officeDocument/2006/relationships/hyperlink" Target="https://polkadot.subsquare.io/referenda/298" TargetMode="External"/><Relationship Id="rId1098" Type="http://schemas.openxmlformats.org/officeDocument/2006/relationships/hyperlink" Target="https://polkadot.subsquare.io/treasury/child-bounties/754" TargetMode="External"/><Relationship Id="rId147" Type="http://schemas.openxmlformats.org/officeDocument/2006/relationships/hyperlink" Target="https://polkadot.subsquare.io/referenda/320" TargetMode="External"/><Relationship Id="rId1099" Type="http://schemas.openxmlformats.org/officeDocument/2006/relationships/hyperlink" Target="https://polkadot.subsquare.io/treasury/child-bounties/755" TargetMode="External"/><Relationship Id="rId146" Type="http://schemas.openxmlformats.org/officeDocument/2006/relationships/hyperlink" Target="https://polkadot.subsquare.io/referenda/312" TargetMode="External"/><Relationship Id="rId145" Type="http://schemas.openxmlformats.org/officeDocument/2006/relationships/hyperlink" Target="https://polkadot.subsquare.io/referenda/311" TargetMode="External"/><Relationship Id="rId144" Type="http://schemas.openxmlformats.org/officeDocument/2006/relationships/hyperlink" Target="https://polkadot.subsquare.io/referenda/310" TargetMode="External"/><Relationship Id="rId139" Type="http://schemas.openxmlformats.org/officeDocument/2006/relationships/hyperlink" Target="https://polkadot.subsquare.io/referenda/290" TargetMode="External"/><Relationship Id="rId138" Type="http://schemas.openxmlformats.org/officeDocument/2006/relationships/hyperlink" Target="https://polkadot.subsquare.io/referenda/288" TargetMode="External"/><Relationship Id="rId137" Type="http://schemas.openxmlformats.org/officeDocument/2006/relationships/hyperlink" Target="https://polkadot.subsquare.io/referenda/279" TargetMode="External"/><Relationship Id="rId1080" Type="http://schemas.openxmlformats.org/officeDocument/2006/relationships/hyperlink" Target="https://polkadot.subsquare.io/treasury/child-bounties/736" TargetMode="External"/><Relationship Id="rId1081" Type="http://schemas.openxmlformats.org/officeDocument/2006/relationships/hyperlink" Target="https://polkadot.subsquare.io/treasury/child-bounties/737" TargetMode="External"/><Relationship Id="rId1082" Type="http://schemas.openxmlformats.org/officeDocument/2006/relationships/hyperlink" Target="https://polkadot.subsquare.io/treasury/child-bounties/738" TargetMode="External"/><Relationship Id="rId1083" Type="http://schemas.openxmlformats.org/officeDocument/2006/relationships/hyperlink" Target="https://polkadot.subsquare.io/treasury/child-bounties/739" TargetMode="External"/><Relationship Id="rId132" Type="http://schemas.openxmlformats.org/officeDocument/2006/relationships/hyperlink" Target="https://polkadot.subsquare.io/referenda/262" TargetMode="External"/><Relationship Id="rId1084" Type="http://schemas.openxmlformats.org/officeDocument/2006/relationships/hyperlink" Target="https://polkadot.subsquare.io/treasury/child-bounties/740" TargetMode="External"/><Relationship Id="rId131" Type="http://schemas.openxmlformats.org/officeDocument/2006/relationships/hyperlink" Target="https://polkadot.subsquare.io/referenda/261" TargetMode="External"/><Relationship Id="rId1085" Type="http://schemas.openxmlformats.org/officeDocument/2006/relationships/hyperlink" Target="https://polkadot.subsquare.io/treasury/child-bounties/741" TargetMode="External"/><Relationship Id="rId130" Type="http://schemas.openxmlformats.org/officeDocument/2006/relationships/hyperlink" Target="https://polkadot.subsquare.io/referenda/260" TargetMode="External"/><Relationship Id="rId1086" Type="http://schemas.openxmlformats.org/officeDocument/2006/relationships/hyperlink" Target="https://polkadot.subsquare.io/treasury/child-bounties/742" TargetMode="External"/><Relationship Id="rId1087" Type="http://schemas.openxmlformats.org/officeDocument/2006/relationships/hyperlink" Target="https://polkadot.subsquare.io/treasury/child-bounties/743" TargetMode="External"/><Relationship Id="rId136" Type="http://schemas.openxmlformats.org/officeDocument/2006/relationships/hyperlink" Target="https://polkadot.subsquare.io/referenda/271" TargetMode="External"/><Relationship Id="rId1088" Type="http://schemas.openxmlformats.org/officeDocument/2006/relationships/hyperlink" Target="https://polkadot.subsquare.io/treasury/child-bounties/744" TargetMode="External"/><Relationship Id="rId135" Type="http://schemas.openxmlformats.org/officeDocument/2006/relationships/hyperlink" Target="https://polkadot.subsquare.io/referenda/269" TargetMode="External"/><Relationship Id="rId1089" Type="http://schemas.openxmlformats.org/officeDocument/2006/relationships/hyperlink" Target="https://polkadot.subsquare.io/treasury/child-bounties/745" TargetMode="External"/><Relationship Id="rId134" Type="http://schemas.openxmlformats.org/officeDocument/2006/relationships/hyperlink" Target="https://polkadot.subsquare.io/referenda/267" TargetMode="External"/><Relationship Id="rId133" Type="http://schemas.openxmlformats.org/officeDocument/2006/relationships/hyperlink" Target="https://polkadot.subsquare.io/referenda/263" TargetMode="External"/><Relationship Id="rId172" Type="http://schemas.openxmlformats.org/officeDocument/2006/relationships/hyperlink" Target="https://polkadot.subsquare.io/referenda/366" TargetMode="External"/><Relationship Id="rId171" Type="http://schemas.openxmlformats.org/officeDocument/2006/relationships/hyperlink" Target="https://polkadot.subsquare.io/referenda/365" TargetMode="External"/><Relationship Id="rId170" Type="http://schemas.openxmlformats.org/officeDocument/2006/relationships/hyperlink" Target="https://polkadot.subsquare.io/referenda/364" TargetMode="External"/><Relationship Id="rId165" Type="http://schemas.openxmlformats.org/officeDocument/2006/relationships/hyperlink" Target="https://polkadot.subsquare.io/referenda/358" TargetMode="External"/><Relationship Id="rId164" Type="http://schemas.openxmlformats.org/officeDocument/2006/relationships/hyperlink" Target="https://polkadot.subsquare.io/referenda/357" TargetMode="External"/><Relationship Id="rId163" Type="http://schemas.openxmlformats.org/officeDocument/2006/relationships/hyperlink" Target="https://polkadot.subsquare.io/referenda/356" TargetMode="External"/><Relationship Id="rId162" Type="http://schemas.openxmlformats.org/officeDocument/2006/relationships/hyperlink" Target="https://polkadot.subsquare.io/referenda/355" TargetMode="External"/><Relationship Id="rId169" Type="http://schemas.openxmlformats.org/officeDocument/2006/relationships/hyperlink" Target="https://polkadot.subsquare.io/referenda/362" TargetMode="External"/><Relationship Id="rId168" Type="http://schemas.openxmlformats.org/officeDocument/2006/relationships/hyperlink" Target="https://polkadot.subsquare.io/referenda/361" TargetMode="External"/><Relationship Id="rId167" Type="http://schemas.openxmlformats.org/officeDocument/2006/relationships/hyperlink" Target="https://polkadot.subsquare.io/referenda/360" TargetMode="External"/><Relationship Id="rId166" Type="http://schemas.openxmlformats.org/officeDocument/2006/relationships/hyperlink" Target="https://polkadot.subsquare.io/referenda/359" TargetMode="External"/><Relationship Id="rId161" Type="http://schemas.openxmlformats.org/officeDocument/2006/relationships/hyperlink" Target="https://polkadot.subsquare.io/referenda/350" TargetMode="External"/><Relationship Id="rId160" Type="http://schemas.openxmlformats.org/officeDocument/2006/relationships/hyperlink" Target="https://polkadot.subsquare.io/referenda/349" TargetMode="External"/><Relationship Id="rId159" Type="http://schemas.openxmlformats.org/officeDocument/2006/relationships/hyperlink" Target="https://polkadot.subsquare.io/referenda/347" TargetMode="External"/><Relationship Id="rId154" Type="http://schemas.openxmlformats.org/officeDocument/2006/relationships/hyperlink" Target="https://polkadot.subsquare.io/referenda/334" TargetMode="External"/><Relationship Id="rId153" Type="http://schemas.openxmlformats.org/officeDocument/2006/relationships/hyperlink" Target="https://polkadot.subsquare.io/referenda/332" TargetMode="External"/><Relationship Id="rId152" Type="http://schemas.openxmlformats.org/officeDocument/2006/relationships/hyperlink" Target="https://polkadot.subsquare.io/referenda/331" TargetMode="External"/><Relationship Id="rId151" Type="http://schemas.openxmlformats.org/officeDocument/2006/relationships/hyperlink" Target="https://polkadot.subsquare.io/referenda/328" TargetMode="External"/><Relationship Id="rId158" Type="http://schemas.openxmlformats.org/officeDocument/2006/relationships/hyperlink" Target="https://polkadot.subsquare.io/referenda/344" TargetMode="External"/><Relationship Id="rId157" Type="http://schemas.openxmlformats.org/officeDocument/2006/relationships/hyperlink" Target="https://polkadot.subsquare.io/referenda/343" TargetMode="External"/><Relationship Id="rId156" Type="http://schemas.openxmlformats.org/officeDocument/2006/relationships/hyperlink" Target="https://polkadot.subsquare.io/referenda/342" TargetMode="External"/><Relationship Id="rId155" Type="http://schemas.openxmlformats.org/officeDocument/2006/relationships/hyperlink" Target="https://polkadot.subsquare.io/referenda/338" TargetMode="External"/><Relationship Id="rId1510" Type="http://schemas.openxmlformats.org/officeDocument/2006/relationships/hyperlink" Target="https://polkadot.subsquare.io/treasury/child-bounties/1184" TargetMode="External"/><Relationship Id="rId1511" Type="http://schemas.openxmlformats.org/officeDocument/2006/relationships/hyperlink" Target="https://polkadot.subsquare.io/treasury/child-bounties/1185" TargetMode="External"/><Relationship Id="rId1512" Type="http://schemas.openxmlformats.org/officeDocument/2006/relationships/hyperlink" Target="https://polkadot.subsquare.io/treasury/child-bounties/1186" TargetMode="External"/><Relationship Id="rId1513" Type="http://schemas.openxmlformats.org/officeDocument/2006/relationships/hyperlink" Target="https://polkadot.subsquare.io/treasury/child-bounties/1187" TargetMode="External"/><Relationship Id="rId1514" Type="http://schemas.openxmlformats.org/officeDocument/2006/relationships/hyperlink" Target="https://polkadot.subsquare.io/treasury/child-bounties/1188" TargetMode="External"/><Relationship Id="rId1515" Type="http://schemas.openxmlformats.org/officeDocument/2006/relationships/hyperlink" Target="https://polkadot.subsquare.io/treasury/child-bounties/1189" TargetMode="External"/><Relationship Id="rId1516" Type="http://schemas.openxmlformats.org/officeDocument/2006/relationships/hyperlink" Target="https://polkadot.subsquare.io/treasury/child-bounties/1190" TargetMode="External"/><Relationship Id="rId1517" Type="http://schemas.openxmlformats.org/officeDocument/2006/relationships/hyperlink" Target="https://polkadot.subsquare.io/treasury/child-bounties/1191" TargetMode="External"/><Relationship Id="rId1518" Type="http://schemas.openxmlformats.org/officeDocument/2006/relationships/hyperlink" Target="https://polkadot.subsquare.io/treasury/child-bounties/1192" TargetMode="External"/><Relationship Id="rId1519" Type="http://schemas.openxmlformats.org/officeDocument/2006/relationships/hyperlink" Target="https://polkadot.subsquare.io/treasury/child-bounties/1193" TargetMode="External"/><Relationship Id="rId1500" Type="http://schemas.openxmlformats.org/officeDocument/2006/relationships/hyperlink" Target="https://polkadot.subsquare.io/treasury/child-bounties/1174" TargetMode="External"/><Relationship Id="rId1501" Type="http://schemas.openxmlformats.org/officeDocument/2006/relationships/hyperlink" Target="https://polkadot.subsquare.io/treasury/child-bounties/1175" TargetMode="External"/><Relationship Id="rId1502" Type="http://schemas.openxmlformats.org/officeDocument/2006/relationships/hyperlink" Target="https://polkadot.subsquare.io/treasury/child-bounties/1176" TargetMode="External"/><Relationship Id="rId1503" Type="http://schemas.openxmlformats.org/officeDocument/2006/relationships/hyperlink" Target="https://polkadot.subsquare.io/treasury/child-bounties/1177" TargetMode="External"/><Relationship Id="rId1504" Type="http://schemas.openxmlformats.org/officeDocument/2006/relationships/hyperlink" Target="https://polkadot.subsquare.io/treasury/child-bounties/1178" TargetMode="External"/><Relationship Id="rId1505" Type="http://schemas.openxmlformats.org/officeDocument/2006/relationships/hyperlink" Target="https://polkadot.subsquare.io/treasury/child-bounties/1179" TargetMode="External"/><Relationship Id="rId1506" Type="http://schemas.openxmlformats.org/officeDocument/2006/relationships/hyperlink" Target="https://polkadot.subsquare.io/treasury/child-bounties/1180" TargetMode="External"/><Relationship Id="rId1507" Type="http://schemas.openxmlformats.org/officeDocument/2006/relationships/hyperlink" Target="https://polkadot.subsquare.io/treasury/child-bounties/1181" TargetMode="External"/><Relationship Id="rId1508" Type="http://schemas.openxmlformats.org/officeDocument/2006/relationships/hyperlink" Target="https://polkadot.subsquare.io/treasury/child-bounties/1182" TargetMode="External"/><Relationship Id="rId1509" Type="http://schemas.openxmlformats.org/officeDocument/2006/relationships/hyperlink" Target="https://polkadot.subsquare.io/treasury/child-bounties/1183" TargetMode="External"/><Relationship Id="rId1576" Type="http://schemas.openxmlformats.org/officeDocument/2006/relationships/hyperlink" Target="https://polkadot.subsquare.io/treasury/child-bounties/1254" TargetMode="External"/><Relationship Id="rId1577" Type="http://schemas.openxmlformats.org/officeDocument/2006/relationships/hyperlink" Target="https://polkadot.subsquare.io/treasury/child-bounties/1255" TargetMode="External"/><Relationship Id="rId1578" Type="http://schemas.openxmlformats.org/officeDocument/2006/relationships/hyperlink" Target="https://polkadot.subsquare.io/treasury/child-bounties/1256" TargetMode="External"/><Relationship Id="rId1579" Type="http://schemas.openxmlformats.org/officeDocument/2006/relationships/hyperlink" Target="https://polkadot.subsquare.io/treasury/child-bounties/1257" TargetMode="External"/><Relationship Id="rId509" Type="http://schemas.openxmlformats.org/officeDocument/2006/relationships/hyperlink" Target="https://polkadot.subsquare.io/treasury/child-bounties/128" TargetMode="External"/><Relationship Id="rId508" Type="http://schemas.openxmlformats.org/officeDocument/2006/relationships/hyperlink" Target="https://polkadot.subsquare.io/treasury/child-bounties/127" TargetMode="External"/><Relationship Id="rId503" Type="http://schemas.openxmlformats.org/officeDocument/2006/relationships/hyperlink" Target="https://polkadot.subsquare.io/treasury/child-bounties/120" TargetMode="External"/><Relationship Id="rId987" Type="http://schemas.openxmlformats.org/officeDocument/2006/relationships/hyperlink" Target="https://polkadot.subsquare.io/treasury/child-bounties/629" TargetMode="External"/><Relationship Id="rId502" Type="http://schemas.openxmlformats.org/officeDocument/2006/relationships/hyperlink" Target="https://polkadot.subsquare.io/treasury/child-bounties/119" TargetMode="External"/><Relationship Id="rId986" Type="http://schemas.openxmlformats.org/officeDocument/2006/relationships/hyperlink" Target="https://polkadot.subsquare.io/treasury/child-bounties/628" TargetMode="External"/><Relationship Id="rId501" Type="http://schemas.openxmlformats.org/officeDocument/2006/relationships/hyperlink" Target="https://polkadot.subsquare.io/treasury/child-bounties/118" TargetMode="External"/><Relationship Id="rId985" Type="http://schemas.openxmlformats.org/officeDocument/2006/relationships/hyperlink" Target="https://polkadot.subsquare.io/treasury/child-bounties/627" TargetMode="External"/><Relationship Id="rId500" Type="http://schemas.openxmlformats.org/officeDocument/2006/relationships/hyperlink" Target="https://polkadot.subsquare.io/treasury/child-bounties/117" TargetMode="External"/><Relationship Id="rId984" Type="http://schemas.openxmlformats.org/officeDocument/2006/relationships/hyperlink" Target="https://polkadot.subsquare.io/treasury/child-bounties/626" TargetMode="External"/><Relationship Id="rId507" Type="http://schemas.openxmlformats.org/officeDocument/2006/relationships/hyperlink" Target="https://polkadot.subsquare.io/treasury/child-bounties/126" TargetMode="External"/><Relationship Id="rId506" Type="http://schemas.openxmlformats.org/officeDocument/2006/relationships/hyperlink" Target="https://polkadot.subsquare.io/treasury/child-bounties/125" TargetMode="External"/><Relationship Id="rId505" Type="http://schemas.openxmlformats.org/officeDocument/2006/relationships/hyperlink" Target="https://polkadot.subsquare.io/treasury/child-bounties/124" TargetMode="External"/><Relationship Id="rId989" Type="http://schemas.openxmlformats.org/officeDocument/2006/relationships/hyperlink" Target="https://polkadot.subsquare.io/treasury/child-bounties/631" TargetMode="External"/><Relationship Id="rId504" Type="http://schemas.openxmlformats.org/officeDocument/2006/relationships/hyperlink" Target="https://polkadot.subsquare.io/treasury/child-bounties/123" TargetMode="External"/><Relationship Id="rId988" Type="http://schemas.openxmlformats.org/officeDocument/2006/relationships/hyperlink" Target="https://polkadot.subsquare.io/treasury/child-bounties/630" TargetMode="External"/><Relationship Id="rId1570" Type="http://schemas.openxmlformats.org/officeDocument/2006/relationships/hyperlink" Target="https://polkadot.subsquare.io/treasury/child-bounties/1248" TargetMode="External"/><Relationship Id="rId1571" Type="http://schemas.openxmlformats.org/officeDocument/2006/relationships/hyperlink" Target="https://polkadot.subsquare.io/treasury/child-bounties/1249" TargetMode="External"/><Relationship Id="rId983" Type="http://schemas.openxmlformats.org/officeDocument/2006/relationships/hyperlink" Target="https://polkadot.subsquare.io/treasury/child-bounties/625" TargetMode="External"/><Relationship Id="rId1572" Type="http://schemas.openxmlformats.org/officeDocument/2006/relationships/hyperlink" Target="https://polkadot.subsquare.io/treasury/child-bounties/1250" TargetMode="External"/><Relationship Id="rId982" Type="http://schemas.openxmlformats.org/officeDocument/2006/relationships/hyperlink" Target="https://polkadot.subsquare.io/treasury/child-bounties/624" TargetMode="External"/><Relationship Id="rId1573" Type="http://schemas.openxmlformats.org/officeDocument/2006/relationships/hyperlink" Target="https://polkadot.subsquare.io/treasury/child-bounties/1251" TargetMode="External"/><Relationship Id="rId981" Type="http://schemas.openxmlformats.org/officeDocument/2006/relationships/hyperlink" Target="https://polkadot.subsquare.io/treasury/child-bounties/623" TargetMode="External"/><Relationship Id="rId1574" Type="http://schemas.openxmlformats.org/officeDocument/2006/relationships/hyperlink" Target="https://polkadot.subsquare.io/treasury/child-bounties/1252" TargetMode="External"/><Relationship Id="rId980" Type="http://schemas.openxmlformats.org/officeDocument/2006/relationships/hyperlink" Target="https://polkadot.subsquare.io/treasury/child-bounties/622" TargetMode="External"/><Relationship Id="rId1575" Type="http://schemas.openxmlformats.org/officeDocument/2006/relationships/hyperlink" Target="https://polkadot.subsquare.io/treasury/child-bounties/1253" TargetMode="External"/><Relationship Id="rId1565" Type="http://schemas.openxmlformats.org/officeDocument/2006/relationships/hyperlink" Target="https://polkadot.subsquare.io/treasury/child-bounties/1242" TargetMode="External"/><Relationship Id="rId1566" Type="http://schemas.openxmlformats.org/officeDocument/2006/relationships/hyperlink" Target="https://polkadot.subsquare.io/treasury/child-bounties/1243" TargetMode="External"/><Relationship Id="rId1567" Type="http://schemas.openxmlformats.org/officeDocument/2006/relationships/hyperlink" Target="https://polkadot.subsquare.io/treasury/child-bounties/1244" TargetMode="External"/><Relationship Id="rId1568" Type="http://schemas.openxmlformats.org/officeDocument/2006/relationships/hyperlink" Target="https://polkadot.subsquare.io/treasury/child-bounties/1245" TargetMode="External"/><Relationship Id="rId1569" Type="http://schemas.openxmlformats.org/officeDocument/2006/relationships/hyperlink" Target="https://polkadot.subsquare.io/treasury/child-bounties/1247" TargetMode="External"/><Relationship Id="rId976" Type="http://schemas.openxmlformats.org/officeDocument/2006/relationships/hyperlink" Target="https://polkadot.subsquare.io/treasury/child-bounties/618" TargetMode="External"/><Relationship Id="rId975" Type="http://schemas.openxmlformats.org/officeDocument/2006/relationships/hyperlink" Target="https://polkadot.subsquare.io/treasury/child-bounties/614" TargetMode="External"/><Relationship Id="rId974" Type="http://schemas.openxmlformats.org/officeDocument/2006/relationships/hyperlink" Target="https://polkadot.subsquare.io/treasury/child-bounties/613" TargetMode="External"/><Relationship Id="rId973" Type="http://schemas.openxmlformats.org/officeDocument/2006/relationships/hyperlink" Target="https://polkadot.subsquare.io/treasury/child-bounties/612" TargetMode="External"/><Relationship Id="rId979" Type="http://schemas.openxmlformats.org/officeDocument/2006/relationships/hyperlink" Target="https://polkadot.subsquare.io/treasury/child-bounties/621" TargetMode="External"/><Relationship Id="rId978" Type="http://schemas.openxmlformats.org/officeDocument/2006/relationships/hyperlink" Target="https://polkadot.subsquare.io/treasury/child-bounties/620" TargetMode="External"/><Relationship Id="rId977" Type="http://schemas.openxmlformats.org/officeDocument/2006/relationships/hyperlink" Target="https://polkadot.subsquare.io/treasury/child-bounties/619" TargetMode="External"/><Relationship Id="rId1560" Type="http://schemas.openxmlformats.org/officeDocument/2006/relationships/hyperlink" Target="https://polkadot.subsquare.io/treasury/child-bounties/1236" TargetMode="External"/><Relationship Id="rId972" Type="http://schemas.openxmlformats.org/officeDocument/2006/relationships/hyperlink" Target="https://polkadot.subsquare.io/treasury/child-bounties/611" TargetMode="External"/><Relationship Id="rId1561" Type="http://schemas.openxmlformats.org/officeDocument/2006/relationships/hyperlink" Target="https://polkadot.subsquare.io/treasury/child-bounties/1238" TargetMode="External"/><Relationship Id="rId971" Type="http://schemas.openxmlformats.org/officeDocument/2006/relationships/hyperlink" Target="https://polkadot.subsquare.io/treasury/child-bounties/610" TargetMode="External"/><Relationship Id="rId1562" Type="http://schemas.openxmlformats.org/officeDocument/2006/relationships/hyperlink" Target="https://polkadot.subsquare.io/treasury/child-bounties/1239" TargetMode="External"/><Relationship Id="rId970" Type="http://schemas.openxmlformats.org/officeDocument/2006/relationships/hyperlink" Target="https://polkadot.subsquare.io/treasury/child-bounties/609" TargetMode="External"/><Relationship Id="rId1563" Type="http://schemas.openxmlformats.org/officeDocument/2006/relationships/hyperlink" Target="https://polkadot.subsquare.io/treasury/child-bounties/1240" TargetMode="External"/><Relationship Id="rId1564" Type="http://schemas.openxmlformats.org/officeDocument/2006/relationships/hyperlink" Target="https://polkadot.subsquare.io/treasury/child-bounties/1241" TargetMode="External"/><Relationship Id="rId1114" Type="http://schemas.openxmlformats.org/officeDocument/2006/relationships/hyperlink" Target="https://polkadot.subsquare.io/treasury/child-bounties/770" TargetMode="External"/><Relationship Id="rId1598" Type="http://schemas.openxmlformats.org/officeDocument/2006/relationships/hyperlink" Target="https://polkadot.subsquare.io/treasury/child-bounties/1276" TargetMode="External"/><Relationship Id="rId1115" Type="http://schemas.openxmlformats.org/officeDocument/2006/relationships/hyperlink" Target="https://polkadot.subsquare.io/treasury/child-bounties/771" TargetMode="External"/><Relationship Id="rId1599" Type="http://schemas.openxmlformats.org/officeDocument/2006/relationships/hyperlink" Target="https://polkadot.subsquare.io/treasury/child-bounties/1277" TargetMode="External"/><Relationship Id="rId1116" Type="http://schemas.openxmlformats.org/officeDocument/2006/relationships/hyperlink" Target="https://polkadot.subsquare.io/treasury/child-bounties/772" TargetMode="External"/><Relationship Id="rId1117" Type="http://schemas.openxmlformats.org/officeDocument/2006/relationships/hyperlink" Target="https://polkadot.subsquare.io/treasury/child-bounties/773" TargetMode="External"/><Relationship Id="rId1118" Type="http://schemas.openxmlformats.org/officeDocument/2006/relationships/hyperlink" Target="https://polkadot.subsquare.io/treasury/child-bounties/774" TargetMode="External"/><Relationship Id="rId1119" Type="http://schemas.openxmlformats.org/officeDocument/2006/relationships/hyperlink" Target="https://polkadot.subsquare.io/treasury/child-bounties/778" TargetMode="External"/><Relationship Id="rId525" Type="http://schemas.openxmlformats.org/officeDocument/2006/relationships/hyperlink" Target="https://polkadot.subsquare.io/treasury/child-bounties/144" TargetMode="External"/><Relationship Id="rId524" Type="http://schemas.openxmlformats.org/officeDocument/2006/relationships/hyperlink" Target="https://polkadot.subsquare.io/treasury/child-bounties/143" TargetMode="External"/><Relationship Id="rId523" Type="http://schemas.openxmlformats.org/officeDocument/2006/relationships/hyperlink" Target="https://polkadot.subsquare.io/treasury/child-bounties/142" TargetMode="External"/><Relationship Id="rId522" Type="http://schemas.openxmlformats.org/officeDocument/2006/relationships/hyperlink" Target="https://polkadot.subsquare.io/treasury/child-bounties/141" TargetMode="External"/><Relationship Id="rId529" Type="http://schemas.openxmlformats.org/officeDocument/2006/relationships/hyperlink" Target="https://polkadot.subsquare.io/treasury/child-bounties/148" TargetMode="External"/><Relationship Id="rId528" Type="http://schemas.openxmlformats.org/officeDocument/2006/relationships/hyperlink" Target="https://polkadot.subsquare.io/treasury/child-bounties/147" TargetMode="External"/><Relationship Id="rId527" Type="http://schemas.openxmlformats.org/officeDocument/2006/relationships/hyperlink" Target="https://polkadot.subsquare.io/treasury/child-bounties/146" TargetMode="External"/><Relationship Id="rId526" Type="http://schemas.openxmlformats.org/officeDocument/2006/relationships/hyperlink" Target="https://polkadot.subsquare.io/treasury/child-bounties/145" TargetMode="External"/><Relationship Id="rId1590" Type="http://schemas.openxmlformats.org/officeDocument/2006/relationships/hyperlink" Target="https://polkadot.subsquare.io/treasury/child-bounties/1268" TargetMode="External"/><Relationship Id="rId1591" Type="http://schemas.openxmlformats.org/officeDocument/2006/relationships/hyperlink" Target="https://polkadot.subsquare.io/treasury/child-bounties/1269" TargetMode="External"/><Relationship Id="rId1592" Type="http://schemas.openxmlformats.org/officeDocument/2006/relationships/hyperlink" Target="https://polkadot.subsquare.io/treasury/child-bounties/1270" TargetMode="External"/><Relationship Id="rId1593" Type="http://schemas.openxmlformats.org/officeDocument/2006/relationships/hyperlink" Target="https://polkadot.subsquare.io/treasury/child-bounties/1271" TargetMode="External"/><Relationship Id="rId521" Type="http://schemas.openxmlformats.org/officeDocument/2006/relationships/hyperlink" Target="https://polkadot.subsquare.io/treasury/child-bounties/140" TargetMode="External"/><Relationship Id="rId1110" Type="http://schemas.openxmlformats.org/officeDocument/2006/relationships/hyperlink" Target="https://polkadot.subsquare.io/treasury/child-bounties/766" TargetMode="External"/><Relationship Id="rId1594" Type="http://schemas.openxmlformats.org/officeDocument/2006/relationships/hyperlink" Target="https://polkadot.subsquare.io/treasury/child-bounties/1272" TargetMode="External"/><Relationship Id="rId520" Type="http://schemas.openxmlformats.org/officeDocument/2006/relationships/hyperlink" Target="https://polkadot.subsquare.io/treasury/child-bounties/139" TargetMode="External"/><Relationship Id="rId1111" Type="http://schemas.openxmlformats.org/officeDocument/2006/relationships/hyperlink" Target="https://polkadot.subsquare.io/treasury/child-bounties/767" TargetMode="External"/><Relationship Id="rId1595" Type="http://schemas.openxmlformats.org/officeDocument/2006/relationships/hyperlink" Target="https://polkadot.subsquare.io/treasury/child-bounties/1273" TargetMode="External"/><Relationship Id="rId1112" Type="http://schemas.openxmlformats.org/officeDocument/2006/relationships/hyperlink" Target="https://polkadot.subsquare.io/treasury/child-bounties/768" TargetMode="External"/><Relationship Id="rId1596" Type="http://schemas.openxmlformats.org/officeDocument/2006/relationships/hyperlink" Target="https://polkadot.subsquare.io/treasury/child-bounties/1274" TargetMode="External"/><Relationship Id="rId1113" Type="http://schemas.openxmlformats.org/officeDocument/2006/relationships/hyperlink" Target="https://polkadot.subsquare.io/treasury/child-bounties/769" TargetMode="External"/><Relationship Id="rId1597" Type="http://schemas.openxmlformats.org/officeDocument/2006/relationships/hyperlink" Target="https://polkadot.subsquare.io/treasury/child-bounties/1275" TargetMode="External"/><Relationship Id="rId1103" Type="http://schemas.openxmlformats.org/officeDocument/2006/relationships/hyperlink" Target="https://polkadot.subsquare.io/treasury/child-bounties/759" TargetMode="External"/><Relationship Id="rId1587" Type="http://schemas.openxmlformats.org/officeDocument/2006/relationships/hyperlink" Target="https://polkadot.subsquare.io/treasury/child-bounties/1265" TargetMode="External"/><Relationship Id="rId1104" Type="http://schemas.openxmlformats.org/officeDocument/2006/relationships/hyperlink" Target="https://polkadot.subsquare.io/treasury/child-bounties/760" TargetMode="External"/><Relationship Id="rId1588" Type="http://schemas.openxmlformats.org/officeDocument/2006/relationships/hyperlink" Target="https://polkadot.subsquare.io/treasury/child-bounties/1266" TargetMode="External"/><Relationship Id="rId1105" Type="http://schemas.openxmlformats.org/officeDocument/2006/relationships/hyperlink" Target="https://polkadot.subsquare.io/treasury/child-bounties/761" TargetMode="External"/><Relationship Id="rId1589" Type="http://schemas.openxmlformats.org/officeDocument/2006/relationships/hyperlink" Target="https://polkadot.subsquare.io/treasury/child-bounties/1267" TargetMode="External"/><Relationship Id="rId1106" Type="http://schemas.openxmlformats.org/officeDocument/2006/relationships/hyperlink" Target="https://polkadot.subsquare.io/treasury/child-bounties/762" TargetMode="External"/><Relationship Id="rId1107" Type="http://schemas.openxmlformats.org/officeDocument/2006/relationships/hyperlink" Target="https://polkadot.subsquare.io/treasury/child-bounties/763" TargetMode="External"/><Relationship Id="rId1108" Type="http://schemas.openxmlformats.org/officeDocument/2006/relationships/hyperlink" Target="https://polkadot.subsquare.io/treasury/child-bounties/764" TargetMode="External"/><Relationship Id="rId1109" Type="http://schemas.openxmlformats.org/officeDocument/2006/relationships/hyperlink" Target="https://polkadot.subsquare.io/treasury/child-bounties/765" TargetMode="External"/><Relationship Id="rId519" Type="http://schemas.openxmlformats.org/officeDocument/2006/relationships/hyperlink" Target="https://polkadot.subsquare.io/treasury/child-bounties/138" TargetMode="External"/><Relationship Id="rId514" Type="http://schemas.openxmlformats.org/officeDocument/2006/relationships/hyperlink" Target="https://polkadot.subsquare.io/treasury/child-bounties/133" TargetMode="External"/><Relationship Id="rId998" Type="http://schemas.openxmlformats.org/officeDocument/2006/relationships/hyperlink" Target="https://polkadot.subsquare.io/treasury/child-bounties/643" TargetMode="External"/><Relationship Id="rId513" Type="http://schemas.openxmlformats.org/officeDocument/2006/relationships/hyperlink" Target="https://polkadot.subsquare.io/treasury/child-bounties/132" TargetMode="External"/><Relationship Id="rId997" Type="http://schemas.openxmlformats.org/officeDocument/2006/relationships/hyperlink" Target="https://polkadot.subsquare.io/treasury/child-bounties/642" TargetMode="External"/><Relationship Id="rId512" Type="http://schemas.openxmlformats.org/officeDocument/2006/relationships/hyperlink" Target="https://polkadot.subsquare.io/treasury/child-bounties/131" TargetMode="External"/><Relationship Id="rId996" Type="http://schemas.openxmlformats.org/officeDocument/2006/relationships/hyperlink" Target="https://polkadot.subsquare.io/treasury/child-bounties/638" TargetMode="External"/><Relationship Id="rId511" Type="http://schemas.openxmlformats.org/officeDocument/2006/relationships/hyperlink" Target="https://polkadot.subsquare.io/treasury/child-bounties/130" TargetMode="External"/><Relationship Id="rId995" Type="http://schemas.openxmlformats.org/officeDocument/2006/relationships/hyperlink" Target="https://polkadot.subsquare.io/treasury/child-bounties/637" TargetMode="External"/><Relationship Id="rId518" Type="http://schemas.openxmlformats.org/officeDocument/2006/relationships/hyperlink" Target="https://polkadot.subsquare.io/treasury/child-bounties/137" TargetMode="External"/><Relationship Id="rId517" Type="http://schemas.openxmlformats.org/officeDocument/2006/relationships/hyperlink" Target="https://polkadot.subsquare.io/treasury/child-bounties/136" TargetMode="External"/><Relationship Id="rId516" Type="http://schemas.openxmlformats.org/officeDocument/2006/relationships/hyperlink" Target="https://polkadot.subsquare.io/treasury/child-bounties/135" TargetMode="External"/><Relationship Id="rId515" Type="http://schemas.openxmlformats.org/officeDocument/2006/relationships/hyperlink" Target="https://polkadot.subsquare.io/treasury/child-bounties/134" TargetMode="External"/><Relationship Id="rId999" Type="http://schemas.openxmlformats.org/officeDocument/2006/relationships/hyperlink" Target="https://polkadot.subsquare.io/treasury/child-bounties/644" TargetMode="External"/><Relationship Id="rId990" Type="http://schemas.openxmlformats.org/officeDocument/2006/relationships/hyperlink" Target="https://polkadot.subsquare.io/treasury/child-bounties/632" TargetMode="External"/><Relationship Id="rId1580" Type="http://schemas.openxmlformats.org/officeDocument/2006/relationships/hyperlink" Target="https://polkadot.subsquare.io/treasury/child-bounties/1258" TargetMode="External"/><Relationship Id="rId1581" Type="http://schemas.openxmlformats.org/officeDocument/2006/relationships/hyperlink" Target="https://polkadot.subsquare.io/treasury/child-bounties/1259" TargetMode="External"/><Relationship Id="rId1582" Type="http://schemas.openxmlformats.org/officeDocument/2006/relationships/hyperlink" Target="https://polkadot.subsquare.io/treasury/child-bounties/1260" TargetMode="External"/><Relationship Id="rId510" Type="http://schemas.openxmlformats.org/officeDocument/2006/relationships/hyperlink" Target="https://polkadot.subsquare.io/treasury/child-bounties/129" TargetMode="External"/><Relationship Id="rId994" Type="http://schemas.openxmlformats.org/officeDocument/2006/relationships/hyperlink" Target="https://polkadot.subsquare.io/treasury/child-bounties/636" TargetMode="External"/><Relationship Id="rId1583" Type="http://schemas.openxmlformats.org/officeDocument/2006/relationships/hyperlink" Target="https://polkadot.subsquare.io/treasury/child-bounties/1261" TargetMode="External"/><Relationship Id="rId993" Type="http://schemas.openxmlformats.org/officeDocument/2006/relationships/hyperlink" Target="https://polkadot.subsquare.io/treasury/child-bounties/635" TargetMode="External"/><Relationship Id="rId1100" Type="http://schemas.openxmlformats.org/officeDocument/2006/relationships/hyperlink" Target="https://polkadot.subsquare.io/treasury/child-bounties/756" TargetMode="External"/><Relationship Id="rId1584" Type="http://schemas.openxmlformats.org/officeDocument/2006/relationships/hyperlink" Target="https://polkadot.subsquare.io/treasury/child-bounties/1262" TargetMode="External"/><Relationship Id="rId992" Type="http://schemas.openxmlformats.org/officeDocument/2006/relationships/hyperlink" Target="https://polkadot.subsquare.io/treasury/child-bounties/634" TargetMode="External"/><Relationship Id="rId1101" Type="http://schemas.openxmlformats.org/officeDocument/2006/relationships/hyperlink" Target="https://polkadot.subsquare.io/treasury/child-bounties/757" TargetMode="External"/><Relationship Id="rId1585" Type="http://schemas.openxmlformats.org/officeDocument/2006/relationships/hyperlink" Target="https://polkadot.subsquare.io/treasury/child-bounties/1263" TargetMode="External"/><Relationship Id="rId991" Type="http://schemas.openxmlformats.org/officeDocument/2006/relationships/hyperlink" Target="https://polkadot.subsquare.io/treasury/child-bounties/633" TargetMode="External"/><Relationship Id="rId1102" Type="http://schemas.openxmlformats.org/officeDocument/2006/relationships/hyperlink" Target="https://polkadot.subsquare.io/treasury/child-bounties/758" TargetMode="External"/><Relationship Id="rId1586" Type="http://schemas.openxmlformats.org/officeDocument/2006/relationships/hyperlink" Target="https://polkadot.subsquare.io/treasury/child-bounties/1264" TargetMode="External"/><Relationship Id="rId1532" Type="http://schemas.openxmlformats.org/officeDocument/2006/relationships/hyperlink" Target="https://polkadot.subsquare.io/treasury/child-bounties/1206" TargetMode="External"/><Relationship Id="rId1533" Type="http://schemas.openxmlformats.org/officeDocument/2006/relationships/hyperlink" Target="https://polkadot.subsquare.io/treasury/child-bounties/1207" TargetMode="External"/><Relationship Id="rId1534" Type="http://schemas.openxmlformats.org/officeDocument/2006/relationships/hyperlink" Target="https://polkadot.subsquare.io/treasury/child-bounties/1209" TargetMode="External"/><Relationship Id="rId1535" Type="http://schemas.openxmlformats.org/officeDocument/2006/relationships/hyperlink" Target="https://polkadot.subsquare.io/treasury/child-bounties/1210" TargetMode="External"/><Relationship Id="rId1536" Type="http://schemas.openxmlformats.org/officeDocument/2006/relationships/hyperlink" Target="https://polkadot.subsquare.io/treasury/child-bounties/1211" TargetMode="External"/><Relationship Id="rId1537" Type="http://schemas.openxmlformats.org/officeDocument/2006/relationships/hyperlink" Target="https://polkadot.subsquare.io/treasury/child-bounties/1212" TargetMode="External"/><Relationship Id="rId1538" Type="http://schemas.openxmlformats.org/officeDocument/2006/relationships/hyperlink" Target="https://polkadot.subsquare.io/treasury/child-bounties/1213" TargetMode="External"/><Relationship Id="rId1539" Type="http://schemas.openxmlformats.org/officeDocument/2006/relationships/hyperlink" Target="https://polkadot.subsquare.io/treasury/child-bounties/1214" TargetMode="External"/><Relationship Id="rId949" Type="http://schemas.openxmlformats.org/officeDocument/2006/relationships/hyperlink" Target="https://polkadot.subsquare.io/treasury/child-bounties/587" TargetMode="External"/><Relationship Id="rId948" Type="http://schemas.openxmlformats.org/officeDocument/2006/relationships/hyperlink" Target="https://polkadot.subsquare.io/treasury/child-bounties/586" TargetMode="External"/><Relationship Id="rId943" Type="http://schemas.openxmlformats.org/officeDocument/2006/relationships/hyperlink" Target="https://polkadot.subsquare.io/treasury/child-bounties/581" TargetMode="External"/><Relationship Id="rId942" Type="http://schemas.openxmlformats.org/officeDocument/2006/relationships/hyperlink" Target="https://polkadot.subsquare.io/treasury/child-bounties/580" TargetMode="External"/><Relationship Id="rId941" Type="http://schemas.openxmlformats.org/officeDocument/2006/relationships/hyperlink" Target="https://polkadot.subsquare.io/treasury/child-bounties/579" TargetMode="External"/><Relationship Id="rId940" Type="http://schemas.openxmlformats.org/officeDocument/2006/relationships/hyperlink" Target="https://polkadot.subsquare.io/treasury/child-bounties/578" TargetMode="External"/><Relationship Id="rId947" Type="http://schemas.openxmlformats.org/officeDocument/2006/relationships/hyperlink" Target="https://polkadot.subsquare.io/treasury/child-bounties/585" TargetMode="External"/><Relationship Id="rId946" Type="http://schemas.openxmlformats.org/officeDocument/2006/relationships/hyperlink" Target="https://polkadot.subsquare.io/treasury/child-bounties/584" TargetMode="External"/><Relationship Id="rId945" Type="http://schemas.openxmlformats.org/officeDocument/2006/relationships/hyperlink" Target="https://polkadot.subsquare.io/treasury/child-bounties/583" TargetMode="External"/><Relationship Id="rId944" Type="http://schemas.openxmlformats.org/officeDocument/2006/relationships/hyperlink" Target="https://polkadot.subsquare.io/treasury/child-bounties/582" TargetMode="External"/><Relationship Id="rId1530" Type="http://schemas.openxmlformats.org/officeDocument/2006/relationships/hyperlink" Target="https://polkadot.subsquare.io/treasury/child-bounties/1204" TargetMode="External"/><Relationship Id="rId1531" Type="http://schemas.openxmlformats.org/officeDocument/2006/relationships/hyperlink" Target="https://polkadot.subsquare.io/treasury/child-bounties/1205" TargetMode="External"/><Relationship Id="rId1521" Type="http://schemas.openxmlformats.org/officeDocument/2006/relationships/hyperlink" Target="https://polkadot.subsquare.io/treasury/child-bounties/1195" TargetMode="External"/><Relationship Id="rId1522" Type="http://schemas.openxmlformats.org/officeDocument/2006/relationships/hyperlink" Target="https://polkadot.subsquare.io/treasury/child-bounties/1196" TargetMode="External"/><Relationship Id="rId1523" Type="http://schemas.openxmlformats.org/officeDocument/2006/relationships/hyperlink" Target="https://polkadot.subsquare.io/treasury/child-bounties/1197" TargetMode="External"/><Relationship Id="rId1524" Type="http://schemas.openxmlformats.org/officeDocument/2006/relationships/hyperlink" Target="https://polkadot.subsquare.io/treasury/child-bounties/1198" TargetMode="External"/><Relationship Id="rId1525" Type="http://schemas.openxmlformats.org/officeDocument/2006/relationships/hyperlink" Target="https://polkadot.subsquare.io/treasury/child-bounties/1199" TargetMode="External"/><Relationship Id="rId1526" Type="http://schemas.openxmlformats.org/officeDocument/2006/relationships/hyperlink" Target="https://polkadot.subsquare.io/treasury/child-bounties/1200" TargetMode="External"/><Relationship Id="rId1527" Type="http://schemas.openxmlformats.org/officeDocument/2006/relationships/hyperlink" Target="https://polkadot.subsquare.io/treasury/child-bounties/1201" TargetMode="External"/><Relationship Id="rId1528" Type="http://schemas.openxmlformats.org/officeDocument/2006/relationships/hyperlink" Target="https://polkadot.subsquare.io/treasury/child-bounties/1202" TargetMode="External"/><Relationship Id="rId1529" Type="http://schemas.openxmlformats.org/officeDocument/2006/relationships/hyperlink" Target="https://polkadot.subsquare.io/treasury/child-bounties/1203" TargetMode="External"/><Relationship Id="rId939" Type="http://schemas.openxmlformats.org/officeDocument/2006/relationships/hyperlink" Target="https://polkadot.subsquare.io/treasury/child-bounties/577" TargetMode="External"/><Relationship Id="rId938" Type="http://schemas.openxmlformats.org/officeDocument/2006/relationships/hyperlink" Target="https://polkadot.subsquare.io/treasury/child-bounties/576" TargetMode="External"/><Relationship Id="rId937" Type="http://schemas.openxmlformats.org/officeDocument/2006/relationships/hyperlink" Target="https://polkadot.subsquare.io/treasury/child-bounties/575" TargetMode="External"/><Relationship Id="rId932" Type="http://schemas.openxmlformats.org/officeDocument/2006/relationships/hyperlink" Target="https://polkadot.subsquare.io/treasury/child-bounties/570" TargetMode="External"/><Relationship Id="rId931" Type="http://schemas.openxmlformats.org/officeDocument/2006/relationships/hyperlink" Target="https://polkadot.subsquare.io/treasury/child-bounties/569" TargetMode="External"/><Relationship Id="rId930" Type="http://schemas.openxmlformats.org/officeDocument/2006/relationships/hyperlink" Target="https://polkadot.subsquare.io/treasury/child-bounties/568" TargetMode="External"/><Relationship Id="rId936" Type="http://schemas.openxmlformats.org/officeDocument/2006/relationships/hyperlink" Target="https://polkadot.subsquare.io/treasury/child-bounties/574" TargetMode="External"/><Relationship Id="rId935" Type="http://schemas.openxmlformats.org/officeDocument/2006/relationships/hyperlink" Target="https://polkadot.subsquare.io/treasury/child-bounties/573" TargetMode="External"/><Relationship Id="rId934" Type="http://schemas.openxmlformats.org/officeDocument/2006/relationships/hyperlink" Target="https://polkadot.subsquare.io/treasury/child-bounties/572" TargetMode="External"/><Relationship Id="rId933" Type="http://schemas.openxmlformats.org/officeDocument/2006/relationships/hyperlink" Target="https://polkadot.subsquare.io/treasury/child-bounties/571" TargetMode="External"/><Relationship Id="rId1520" Type="http://schemas.openxmlformats.org/officeDocument/2006/relationships/hyperlink" Target="https://polkadot.subsquare.io/treasury/child-bounties/1194" TargetMode="External"/><Relationship Id="rId1554" Type="http://schemas.openxmlformats.org/officeDocument/2006/relationships/hyperlink" Target="https://polkadot.subsquare.io/treasury/child-bounties/1229" TargetMode="External"/><Relationship Id="rId1555" Type="http://schemas.openxmlformats.org/officeDocument/2006/relationships/hyperlink" Target="https://polkadot.subsquare.io/treasury/child-bounties/1230" TargetMode="External"/><Relationship Id="rId1556" Type="http://schemas.openxmlformats.org/officeDocument/2006/relationships/hyperlink" Target="https://polkadot.subsquare.io/treasury/child-bounties/1231" TargetMode="External"/><Relationship Id="rId1557" Type="http://schemas.openxmlformats.org/officeDocument/2006/relationships/hyperlink" Target="https://polkadot.subsquare.io/treasury/child-bounties/1233" TargetMode="External"/><Relationship Id="rId1558" Type="http://schemas.openxmlformats.org/officeDocument/2006/relationships/hyperlink" Target="https://polkadot.subsquare.io/treasury/child-bounties/1234" TargetMode="External"/><Relationship Id="rId1559" Type="http://schemas.openxmlformats.org/officeDocument/2006/relationships/hyperlink" Target="https://polkadot.subsquare.io/treasury/child-bounties/1235" TargetMode="External"/><Relationship Id="rId965" Type="http://schemas.openxmlformats.org/officeDocument/2006/relationships/hyperlink" Target="https://polkadot.subsquare.io/treasury/child-bounties/604" TargetMode="External"/><Relationship Id="rId964" Type="http://schemas.openxmlformats.org/officeDocument/2006/relationships/hyperlink" Target="https://polkadot.subsquare.io/treasury/child-bounties/603" TargetMode="External"/><Relationship Id="rId963" Type="http://schemas.openxmlformats.org/officeDocument/2006/relationships/hyperlink" Target="https://polkadot.subsquare.io/treasury/child-bounties/602" TargetMode="External"/><Relationship Id="rId962" Type="http://schemas.openxmlformats.org/officeDocument/2006/relationships/hyperlink" Target="https://polkadot.subsquare.io/treasury/child-bounties/601" TargetMode="External"/><Relationship Id="rId969" Type="http://schemas.openxmlformats.org/officeDocument/2006/relationships/hyperlink" Target="https://polkadot.subsquare.io/treasury/child-bounties/608" TargetMode="External"/><Relationship Id="rId968" Type="http://schemas.openxmlformats.org/officeDocument/2006/relationships/hyperlink" Target="https://polkadot.subsquare.io/treasury/child-bounties/607" TargetMode="External"/><Relationship Id="rId967" Type="http://schemas.openxmlformats.org/officeDocument/2006/relationships/hyperlink" Target="https://polkadot.subsquare.io/treasury/child-bounties/606" TargetMode="External"/><Relationship Id="rId966" Type="http://schemas.openxmlformats.org/officeDocument/2006/relationships/hyperlink" Target="https://polkadot.subsquare.io/treasury/child-bounties/605" TargetMode="External"/><Relationship Id="rId961" Type="http://schemas.openxmlformats.org/officeDocument/2006/relationships/hyperlink" Target="https://polkadot.subsquare.io/treasury/child-bounties/600" TargetMode="External"/><Relationship Id="rId1550" Type="http://schemas.openxmlformats.org/officeDocument/2006/relationships/hyperlink" Target="https://polkadot.subsquare.io/treasury/child-bounties/1225" TargetMode="External"/><Relationship Id="rId960" Type="http://schemas.openxmlformats.org/officeDocument/2006/relationships/hyperlink" Target="https://polkadot.subsquare.io/treasury/child-bounties/599" TargetMode="External"/><Relationship Id="rId1551" Type="http://schemas.openxmlformats.org/officeDocument/2006/relationships/hyperlink" Target="https://polkadot.subsquare.io/treasury/child-bounties/1226" TargetMode="External"/><Relationship Id="rId1552" Type="http://schemas.openxmlformats.org/officeDocument/2006/relationships/hyperlink" Target="https://polkadot.subsquare.io/treasury/child-bounties/1227" TargetMode="External"/><Relationship Id="rId1553" Type="http://schemas.openxmlformats.org/officeDocument/2006/relationships/hyperlink" Target="https://polkadot.subsquare.io/treasury/child-bounties/1228" TargetMode="External"/><Relationship Id="rId1543" Type="http://schemas.openxmlformats.org/officeDocument/2006/relationships/hyperlink" Target="https://polkadot.subsquare.io/treasury/child-bounties/1218" TargetMode="External"/><Relationship Id="rId1544" Type="http://schemas.openxmlformats.org/officeDocument/2006/relationships/hyperlink" Target="https://polkadot.subsquare.io/treasury/child-bounties/1219" TargetMode="External"/><Relationship Id="rId1545" Type="http://schemas.openxmlformats.org/officeDocument/2006/relationships/hyperlink" Target="https://polkadot.subsquare.io/treasury/child-bounties/1220" TargetMode="External"/><Relationship Id="rId1546" Type="http://schemas.openxmlformats.org/officeDocument/2006/relationships/hyperlink" Target="https://polkadot.subsquare.io/treasury/child-bounties/1221" TargetMode="External"/><Relationship Id="rId1547" Type="http://schemas.openxmlformats.org/officeDocument/2006/relationships/hyperlink" Target="https://polkadot.subsquare.io/treasury/child-bounties/1222" TargetMode="External"/><Relationship Id="rId1548" Type="http://schemas.openxmlformats.org/officeDocument/2006/relationships/hyperlink" Target="https://polkadot.subsquare.io/treasury/child-bounties/1223" TargetMode="External"/><Relationship Id="rId1549" Type="http://schemas.openxmlformats.org/officeDocument/2006/relationships/hyperlink" Target="https://polkadot.subsquare.io/treasury/child-bounties/1224" TargetMode="External"/><Relationship Id="rId959" Type="http://schemas.openxmlformats.org/officeDocument/2006/relationships/hyperlink" Target="https://polkadot.subsquare.io/treasury/child-bounties/598" TargetMode="External"/><Relationship Id="rId954" Type="http://schemas.openxmlformats.org/officeDocument/2006/relationships/hyperlink" Target="https://polkadot.subsquare.io/treasury/child-bounties/593" TargetMode="External"/><Relationship Id="rId953" Type="http://schemas.openxmlformats.org/officeDocument/2006/relationships/hyperlink" Target="https://polkadot.subsquare.io/treasury/child-bounties/592" TargetMode="External"/><Relationship Id="rId952" Type="http://schemas.openxmlformats.org/officeDocument/2006/relationships/hyperlink" Target="https://polkadot.subsquare.io/treasury/child-bounties/591" TargetMode="External"/><Relationship Id="rId951" Type="http://schemas.openxmlformats.org/officeDocument/2006/relationships/hyperlink" Target="https://polkadot.subsquare.io/treasury/child-bounties/590" TargetMode="External"/><Relationship Id="rId958" Type="http://schemas.openxmlformats.org/officeDocument/2006/relationships/hyperlink" Target="https://polkadot.subsquare.io/treasury/child-bounties/597" TargetMode="External"/><Relationship Id="rId957" Type="http://schemas.openxmlformats.org/officeDocument/2006/relationships/hyperlink" Target="https://polkadot.subsquare.io/treasury/child-bounties/596" TargetMode="External"/><Relationship Id="rId956" Type="http://schemas.openxmlformats.org/officeDocument/2006/relationships/hyperlink" Target="https://polkadot.subsquare.io/treasury/child-bounties/595" TargetMode="External"/><Relationship Id="rId955" Type="http://schemas.openxmlformats.org/officeDocument/2006/relationships/hyperlink" Target="https://polkadot.subsquare.io/treasury/child-bounties/594" TargetMode="External"/><Relationship Id="rId950" Type="http://schemas.openxmlformats.org/officeDocument/2006/relationships/hyperlink" Target="https://polkadot.subsquare.io/treasury/child-bounties/589" TargetMode="External"/><Relationship Id="rId1540" Type="http://schemas.openxmlformats.org/officeDocument/2006/relationships/hyperlink" Target="https://polkadot.subsquare.io/treasury/child-bounties/1215" TargetMode="External"/><Relationship Id="rId1541" Type="http://schemas.openxmlformats.org/officeDocument/2006/relationships/hyperlink" Target="https://polkadot.subsquare.io/treasury/child-bounties/1216" TargetMode="External"/><Relationship Id="rId1542" Type="http://schemas.openxmlformats.org/officeDocument/2006/relationships/hyperlink" Target="https://polkadot.subsquare.io/treasury/child-bounties/1217" TargetMode="External"/><Relationship Id="rId590" Type="http://schemas.openxmlformats.org/officeDocument/2006/relationships/hyperlink" Target="https://polkadot.subsquare.io/treasury/child-bounties/213" TargetMode="External"/><Relationship Id="rId107" Type="http://schemas.openxmlformats.org/officeDocument/2006/relationships/hyperlink" Target="https://polkadot.subsquare.io/referenda/218" TargetMode="External"/><Relationship Id="rId106" Type="http://schemas.openxmlformats.org/officeDocument/2006/relationships/hyperlink" Target="https://polkadot.subsquare.io/referenda/217" TargetMode="External"/><Relationship Id="rId105" Type="http://schemas.openxmlformats.org/officeDocument/2006/relationships/hyperlink" Target="https://polkadot.subsquare.io/referenda/216" TargetMode="External"/><Relationship Id="rId589" Type="http://schemas.openxmlformats.org/officeDocument/2006/relationships/hyperlink" Target="https://polkadot.subsquare.io/treasury/child-bounties/212" TargetMode="External"/><Relationship Id="rId104" Type="http://schemas.openxmlformats.org/officeDocument/2006/relationships/hyperlink" Target="https://polkadot.subsquare.io/referenda/215" TargetMode="External"/><Relationship Id="rId588" Type="http://schemas.openxmlformats.org/officeDocument/2006/relationships/hyperlink" Target="https://polkadot.subsquare.io/treasury/child-bounties/211" TargetMode="External"/><Relationship Id="rId109" Type="http://schemas.openxmlformats.org/officeDocument/2006/relationships/hyperlink" Target="https://polkadot.subsquare.io/referenda/221" TargetMode="External"/><Relationship Id="rId1170" Type="http://schemas.openxmlformats.org/officeDocument/2006/relationships/hyperlink" Target="https://polkadot.subsquare.io/treasury/child-bounties/829" TargetMode="External"/><Relationship Id="rId108" Type="http://schemas.openxmlformats.org/officeDocument/2006/relationships/hyperlink" Target="https://polkadot.subsquare.io/referenda/219" TargetMode="External"/><Relationship Id="rId1171" Type="http://schemas.openxmlformats.org/officeDocument/2006/relationships/hyperlink" Target="https://polkadot.subsquare.io/treasury/child-bounties/830" TargetMode="External"/><Relationship Id="rId583" Type="http://schemas.openxmlformats.org/officeDocument/2006/relationships/hyperlink" Target="https://github.com/paritytech/frontier/security/advisories/GHSA-fcmm-54jp-7vf6" TargetMode="External"/><Relationship Id="rId1172" Type="http://schemas.openxmlformats.org/officeDocument/2006/relationships/hyperlink" Target="https://polkadot.subsquare.io/treasury/child-bounties/831" TargetMode="External"/><Relationship Id="rId582" Type="http://schemas.openxmlformats.org/officeDocument/2006/relationships/hyperlink" Target="https://polkadot.subsquare.io/treasury/child-bounties/206" TargetMode="External"/><Relationship Id="rId1173" Type="http://schemas.openxmlformats.org/officeDocument/2006/relationships/hyperlink" Target="https://polkadot.subsquare.io/treasury/child-bounties/832" TargetMode="External"/><Relationship Id="rId581" Type="http://schemas.openxmlformats.org/officeDocument/2006/relationships/hyperlink" Target="https://polkadot.subsquare.io/treasury/child-bounties/205" TargetMode="External"/><Relationship Id="rId1174" Type="http://schemas.openxmlformats.org/officeDocument/2006/relationships/hyperlink" Target="https://polkadot.subsquare.io/treasury/child-bounties/833" TargetMode="External"/><Relationship Id="rId580" Type="http://schemas.openxmlformats.org/officeDocument/2006/relationships/hyperlink" Target="https://polkadot.subsquare.io/treasury/child-bounties/204" TargetMode="External"/><Relationship Id="rId1175" Type="http://schemas.openxmlformats.org/officeDocument/2006/relationships/hyperlink" Target="https://polkadot.subsquare.io/treasury/child-bounties/834" TargetMode="External"/><Relationship Id="rId103" Type="http://schemas.openxmlformats.org/officeDocument/2006/relationships/hyperlink" Target="https://polkadot.subsquare.io/referenda/214" TargetMode="External"/><Relationship Id="rId587" Type="http://schemas.openxmlformats.org/officeDocument/2006/relationships/hyperlink" Target="https://polkadot.subsquare.io/treasury/child-bounties/210" TargetMode="External"/><Relationship Id="rId1176" Type="http://schemas.openxmlformats.org/officeDocument/2006/relationships/hyperlink" Target="https://polkadot.subsquare.io/treasury/child-bounties/835" TargetMode="External"/><Relationship Id="rId102" Type="http://schemas.openxmlformats.org/officeDocument/2006/relationships/hyperlink" Target="https://polkadot.subsquare.io/referenda/210" TargetMode="External"/><Relationship Id="rId586" Type="http://schemas.openxmlformats.org/officeDocument/2006/relationships/hyperlink" Target="https://polkadot.subsquare.io/treasury/child-bounties/209" TargetMode="External"/><Relationship Id="rId1177" Type="http://schemas.openxmlformats.org/officeDocument/2006/relationships/hyperlink" Target="https://polkadot.subsquare.io/treasury/child-bounties/836" TargetMode="External"/><Relationship Id="rId101" Type="http://schemas.openxmlformats.org/officeDocument/2006/relationships/hyperlink" Target="https://polkadot.subsquare.io/referenda/209" TargetMode="External"/><Relationship Id="rId585" Type="http://schemas.openxmlformats.org/officeDocument/2006/relationships/hyperlink" Target="https://polkadot.subsquare.io/treasury/child-bounties/208" TargetMode="External"/><Relationship Id="rId1178" Type="http://schemas.openxmlformats.org/officeDocument/2006/relationships/hyperlink" Target="https://polkadot.subsquare.io/treasury/child-bounties/837" TargetMode="External"/><Relationship Id="rId100" Type="http://schemas.openxmlformats.org/officeDocument/2006/relationships/hyperlink" Target="https://polkadot.subsquare.io/referenda/207" TargetMode="External"/><Relationship Id="rId584" Type="http://schemas.openxmlformats.org/officeDocument/2006/relationships/hyperlink" Target="https://polkadot.subsquare.io/treasury/child-bounties/207" TargetMode="External"/><Relationship Id="rId1179" Type="http://schemas.openxmlformats.org/officeDocument/2006/relationships/hyperlink" Target="https://polkadot.subsquare.io/treasury/child-bounties/838" TargetMode="External"/><Relationship Id="rId1169" Type="http://schemas.openxmlformats.org/officeDocument/2006/relationships/hyperlink" Target="https://polkadot.subsquare.io/treasury/child-bounties/828" TargetMode="External"/><Relationship Id="rId579" Type="http://schemas.openxmlformats.org/officeDocument/2006/relationships/hyperlink" Target="https://polkadot.subsquare.io/treasury/child-bounties/203" TargetMode="External"/><Relationship Id="rId578" Type="http://schemas.openxmlformats.org/officeDocument/2006/relationships/hyperlink" Target="https://polkadot.subsquare.io/treasury/child-bounties/202" TargetMode="External"/><Relationship Id="rId577" Type="http://schemas.openxmlformats.org/officeDocument/2006/relationships/hyperlink" Target="https://polkadot.subsquare.io/treasury/child-bounties/201" TargetMode="External"/><Relationship Id="rId1160" Type="http://schemas.openxmlformats.org/officeDocument/2006/relationships/hyperlink" Target="https://polkadot.subsquare.io/treasury/child-bounties/819" TargetMode="External"/><Relationship Id="rId572" Type="http://schemas.openxmlformats.org/officeDocument/2006/relationships/hyperlink" Target="https://polkadot.subsquare.io/treasury/child-bounties/196" TargetMode="External"/><Relationship Id="rId1161" Type="http://schemas.openxmlformats.org/officeDocument/2006/relationships/hyperlink" Target="https://polkadot.subsquare.io/treasury/child-bounties/820" TargetMode="External"/><Relationship Id="rId571" Type="http://schemas.openxmlformats.org/officeDocument/2006/relationships/hyperlink" Target="https://polkadot.subsquare.io/treasury/child-bounties/195" TargetMode="External"/><Relationship Id="rId1162" Type="http://schemas.openxmlformats.org/officeDocument/2006/relationships/hyperlink" Target="https://polkadot.subsquare.io/treasury/child-bounties/821" TargetMode="External"/><Relationship Id="rId570" Type="http://schemas.openxmlformats.org/officeDocument/2006/relationships/hyperlink" Target="https://polkadot.subsquare.io/treasury/child-bounties/194" TargetMode="External"/><Relationship Id="rId1163" Type="http://schemas.openxmlformats.org/officeDocument/2006/relationships/hyperlink" Target="https://polkadot.subsquare.io/treasury/child-bounties/822" TargetMode="External"/><Relationship Id="rId1164" Type="http://schemas.openxmlformats.org/officeDocument/2006/relationships/hyperlink" Target="https://polkadot.subsquare.io/treasury/child-bounties/823" TargetMode="External"/><Relationship Id="rId576" Type="http://schemas.openxmlformats.org/officeDocument/2006/relationships/hyperlink" Target="https://polkadot.subsquare.io/treasury/child-bounties/200" TargetMode="External"/><Relationship Id="rId1165" Type="http://schemas.openxmlformats.org/officeDocument/2006/relationships/hyperlink" Target="https://polkadot.subsquare.io/treasury/child-bounties/824" TargetMode="External"/><Relationship Id="rId575" Type="http://schemas.openxmlformats.org/officeDocument/2006/relationships/hyperlink" Target="https://polkadot.subsquare.io/treasury/child-bounties/199" TargetMode="External"/><Relationship Id="rId1166" Type="http://schemas.openxmlformats.org/officeDocument/2006/relationships/hyperlink" Target="https://polkadot.subsquare.io/treasury/child-bounties/825" TargetMode="External"/><Relationship Id="rId574" Type="http://schemas.openxmlformats.org/officeDocument/2006/relationships/hyperlink" Target="https://polkadot.subsquare.io/treasury/child-bounties/198" TargetMode="External"/><Relationship Id="rId1167" Type="http://schemas.openxmlformats.org/officeDocument/2006/relationships/hyperlink" Target="https://polkadot.subsquare.io/treasury/child-bounties/826" TargetMode="External"/><Relationship Id="rId573" Type="http://schemas.openxmlformats.org/officeDocument/2006/relationships/hyperlink" Target="https://polkadot.subsquare.io/treasury/child-bounties/197" TargetMode="External"/><Relationship Id="rId1168" Type="http://schemas.openxmlformats.org/officeDocument/2006/relationships/hyperlink" Target="https://polkadot.subsquare.io/treasury/child-bounties/827" TargetMode="External"/><Relationship Id="rId129" Type="http://schemas.openxmlformats.org/officeDocument/2006/relationships/hyperlink" Target="https://polkadot.subsquare.io/referenda/259" TargetMode="External"/><Relationship Id="rId128" Type="http://schemas.openxmlformats.org/officeDocument/2006/relationships/hyperlink" Target="https://polkadot.subsquare.io/referenda/258" TargetMode="External"/><Relationship Id="rId127" Type="http://schemas.openxmlformats.org/officeDocument/2006/relationships/hyperlink" Target="https://polkadot.subsquare.io/referenda/255" TargetMode="External"/><Relationship Id="rId126" Type="http://schemas.openxmlformats.org/officeDocument/2006/relationships/hyperlink" Target="https://polkadot.subsquare.io/referenda/249" TargetMode="External"/><Relationship Id="rId1190" Type="http://schemas.openxmlformats.org/officeDocument/2006/relationships/hyperlink" Target="https://polkadot.subsquare.io/treasury/child-bounties/850" TargetMode="External"/><Relationship Id="rId1191" Type="http://schemas.openxmlformats.org/officeDocument/2006/relationships/hyperlink" Target="https://polkadot.subsquare.io/treasury/child-bounties/851" TargetMode="External"/><Relationship Id="rId1192" Type="http://schemas.openxmlformats.org/officeDocument/2006/relationships/hyperlink" Target="https://polkadot.subsquare.io/treasury/child-bounties/852" TargetMode="External"/><Relationship Id="rId1193" Type="http://schemas.openxmlformats.org/officeDocument/2006/relationships/hyperlink" Target="https://polkadot.subsquare.io/treasury/child-bounties/853" TargetMode="External"/><Relationship Id="rId121" Type="http://schemas.openxmlformats.org/officeDocument/2006/relationships/hyperlink" Target="https://polkadot.subsquare.io/referenda/243" TargetMode="External"/><Relationship Id="rId1194" Type="http://schemas.openxmlformats.org/officeDocument/2006/relationships/hyperlink" Target="https://polkadot.subsquare.io/treasury/child-bounties/854" TargetMode="External"/><Relationship Id="rId120" Type="http://schemas.openxmlformats.org/officeDocument/2006/relationships/hyperlink" Target="https://polkadot.subsquare.io/referenda/242" TargetMode="External"/><Relationship Id="rId1195" Type="http://schemas.openxmlformats.org/officeDocument/2006/relationships/hyperlink" Target="https://polkadot.subsquare.io/treasury/child-bounties/855" TargetMode="External"/><Relationship Id="rId1196" Type="http://schemas.openxmlformats.org/officeDocument/2006/relationships/hyperlink" Target="https://polkadot.subsquare.io/treasury/child-bounties/856" TargetMode="External"/><Relationship Id="rId1197" Type="http://schemas.openxmlformats.org/officeDocument/2006/relationships/hyperlink" Target="https://polkadot.subsquare.io/treasury/child-bounties/857" TargetMode="External"/><Relationship Id="rId125" Type="http://schemas.openxmlformats.org/officeDocument/2006/relationships/hyperlink" Target="https://polkadot.subsquare.io/referenda/248" TargetMode="External"/><Relationship Id="rId1198" Type="http://schemas.openxmlformats.org/officeDocument/2006/relationships/hyperlink" Target="https://polkadot.subsquare.io/treasury/child-bounties/858" TargetMode="External"/><Relationship Id="rId124" Type="http://schemas.openxmlformats.org/officeDocument/2006/relationships/hyperlink" Target="https://polkadot.subsquare.io/referenda/247" TargetMode="External"/><Relationship Id="rId1199" Type="http://schemas.openxmlformats.org/officeDocument/2006/relationships/hyperlink" Target="https://polkadot.subsquare.io/treasury/child-bounties/859" TargetMode="External"/><Relationship Id="rId123" Type="http://schemas.openxmlformats.org/officeDocument/2006/relationships/hyperlink" Target="https://polkadot.subsquare.io/referenda/245" TargetMode="External"/><Relationship Id="rId122" Type="http://schemas.openxmlformats.org/officeDocument/2006/relationships/hyperlink" Target="https://polkadot.subsquare.io/referenda/244" TargetMode="External"/><Relationship Id="rId118" Type="http://schemas.openxmlformats.org/officeDocument/2006/relationships/hyperlink" Target="https://polkadot.subsquare.io/referenda/237" TargetMode="External"/><Relationship Id="rId117" Type="http://schemas.openxmlformats.org/officeDocument/2006/relationships/hyperlink" Target="https://polkadot.subsquare.io/referenda/234" TargetMode="External"/><Relationship Id="rId116" Type="http://schemas.openxmlformats.org/officeDocument/2006/relationships/hyperlink" Target="https://polkadot.subsquare.io/referenda/232" TargetMode="External"/><Relationship Id="rId115" Type="http://schemas.openxmlformats.org/officeDocument/2006/relationships/hyperlink" Target="https://polkadot.subsquare.io/referenda/230" TargetMode="External"/><Relationship Id="rId599" Type="http://schemas.openxmlformats.org/officeDocument/2006/relationships/hyperlink" Target="https://polkadot.subsquare.io/treasury/child-bounties/222" TargetMode="External"/><Relationship Id="rId1180" Type="http://schemas.openxmlformats.org/officeDocument/2006/relationships/hyperlink" Target="https://polkadot.subsquare.io/treasury/child-bounties/839" TargetMode="External"/><Relationship Id="rId1181" Type="http://schemas.openxmlformats.org/officeDocument/2006/relationships/hyperlink" Target="https://polkadot.subsquare.io/treasury/child-bounties/841" TargetMode="External"/><Relationship Id="rId119" Type="http://schemas.openxmlformats.org/officeDocument/2006/relationships/hyperlink" Target="https://polkadot.subsquare.io/referenda/240" TargetMode="External"/><Relationship Id="rId1182" Type="http://schemas.openxmlformats.org/officeDocument/2006/relationships/hyperlink" Target="https://polkadot.subsquare.io/treasury/child-bounties/842" TargetMode="External"/><Relationship Id="rId110" Type="http://schemas.openxmlformats.org/officeDocument/2006/relationships/hyperlink" Target="https://polkadot.subsquare.io/referenda/222" TargetMode="External"/><Relationship Id="rId594" Type="http://schemas.openxmlformats.org/officeDocument/2006/relationships/hyperlink" Target="https://polkadot.subsquare.io/treasury/child-bounties/217" TargetMode="External"/><Relationship Id="rId1183" Type="http://schemas.openxmlformats.org/officeDocument/2006/relationships/hyperlink" Target="https://polkadot.subsquare.io/treasury/child-bounties/843" TargetMode="External"/><Relationship Id="rId593" Type="http://schemas.openxmlformats.org/officeDocument/2006/relationships/hyperlink" Target="https://polkadot.subsquare.io/treasury/child-bounties/216" TargetMode="External"/><Relationship Id="rId1184" Type="http://schemas.openxmlformats.org/officeDocument/2006/relationships/hyperlink" Target="https://polkadot.subsquare.io/treasury/child-bounties/844" TargetMode="External"/><Relationship Id="rId592" Type="http://schemas.openxmlformats.org/officeDocument/2006/relationships/hyperlink" Target="https://polkadot.subsquare.io/treasury/child-bounties/215" TargetMode="External"/><Relationship Id="rId1185" Type="http://schemas.openxmlformats.org/officeDocument/2006/relationships/hyperlink" Target="https://polkadot.subsquare.io/treasury/child-bounties/845" TargetMode="External"/><Relationship Id="rId591" Type="http://schemas.openxmlformats.org/officeDocument/2006/relationships/hyperlink" Target="https://polkadot.subsquare.io/treasury/child-bounties/214" TargetMode="External"/><Relationship Id="rId1186" Type="http://schemas.openxmlformats.org/officeDocument/2006/relationships/hyperlink" Target="https://polkadot.subsquare.io/treasury/child-bounties/846" TargetMode="External"/><Relationship Id="rId114" Type="http://schemas.openxmlformats.org/officeDocument/2006/relationships/hyperlink" Target="https://polkadot.subsquare.io/referenda/227" TargetMode="External"/><Relationship Id="rId598" Type="http://schemas.openxmlformats.org/officeDocument/2006/relationships/hyperlink" Target="https://polkadot.subsquare.io/treasury/child-bounties/221" TargetMode="External"/><Relationship Id="rId1187" Type="http://schemas.openxmlformats.org/officeDocument/2006/relationships/hyperlink" Target="https://polkadot.subsquare.io/treasury/child-bounties/847" TargetMode="External"/><Relationship Id="rId113" Type="http://schemas.openxmlformats.org/officeDocument/2006/relationships/hyperlink" Target="https://polkadot.subsquare.io/referenda/226" TargetMode="External"/><Relationship Id="rId597" Type="http://schemas.openxmlformats.org/officeDocument/2006/relationships/hyperlink" Target="https://polkadot.subsquare.io/treasury/child-bounties/220" TargetMode="External"/><Relationship Id="rId1188" Type="http://schemas.openxmlformats.org/officeDocument/2006/relationships/hyperlink" Target="https://polkadot.subsquare.io/treasury/child-bounties/848" TargetMode="External"/><Relationship Id="rId112" Type="http://schemas.openxmlformats.org/officeDocument/2006/relationships/hyperlink" Target="https://polkadot.subsquare.io/referenda/225" TargetMode="External"/><Relationship Id="rId596" Type="http://schemas.openxmlformats.org/officeDocument/2006/relationships/hyperlink" Target="https://polkadot.subsquare.io/treasury/child-bounties/219" TargetMode="External"/><Relationship Id="rId1189" Type="http://schemas.openxmlformats.org/officeDocument/2006/relationships/hyperlink" Target="https://polkadot.subsquare.io/treasury/child-bounties/849" TargetMode="External"/><Relationship Id="rId111" Type="http://schemas.openxmlformats.org/officeDocument/2006/relationships/hyperlink" Target="https://polkadot.subsquare.io/referenda/223" TargetMode="External"/><Relationship Id="rId595" Type="http://schemas.openxmlformats.org/officeDocument/2006/relationships/hyperlink" Target="https://polkadot.subsquare.io/treasury/child-bounties/218" TargetMode="External"/><Relationship Id="rId1136" Type="http://schemas.openxmlformats.org/officeDocument/2006/relationships/hyperlink" Target="https://polkadot.subsquare.io/treasury/child-bounties/795" TargetMode="External"/><Relationship Id="rId1137" Type="http://schemas.openxmlformats.org/officeDocument/2006/relationships/hyperlink" Target="https://polkadot.subsquare.io/treasury/child-bounties/796" TargetMode="External"/><Relationship Id="rId1138" Type="http://schemas.openxmlformats.org/officeDocument/2006/relationships/hyperlink" Target="https://polkadot.subsquare.io/treasury/child-bounties/797" TargetMode="External"/><Relationship Id="rId1139" Type="http://schemas.openxmlformats.org/officeDocument/2006/relationships/hyperlink" Target="https://polkadot.subsquare.io/treasury/child-bounties/798" TargetMode="External"/><Relationship Id="rId547" Type="http://schemas.openxmlformats.org/officeDocument/2006/relationships/hyperlink" Target="https://polkadot.subsquare.io/treasury/child-bounties/167" TargetMode="External"/><Relationship Id="rId546" Type="http://schemas.openxmlformats.org/officeDocument/2006/relationships/hyperlink" Target="https://polkadot.subsquare.io/treasury/child-bounties/166" TargetMode="External"/><Relationship Id="rId545" Type="http://schemas.openxmlformats.org/officeDocument/2006/relationships/hyperlink" Target="https://polkadot.subsquare.io/treasury/child-bounties/165" TargetMode="External"/><Relationship Id="rId544" Type="http://schemas.openxmlformats.org/officeDocument/2006/relationships/hyperlink" Target="https://polkadot.subsquare.io/treasury/child-bounties/164" TargetMode="External"/><Relationship Id="rId549" Type="http://schemas.openxmlformats.org/officeDocument/2006/relationships/hyperlink" Target="https://polkadot.subsquare.io/treasury/child-bounties/169" TargetMode="External"/><Relationship Id="rId548" Type="http://schemas.openxmlformats.org/officeDocument/2006/relationships/hyperlink" Target="https://polkadot.subsquare.io/treasury/child-bounties/168" TargetMode="External"/><Relationship Id="rId1130" Type="http://schemas.openxmlformats.org/officeDocument/2006/relationships/hyperlink" Target="https://polkadot.subsquare.io/treasury/child-bounties/789" TargetMode="External"/><Relationship Id="rId1131" Type="http://schemas.openxmlformats.org/officeDocument/2006/relationships/hyperlink" Target="https://polkadot.subsquare.io/treasury/child-bounties/790" TargetMode="External"/><Relationship Id="rId543" Type="http://schemas.openxmlformats.org/officeDocument/2006/relationships/hyperlink" Target="https://polkadot.subsquare.io/treasury/child-bounties/163" TargetMode="External"/><Relationship Id="rId1132" Type="http://schemas.openxmlformats.org/officeDocument/2006/relationships/hyperlink" Target="https://polkadot.subsquare.io/treasury/child-bounties/791" TargetMode="External"/><Relationship Id="rId542" Type="http://schemas.openxmlformats.org/officeDocument/2006/relationships/hyperlink" Target="https://polkadot.subsquare.io/treasury/child-bounties/162" TargetMode="External"/><Relationship Id="rId1133" Type="http://schemas.openxmlformats.org/officeDocument/2006/relationships/hyperlink" Target="https://polkadot.subsquare.io/treasury/child-bounties/792" TargetMode="External"/><Relationship Id="rId541" Type="http://schemas.openxmlformats.org/officeDocument/2006/relationships/hyperlink" Target="https://polkadot.subsquare.io/treasury/child-bounties/161" TargetMode="External"/><Relationship Id="rId1134" Type="http://schemas.openxmlformats.org/officeDocument/2006/relationships/hyperlink" Target="https://polkadot.subsquare.io/treasury/child-bounties/793" TargetMode="External"/><Relationship Id="rId540" Type="http://schemas.openxmlformats.org/officeDocument/2006/relationships/hyperlink" Target="https://polkadot.subsquare.io/treasury/child-bounties/160" TargetMode="External"/><Relationship Id="rId1135" Type="http://schemas.openxmlformats.org/officeDocument/2006/relationships/hyperlink" Target="https://polkadot.subsquare.io/treasury/child-bounties/794" TargetMode="External"/><Relationship Id="rId1125" Type="http://schemas.openxmlformats.org/officeDocument/2006/relationships/hyperlink" Target="https://polkadot.subsquare.io/treasury/child-bounties/784" TargetMode="External"/><Relationship Id="rId1126" Type="http://schemas.openxmlformats.org/officeDocument/2006/relationships/hyperlink" Target="https://polkadot.subsquare.io/treasury/child-bounties/785" TargetMode="External"/><Relationship Id="rId1127" Type="http://schemas.openxmlformats.org/officeDocument/2006/relationships/hyperlink" Target="https://polkadot.subsquare.io/treasury/child-bounties/786" TargetMode="External"/><Relationship Id="rId1128" Type="http://schemas.openxmlformats.org/officeDocument/2006/relationships/hyperlink" Target="https://polkadot.subsquare.io/treasury/child-bounties/787" TargetMode="External"/><Relationship Id="rId1129" Type="http://schemas.openxmlformats.org/officeDocument/2006/relationships/hyperlink" Target="https://polkadot.subsquare.io/treasury/child-bounties/788" TargetMode="External"/><Relationship Id="rId536" Type="http://schemas.openxmlformats.org/officeDocument/2006/relationships/hyperlink" Target="https://polkadot.subsquare.io/treasury/child-bounties/155" TargetMode="External"/><Relationship Id="rId535" Type="http://schemas.openxmlformats.org/officeDocument/2006/relationships/hyperlink" Target="https://polkadot.subsquare.io/treasury/child-bounties/154" TargetMode="External"/><Relationship Id="rId534" Type="http://schemas.openxmlformats.org/officeDocument/2006/relationships/hyperlink" Target="https://polkadot.subsquare.io/treasury/child-bounties/153" TargetMode="External"/><Relationship Id="rId533" Type="http://schemas.openxmlformats.org/officeDocument/2006/relationships/hyperlink" Target="https://polkadot.subsquare.io/treasury/child-bounties/152" TargetMode="External"/><Relationship Id="rId539" Type="http://schemas.openxmlformats.org/officeDocument/2006/relationships/hyperlink" Target="https://polkadot.subsquare.io/treasury/child-bounties/158" TargetMode="External"/><Relationship Id="rId538" Type="http://schemas.openxmlformats.org/officeDocument/2006/relationships/hyperlink" Target="https://polkadot.subsquare.io/treasury/child-bounties/157" TargetMode="External"/><Relationship Id="rId537" Type="http://schemas.openxmlformats.org/officeDocument/2006/relationships/hyperlink" Target="https://polkadot.subsquare.io/treasury/child-bounties/156" TargetMode="External"/><Relationship Id="rId1120" Type="http://schemas.openxmlformats.org/officeDocument/2006/relationships/hyperlink" Target="https://polkadot.subsquare.io/treasury/child-bounties/779" TargetMode="External"/><Relationship Id="rId532" Type="http://schemas.openxmlformats.org/officeDocument/2006/relationships/hyperlink" Target="https://polkadot.subsquare.io/treasury/child-bounties/151" TargetMode="External"/><Relationship Id="rId1121" Type="http://schemas.openxmlformats.org/officeDocument/2006/relationships/hyperlink" Target="https://polkadot.subsquare.io/treasury/child-bounties/780" TargetMode="External"/><Relationship Id="rId531" Type="http://schemas.openxmlformats.org/officeDocument/2006/relationships/hyperlink" Target="https://polkadot.subsquare.io/treasury/child-bounties/150" TargetMode="External"/><Relationship Id="rId1122" Type="http://schemas.openxmlformats.org/officeDocument/2006/relationships/hyperlink" Target="https://polkadot.subsquare.io/treasury/child-bounties/781" TargetMode="External"/><Relationship Id="rId530" Type="http://schemas.openxmlformats.org/officeDocument/2006/relationships/hyperlink" Target="https://polkadot.subsquare.io/treasury/child-bounties/149" TargetMode="External"/><Relationship Id="rId1123" Type="http://schemas.openxmlformats.org/officeDocument/2006/relationships/hyperlink" Target="https://polkadot.subsquare.io/treasury/child-bounties/782" TargetMode="External"/><Relationship Id="rId1124" Type="http://schemas.openxmlformats.org/officeDocument/2006/relationships/hyperlink" Target="https://polkadot.subsquare.io/treasury/child-bounties/783" TargetMode="External"/><Relationship Id="rId1158" Type="http://schemas.openxmlformats.org/officeDocument/2006/relationships/hyperlink" Target="https://polkadot.subsquare.io/treasury/child-bounties/817" TargetMode="External"/><Relationship Id="rId1159" Type="http://schemas.openxmlformats.org/officeDocument/2006/relationships/hyperlink" Target="https://polkadot.subsquare.io/treasury/child-bounties/818" TargetMode="External"/><Relationship Id="rId569" Type="http://schemas.openxmlformats.org/officeDocument/2006/relationships/hyperlink" Target="https://polkadot.subsquare.io/treasury/child-bounties/193" TargetMode="External"/><Relationship Id="rId568" Type="http://schemas.openxmlformats.org/officeDocument/2006/relationships/hyperlink" Target="https://polkadot.subsquare.io/treasury/child-bounties/192" TargetMode="External"/><Relationship Id="rId567" Type="http://schemas.openxmlformats.org/officeDocument/2006/relationships/hyperlink" Target="https://polkadot.subsquare.io/treasury/child-bounties/191" TargetMode="External"/><Relationship Id="rId566" Type="http://schemas.openxmlformats.org/officeDocument/2006/relationships/hyperlink" Target="https://polkadot.subsquare.io/treasury/child-bounties/190" TargetMode="External"/><Relationship Id="rId561" Type="http://schemas.openxmlformats.org/officeDocument/2006/relationships/hyperlink" Target="https://polkadot.subsquare.io/treasury/child-bounties/185" TargetMode="External"/><Relationship Id="rId1150" Type="http://schemas.openxmlformats.org/officeDocument/2006/relationships/hyperlink" Target="https://polkadot.subsquare.io/treasury/child-bounties/809" TargetMode="External"/><Relationship Id="rId560" Type="http://schemas.openxmlformats.org/officeDocument/2006/relationships/hyperlink" Target="https://polkadot.subsquare.io/treasury/child-bounties/184" TargetMode="External"/><Relationship Id="rId1151" Type="http://schemas.openxmlformats.org/officeDocument/2006/relationships/hyperlink" Target="https://polkadot.subsquare.io/treasury/child-bounties/810" TargetMode="External"/><Relationship Id="rId1152" Type="http://schemas.openxmlformats.org/officeDocument/2006/relationships/hyperlink" Target="https://polkadot.subsquare.io/treasury/child-bounties/811" TargetMode="External"/><Relationship Id="rId1153" Type="http://schemas.openxmlformats.org/officeDocument/2006/relationships/hyperlink" Target="https://polkadot.subsquare.io/treasury/child-bounties/812" TargetMode="External"/><Relationship Id="rId565" Type="http://schemas.openxmlformats.org/officeDocument/2006/relationships/hyperlink" Target="https://polkadot.subsquare.io/treasury/child-bounties/189" TargetMode="External"/><Relationship Id="rId1154" Type="http://schemas.openxmlformats.org/officeDocument/2006/relationships/hyperlink" Target="https://polkadot.subsquare.io/treasury/child-bounties/813" TargetMode="External"/><Relationship Id="rId564" Type="http://schemas.openxmlformats.org/officeDocument/2006/relationships/hyperlink" Target="https://polkadot.subsquare.io/treasury/child-bounties/188" TargetMode="External"/><Relationship Id="rId1155" Type="http://schemas.openxmlformats.org/officeDocument/2006/relationships/hyperlink" Target="https://polkadot.subsquare.io/treasury/child-bounties/814" TargetMode="External"/><Relationship Id="rId563" Type="http://schemas.openxmlformats.org/officeDocument/2006/relationships/hyperlink" Target="https://polkadot.subsquare.io/treasury/child-bounties/187" TargetMode="External"/><Relationship Id="rId1156" Type="http://schemas.openxmlformats.org/officeDocument/2006/relationships/hyperlink" Target="https://polkadot.subsquare.io/treasury/child-bounties/815" TargetMode="External"/><Relationship Id="rId562" Type="http://schemas.openxmlformats.org/officeDocument/2006/relationships/hyperlink" Target="https://polkadot.subsquare.io/treasury/child-bounties/186" TargetMode="External"/><Relationship Id="rId1157" Type="http://schemas.openxmlformats.org/officeDocument/2006/relationships/hyperlink" Target="https://polkadot.subsquare.io/treasury/child-bounties/816" TargetMode="External"/><Relationship Id="rId1147" Type="http://schemas.openxmlformats.org/officeDocument/2006/relationships/hyperlink" Target="https://polkadot.subsquare.io/treasury/child-bounties/806" TargetMode="External"/><Relationship Id="rId1148" Type="http://schemas.openxmlformats.org/officeDocument/2006/relationships/hyperlink" Target="https://polkadot.subsquare.io/treasury/child-bounties/807" TargetMode="External"/><Relationship Id="rId1149" Type="http://schemas.openxmlformats.org/officeDocument/2006/relationships/hyperlink" Target="https://polkadot.subsquare.io/treasury/child-bounties/808" TargetMode="External"/><Relationship Id="rId558" Type="http://schemas.openxmlformats.org/officeDocument/2006/relationships/hyperlink" Target="https://polkadot.subsquare.io/treasury/child-bounties/182" TargetMode="External"/><Relationship Id="rId557" Type="http://schemas.openxmlformats.org/officeDocument/2006/relationships/hyperlink" Target="https://polkadot.subsquare.io/treasury/child-bounties/181" TargetMode="External"/><Relationship Id="rId556" Type="http://schemas.openxmlformats.org/officeDocument/2006/relationships/hyperlink" Target="https://polkadot.subsquare.io/treasury/child-bounties/180" TargetMode="External"/><Relationship Id="rId555" Type="http://schemas.openxmlformats.org/officeDocument/2006/relationships/hyperlink" Target="https://polkadot.subsquare.io/treasury/child-bounties/179" TargetMode="External"/><Relationship Id="rId559" Type="http://schemas.openxmlformats.org/officeDocument/2006/relationships/hyperlink" Target="https://polkadot.subsquare.io/treasury/child-bounties/183" TargetMode="External"/><Relationship Id="rId550" Type="http://schemas.openxmlformats.org/officeDocument/2006/relationships/hyperlink" Target="https://polkadot.subsquare.io/treasury/child-bounties/170" TargetMode="External"/><Relationship Id="rId1140" Type="http://schemas.openxmlformats.org/officeDocument/2006/relationships/hyperlink" Target="https://polkadot.subsquare.io/treasury/child-bounties/799" TargetMode="External"/><Relationship Id="rId1141" Type="http://schemas.openxmlformats.org/officeDocument/2006/relationships/hyperlink" Target="https://polkadot.subsquare.io/treasury/child-bounties/800" TargetMode="External"/><Relationship Id="rId1142" Type="http://schemas.openxmlformats.org/officeDocument/2006/relationships/hyperlink" Target="https://polkadot.subsquare.io/treasury/child-bounties/801" TargetMode="External"/><Relationship Id="rId554" Type="http://schemas.openxmlformats.org/officeDocument/2006/relationships/hyperlink" Target="https://polkadot.subsquare.io/treasury/child-bounties/178" TargetMode="External"/><Relationship Id="rId1143" Type="http://schemas.openxmlformats.org/officeDocument/2006/relationships/hyperlink" Target="https://polkadot.subsquare.io/treasury/child-bounties/802" TargetMode="External"/><Relationship Id="rId553" Type="http://schemas.openxmlformats.org/officeDocument/2006/relationships/hyperlink" Target="https://polkadot.subsquare.io/treasury/child-bounties/177" TargetMode="External"/><Relationship Id="rId1144" Type="http://schemas.openxmlformats.org/officeDocument/2006/relationships/hyperlink" Target="https://polkadot.subsquare.io/treasury/child-bounties/803" TargetMode="External"/><Relationship Id="rId552" Type="http://schemas.openxmlformats.org/officeDocument/2006/relationships/hyperlink" Target="https://polkadot.subsquare.io/treasury/child-bounties/172" TargetMode="External"/><Relationship Id="rId1145" Type="http://schemas.openxmlformats.org/officeDocument/2006/relationships/hyperlink" Target="https://polkadot.subsquare.io/treasury/child-bounties/804" TargetMode="External"/><Relationship Id="rId551" Type="http://schemas.openxmlformats.org/officeDocument/2006/relationships/hyperlink" Target="https://polkadot.subsquare.io/treasury/child-bounties/171" TargetMode="External"/><Relationship Id="rId1146" Type="http://schemas.openxmlformats.org/officeDocument/2006/relationships/hyperlink" Target="https://polkadot.subsquare.io/treasury/child-bounties/805" TargetMode="External"/><Relationship Id="rId495" Type="http://schemas.openxmlformats.org/officeDocument/2006/relationships/hyperlink" Target="https://polkadot.subsquare.io/treasury/child-bounties/112" TargetMode="External"/><Relationship Id="rId494" Type="http://schemas.openxmlformats.org/officeDocument/2006/relationships/hyperlink" Target="https://polkadot.subsquare.io/treasury/child-bounties/111" TargetMode="External"/><Relationship Id="rId493" Type="http://schemas.openxmlformats.org/officeDocument/2006/relationships/hyperlink" Target="https://polkadot.subsquare.io/treasury/child-bounties/110" TargetMode="External"/><Relationship Id="rId492" Type="http://schemas.openxmlformats.org/officeDocument/2006/relationships/hyperlink" Target="https://polkadot.subsquare.io/treasury/child-bounties/109" TargetMode="External"/><Relationship Id="rId499" Type="http://schemas.openxmlformats.org/officeDocument/2006/relationships/hyperlink" Target="https://polkadot.subsquare.io/treasury/child-bounties/116" TargetMode="External"/><Relationship Id="rId498" Type="http://schemas.openxmlformats.org/officeDocument/2006/relationships/hyperlink" Target="https://polkadot.subsquare.io/treasury/child-bounties/115" TargetMode="External"/><Relationship Id="rId497" Type="http://schemas.openxmlformats.org/officeDocument/2006/relationships/hyperlink" Target="https://polkadot.subsquare.io/treasury/child-bounties/114" TargetMode="External"/><Relationship Id="rId496" Type="http://schemas.openxmlformats.org/officeDocument/2006/relationships/hyperlink" Target="https://polkadot.subsquare.io/treasury/child-bounties/113" TargetMode="External"/><Relationship Id="rId1610" Type="http://schemas.openxmlformats.org/officeDocument/2006/relationships/hyperlink" Target="https://polkadot.subsquare.io/treasury/child-bounties/1294" TargetMode="External"/><Relationship Id="rId1611" Type="http://schemas.openxmlformats.org/officeDocument/2006/relationships/hyperlink" Target="https://polkadot.subsquare.io/treasury/child-bounties/1297" TargetMode="External"/><Relationship Id="rId1612" Type="http://schemas.openxmlformats.org/officeDocument/2006/relationships/hyperlink" Target="https://polkadot.subsquare.io/treasury/child-bounties/1298" TargetMode="External"/><Relationship Id="rId1613" Type="http://schemas.openxmlformats.org/officeDocument/2006/relationships/hyperlink" Target="https://polkadot.subsquare.io/treasury/child-bounties/1299" TargetMode="External"/><Relationship Id="rId1614" Type="http://schemas.openxmlformats.org/officeDocument/2006/relationships/hyperlink" Target="https://polkadot.subsquare.io/treasury/child-bounties/1300" TargetMode="External"/><Relationship Id="rId1615" Type="http://schemas.openxmlformats.org/officeDocument/2006/relationships/hyperlink" Target="https://polkadot.subsquare.io/treasury/child-bounties/1301" TargetMode="External"/><Relationship Id="rId1616" Type="http://schemas.openxmlformats.org/officeDocument/2006/relationships/hyperlink" Target="https://polkadot.subsquare.io/treasury/child-bounties/1302" TargetMode="External"/><Relationship Id="rId907" Type="http://schemas.openxmlformats.org/officeDocument/2006/relationships/hyperlink" Target="https://polkadot.subsquare.io/treasury/child-bounties/545" TargetMode="External"/><Relationship Id="rId1617" Type="http://schemas.openxmlformats.org/officeDocument/2006/relationships/hyperlink" Target="https://polkadot.subsquare.io/treasury/child-bounties/1303" TargetMode="External"/><Relationship Id="rId906" Type="http://schemas.openxmlformats.org/officeDocument/2006/relationships/hyperlink" Target="https://polkadot.subsquare.io/treasury/child-bounties/544" TargetMode="External"/><Relationship Id="rId1618" Type="http://schemas.openxmlformats.org/officeDocument/2006/relationships/hyperlink" Target="https://polkadot.subsquare.io/treasury/child-bounties/1304" TargetMode="External"/><Relationship Id="rId905" Type="http://schemas.openxmlformats.org/officeDocument/2006/relationships/hyperlink" Target="https://polkadot.subsquare.io/treasury/child-bounties/543" TargetMode="External"/><Relationship Id="rId1619" Type="http://schemas.openxmlformats.org/officeDocument/2006/relationships/hyperlink" Target="https://polkadot.subsquare.io/treasury/child-bounties/1305" TargetMode="External"/><Relationship Id="rId904" Type="http://schemas.openxmlformats.org/officeDocument/2006/relationships/hyperlink" Target="https://polkadot.subsquare.io/treasury/child-bounties/542" TargetMode="External"/><Relationship Id="rId909" Type="http://schemas.openxmlformats.org/officeDocument/2006/relationships/hyperlink" Target="https://polkadot.subsquare.io/treasury/child-bounties/547" TargetMode="External"/><Relationship Id="rId908" Type="http://schemas.openxmlformats.org/officeDocument/2006/relationships/hyperlink" Target="https://polkadot.subsquare.io/treasury/child-bounties/546" TargetMode="External"/><Relationship Id="rId903" Type="http://schemas.openxmlformats.org/officeDocument/2006/relationships/hyperlink" Target="https://polkadot.subsquare.io/treasury/child-bounties/541" TargetMode="External"/><Relationship Id="rId902" Type="http://schemas.openxmlformats.org/officeDocument/2006/relationships/hyperlink" Target="https://polkadot.subsquare.io/treasury/child-bounties/540" TargetMode="External"/><Relationship Id="rId901" Type="http://schemas.openxmlformats.org/officeDocument/2006/relationships/hyperlink" Target="https://polkadot.subsquare.io/treasury/child-bounties/539" TargetMode="External"/><Relationship Id="rId900" Type="http://schemas.openxmlformats.org/officeDocument/2006/relationships/hyperlink" Target="https://polkadot.subsquare.io/treasury/child-bounties/538" TargetMode="External"/><Relationship Id="rId1600" Type="http://schemas.openxmlformats.org/officeDocument/2006/relationships/hyperlink" Target="https://polkadot.subsquare.io/treasury/child-bounties/1278" TargetMode="External"/><Relationship Id="rId1601" Type="http://schemas.openxmlformats.org/officeDocument/2006/relationships/hyperlink" Target="https://polkadot.subsquare.io/treasury/child-bounties/1279" TargetMode="External"/><Relationship Id="rId1602" Type="http://schemas.openxmlformats.org/officeDocument/2006/relationships/hyperlink" Target="https://polkadot.subsquare.io/treasury/child-bounties/1280" TargetMode="External"/><Relationship Id="rId1603" Type="http://schemas.openxmlformats.org/officeDocument/2006/relationships/hyperlink" Target="https://polkadot.subsquare.io/treasury/child-bounties/1281" TargetMode="External"/><Relationship Id="rId1604" Type="http://schemas.openxmlformats.org/officeDocument/2006/relationships/hyperlink" Target="https://polkadot.subsquare.io/treasury/child-bounties/1282" TargetMode="External"/><Relationship Id="rId1605" Type="http://schemas.openxmlformats.org/officeDocument/2006/relationships/hyperlink" Target="https://polkadot.subsquare.io/treasury/child-bounties/1283" TargetMode="External"/><Relationship Id="rId1606" Type="http://schemas.openxmlformats.org/officeDocument/2006/relationships/hyperlink" Target="https://polkadot.subsquare.io/treasury/child-bounties/1284" TargetMode="External"/><Relationship Id="rId1607" Type="http://schemas.openxmlformats.org/officeDocument/2006/relationships/hyperlink" Target="https://polkadot.subsquare.io/treasury/child-bounties/1289" TargetMode="External"/><Relationship Id="rId1608" Type="http://schemas.openxmlformats.org/officeDocument/2006/relationships/hyperlink" Target="https://polkadot.subsquare.io/treasury/child-bounties/1290" TargetMode="External"/><Relationship Id="rId1609" Type="http://schemas.openxmlformats.org/officeDocument/2006/relationships/hyperlink" Target="https://polkadot.subsquare.io/treasury/child-bounties/1293" TargetMode="External"/><Relationship Id="rId1631" Type="http://schemas.openxmlformats.org/officeDocument/2006/relationships/hyperlink" Target="https://polkadot.subsquare.io/treasury/child-bounties/1317" TargetMode="External"/><Relationship Id="rId1632" Type="http://schemas.openxmlformats.org/officeDocument/2006/relationships/hyperlink" Target="https://polkadot.subsquare.io/treasury/child-bounties/1319" TargetMode="External"/><Relationship Id="rId1633" Type="http://schemas.openxmlformats.org/officeDocument/2006/relationships/hyperlink" Target="https://polkadot.subsquare.io/treasury/child-bounties/1320" TargetMode="External"/><Relationship Id="rId1634" Type="http://schemas.openxmlformats.org/officeDocument/2006/relationships/hyperlink" Target="https://polkadot.subsquare.io/treasury/child-bounties/1321" TargetMode="External"/><Relationship Id="rId1635" Type="http://schemas.openxmlformats.org/officeDocument/2006/relationships/hyperlink" Target="https://polkadot.subsquare.io/treasury/child-bounties/1322" TargetMode="External"/><Relationship Id="rId1636" Type="http://schemas.openxmlformats.org/officeDocument/2006/relationships/hyperlink" Target="https://polkadot.subsquare.io/treasury/child-bounties/1324" TargetMode="External"/><Relationship Id="rId1637" Type="http://schemas.openxmlformats.org/officeDocument/2006/relationships/hyperlink" Target="https://polkadot.subsquare.io/treasury/child-bounties/1325" TargetMode="External"/><Relationship Id="rId1638" Type="http://schemas.openxmlformats.org/officeDocument/2006/relationships/hyperlink" Target="https://polkadot.subsquare.io/treasury/child-bounties/1326" TargetMode="External"/><Relationship Id="rId929" Type="http://schemas.openxmlformats.org/officeDocument/2006/relationships/hyperlink" Target="https://polkadot.subsquare.io/treasury/child-bounties/567" TargetMode="External"/><Relationship Id="rId1639" Type="http://schemas.openxmlformats.org/officeDocument/2006/relationships/hyperlink" Target="https://polkadot.subsquare.io/treasury/child-bounties/1327" TargetMode="External"/><Relationship Id="rId928" Type="http://schemas.openxmlformats.org/officeDocument/2006/relationships/hyperlink" Target="https://polkadot.subsquare.io/treasury/child-bounties/566" TargetMode="External"/><Relationship Id="rId927" Type="http://schemas.openxmlformats.org/officeDocument/2006/relationships/hyperlink" Target="https://polkadot.subsquare.io/treasury/child-bounties/565" TargetMode="External"/><Relationship Id="rId926" Type="http://schemas.openxmlformats.org/officeDocument/2006/relationships/hyperlink" Target="https://polkadot.subsquare.io/treasury/child-bounties/564" TargetMode="External"/><Relationship Id="rId921" Type="http://schemas.openxmlformats.org/officeDocument/2006/relationships/hyperlink" Target="https://polkadot.subsquare.io/treasury/child-bounties/559" TargetMode="External"/><Relationship Id="rId920" Type="http://schemas.openxmlformats.org/officeDocument/2006/relationships/hyperlink" Target="https://polkadot.subsquare.io/treasury/child-bounties/558" TargetMode="External"/><Relationship Id="rId925" Type="http://schemas.openxmlformats.org/officeDocument/2006/relationships/hyperlink" Target="https://polkadot.subsquare.io/treasury/child-bounties/563" TargetMode="External"/><Relationship Id="rId924" Type="http://schemas.openxmlformats.org/officeDocument/2006/relationships/hyperlink" Target="https://polkadot.subsquare.io/treasury/child-bounties/562" TargetMode="External"/><Relationship Id="rId923" Type="http://schemas.openxmlformats.org/officeDocument/2006/relationships/hyperlink" Target="https://polkadot.subsquare.io/treasury/child-bounties/561" TargetMode="External"/><Relationship Id="rId922" Type="http://schemas.openxmlformats.org/officeDocument/2006/relationships/hyperlink" Target="https://polkadot.subsquare.io/treasury/child-bounties/560" TargetMode="External"/><Relationship Id="rId1630" Type="http://schemas.openxmlformats.org/officeDocument/2006/relationships/hyperlink" Target="https://polkadot.subsquare.io/treasury/child-bounties/1316" TargetMode="External"/><Relationship Id="rId1620" Type="http://schemas.openxmlformats.org/officeDocument/2006/relationships/hyperlink" Target="https://polkadot.subsquare.io/treasury/child-bounties/1306" TargetMode="External"/><Relationship Id="rId1621" Type="http://schemas.openxmlformats.org/officeDocument/2006/relationships/hyperlink" Target="https://polkadot.subsquare.io/treasury/child-bounties/1307" TargetMode="External"/><Relationship Id="rId1622" Type="http://schemas.openxmlformats.org/officeDocument/2006/relationships/hyperlink" Target="https://polkadot.subsquare.io/treasury/child-bounties/1308" TargetMode="External"/><Relationship Id="rId1623" Type="http://schemas.openxmlformats.org/officeDocument/2006/relationships/hyperlink" Target="https://polkadot.subsquare.io/treasury/child-bounties/1309" TargetMode="External"/><Relationship Id="rId1624" Type="http://schemas.openxmlformats.org/officeDocument/2006/relationships/hyperlink" Target="https://polkadot.subsquare.io/treasury/child-bounties/1310" TargetMode="External"/><Relationship Id="rId1625" Type="http://schemas.openxmlformats.org/officeDocument/2006/relationships/hyperlink" Target="https://polkadot.subsquare.io/treasury/child-bounties/1311" TargetMode="External"/><Relationship Id="rId1626" Type="http://schemas.openxmlformats.org/officeDocument/2006/relationships/hyperlink" Target="https://polkadot.subsquare.io/treasury/child-bounties/1312" TargetMode="External"/><Relationship Id="rId1627" Type="http://schemas.openxmlformats.org/officeDocument/2006/relationships/hyperlink" Target="https://polkadot.subsquare.io/treasury/child-bounties/1313" TargetMode="External"/><Relationship Id="rId918" Type="http://schemas.openxmlformats.org/officeDocument/2006/relationships/hyperlink" Target="https://polkadot.subsquare.io/treasury/child-bounties/556" TargetMode="External"/><Relationship Id="rId1628" Type="http://schemas.openxmlformats.org/officeDocument/2006/relationships/hyperlink" Target="https://polkadot.subsquare.io/treasury/child-bounties/1314" TargetMode="External"/><Relationship Id="rId917" Type="http://schemas.openxmlformats.org/officeDocument/2006/relationships/hyperlink" Target="https://polkadot.subsquare.io/treasury/child-bounties/555" TargetMode="External"/><Relationship Id="rId1629" Type="http://schemas.openxmlformats.org/officeDocument/2006/relationships/hyperlink" Target="https://polkadot.subsquare.io/treasury/child-bounties/1315" TargetMode="External"/><Relationship Id="rId916" Type="http://schemas.openxmlformats.org/officeDocument/2006/relationships/hyperlink" Target="https://polkadot.subsquare.io/treasury/child-bounties/554" TargetMode="External"/><Relationship Id="rId915" Type="http://schemas.openxmlformats.org/officeDocument/2006/relationships/hyperlink" Target="https://polkadot.subsquare.io/treasury/child-bounties/553" TargetMode="External"/><Relationship Id="rId919" Type="http://schemas.openxmlformats.org/officeDocument/2006/relationships/hyperlink" Target="https://polkadot.subsquare.io/treasury/child-bounties/557" TargetMode="External"/><Relationship Id="rId910" Type="http://schemas.openxmlformats.org/officeDocument/2006/relationships/hyperlink" Target="https://polkadot.subsquare.io/treasury/child-bounties/548" TargetMode="External"/><Relationship Id="rId914" Type="http://schemas.openxmlformats.org/officeDocument/2006/relationships/hyperlink" Target="https://polkadot.subsquare.io/treasury/child-bounties/552" TargetMode="External"/><Relationship Id="rId913" Type="http://schemas.openxmlformats.org/officeDocument/2006/relationships/hyperlink" Target="https://polkadot.subsquare.io/treasury/child-bounties/551" TargetMode="External"/><Relationship Id="rId912" Type="http://schemas.openxmlformats.org/officeDocument/2006/relationships/hyperlink" Target="https://polkadot.subsquare.io/treasury/child-bounties/550" TargetMode="External"/><Relationship Id="rId911" Type="http://schemas.openxmlformats.org/officeDocument/2006/relationships/hyperlink" Target="https://polkadot.subsquare.io/treasury/child-bounties/549" TargetMode="External"/><Relationship Id="rId1213" Type="http://schemas.openxmlformats.org/officeDocument/2006/relationships/hyperlink" Target="https://polkadot.subsquare.io/treasury/child-bounties/875" TargetMode="External"/><Relationship Id="rId1697" Type="http://schemas.openxmlformats.org/officeDocument/2006/relationships/drawing" Target="../drawings/drawing6.xml"/><Relationship Id="rId1214" Type="http://schemas.openxmlformats.org/officeDocument/2006/relationships/hyperlink" Target="https://polkadot.subsquare.io/treasury/child-bounties/876" TargetMode="External"/><Relationship Id="rId1215" Type="http://schemas.openxmlformats.org/officeDocument/2006/relationships/hyperlink" Target="https://polkadot.subsquare.io/treasury/child-bounties/877" TargetMode="External"/><Relationship Id="rId1216" Type="http://schemas.openxmlformats.org/officeDocument/2006/relationships/hyperlink" Target="https://polkadot.subsquare.io/treasury/child-bounties/878" TargetMode="External"/><Relationship Id="rId1217" Type="http://schemas.openxmlformats.org/officeDocument/2006/relationships/hyperlink" Target="https://polkadot.subsquare.io/treasury/child-bounties/880" TargetMode="External"/><Relationship Id="rId1218" Type="http://schemas.openxmlformats.org/officeDocument/2006/relationships/hyperlink" Target="https://polkadot.subsquare.io/treasury/child-bounties/881" TargetMode="External"/><Relationship Id="rId1219" Type="http://schemas.openxmlformats.org/officeDocument/2006/relationships/hyperlink" Target="https://polkadot.subsquare.io/treasury/child-bounties/882" TargetMode="External"/><Relationship Id="rId866" Type="http://schemas.openxmlformats.org/officeDocument/2006/relationships/hyperlink" Target="https://polkadot.subsquare.io/treasury/child-bounties/504" TargetMode="External"/><Relationship Id="rId865" Type="http://schemas.openxmlformats.org/officeDocument/2006/relationships/hyperlink" Target="https://polkadot.subsquare.io/treasury/child-bounties/503" TargetMode="External"/><Relationship Id="rId864" Type="http://schemas.openxmlformats.org/officeDocument/2006/relationships/hyperlink" Target="https://polkadot.subsquare.io/treasury/child-bounties/502" TargetMode="External"/><Relationship Id="rId863" Type="http://schemas.openxmlformats.org/officeDocument/2006/relationships/hyperlink" Target="https://polkadot.subsquare.io/treasury/child-bounties/501" TargetMode="External"/><Relationship Id="rId869" Type="http://schemas.openxmlformats.org/officeDocument/2006/relationships/hyperlink" Target="https://polkadot.subsquare.io/treasury/child-bounties/507" TargetMode="External"/><Relationship Id="rId868" Type="http://schemas.openxmlformats.org/officeDocument/2006/relationships/hyperlink" Target="https://polkadot.subsquare.io/treasury/child-bounties/506" TargetMode="External"/><Relationship Id="rId867" Type="http://schemas.openxmlformats.org/officeDocument/2006/relationships/hyperlink" Target="https://polkadot.subsquare.io/treasury/child-bounties/505" TargetMode="External"/><Relationship Id="rId1690" Type="http://schemas.openxmlformats.org/officeDocument/2006/relationships/hyperlink" Target="https://polkadot.subsquare.io/treasury/child-bounties/1406" TargetMode="External"/><Relationship Id="rId1691" Type="http://schemas.openxmlformats.org/officeDocument/2006/relationships/hyperlink" Target="https://polkadot.subsquare.io/treasury/child-bounties/1410" TargetMode="External"/><Relationship Id="rId1692" Type="http://schemas.openxmlformats.org/officeDocument/2006/relationships/hyperlink" Target="https://polkadot.subsquare.io/treasury/child-bounties/1411" TargetMode="External"/><Relationship Id="rId862" Type="http://schemas.openxmlformats.org/officeDocument/2006/relationships/hyperlink" Target="https://polkadot.subsquare.io/treasury/child-bounties/500" TargetMode="External"/><Relationship Id="rId1693" Type="http://schemas.openxmlformats.org/officeDocument/2006/relationships/hyperlink" Target="https://polkadot.subsquare.io/treasury/child-bounties/1413" TargetMode="External"/><Relationship Id="rId861" Type="http://schemas.openxmlformats.org/officeDocument/2006/relationships/hyperlink" Target="https://polkadot.subsquare.io/treasury/child-bounties/499" TargetMode="External"/><Relationship Id="rId1210" Type="http://schemas.openxmlformats.org/officeDocument/2006/relationships/hyperlink" Target="https://polkadot.subsquare.io/treasury/child-bounties/872" TargetMode="External"/><Relationship Id="rId1694" Type="http://schemas.openxmlformats.org/officeDocument/2006/relationships/hyperlink" Target="https://polkadot.subsquare.io/treasury/child-bounties/1417" TargetMode="External"/><Relationship Id="rId860" Type="http://schemas.openxmlformats.org/officeDocument/2006/relationships/hyperlink" Target="https://polkadot.subsquare.io/treasury/child-bounties/498" TargetMode="External"/><Relationship Id="rId1211" Type="http://schemas.openxmlformats.org/officeDocument/2006/relationships/hyperlink" Target="https://polkadot.subsquare.io/treasury/child-bounties/873" TargetMode="External"/><Relationship Id="rId1695" Type="http://schemas.openxmlformats.org/officeDocument/2006/relationships/hyperlink" Target="https://polkadot.subsquare.io/treasury/child-bounties/1419" TargetMode="External"/><Relationship Id="rId1212" Type="http://schemas.openxmlformats.org/officeDocument/2006/relationships/hyperlink" Target="https://polkadot.subsquare.io/treasury/child-bounties/874" TargetMode="External"/><Relationship Id="rId1696" Type="http://schemas.openxmlformats.org/officeDocument/2006/relationships/hyperlink" Target="https://polkadot.subsquare.io/treasury/bounties/28" TargetMode="External"/><Relationship Id="rId1202" Type="http://schemas.openxmlformats.org/officeDocument/2006/relationships/hyperlink" Target="https://polkadot.subsquare.io/treasury/child-bounties/863" TargetMode="External"/><Relationship Id="rId1686" Type="http://schemas.openxmlformats.org/officeDocument/2006/relationships/hyperlink" Target="https://polkadot.subsquare.io/treasury/child-bounties/1396" TargetMode="External"/><Relationship Id="rId1203" Type="http://schemas.openxmlformats.org/officeDocument/2006/relationships/hyperlink" Target="https://polkadot.subsquare.io/treasury/child-bounties/864" TargetMode="External"/><Relationship Id="rId1687" Type="http://schemas.openxmlformats.org/officeDocument/2006/relationships/hyperlink" Target="https://polkadot.subsquare.io/treasury/child-bounties/1397" TargetMode="External"/><Relationship Id="rId1204" Type="http://schemas.openxmlformats.org/officeDocument/2006/relationships/hyperlink" Target="https://polkadot.subsquare.io/treasury/child-bounties/865" TargetMode="External"/><Relationship Id="rId1688" Type="http://schemas.openxmlformats.org/officeDocument/2006/relationships/hyperlink" Target="https://polkadot.subsquare.io/treasury/child-bounties/1399" TargetMode="External"/><Relationship Id="rId1205" Type="http://schemas.openxmlformats.org/officeDocument/2006/relationships/hyperlink" Target="https://polkadot.subsquare.io/treasury/child-bounties/866" TargetMode="External"/><Relationship Id="rId1689" Type="http://schemas.openxmlformats.org/officeDocument/2006/relationships/hyperlink" Target="https://polkadot.subsquare.io/treasury/child-bounties/1401" TargetMode="External"/><Relationship Id="rId1206" Type="http://schemas.openxmlformats.org/officeDocument/2006/relationships/hyperlink" Target="https://polkadot.subsquare.io/treasury/child-bounties/867" TargetMode="External"/><Relationship Id="rId1207" Type="http://schemas.openxmlformats.org/officeDocument/2006/relationships/hyperlink" Target="https://polkadot.subsquare.io/treasury/child-bounties/868" TargetMode="External"/><Relationship Id="rId1208" Type="http://schemas.openxmlformats.org/officeDocument/2006/relationships/hyperlink" Target="https://polkadot.subsquare.io/treasury/child-bounties/869" TargetMode="External"/><Relationship Id="rId1209" Type="http://schemas.openxmlformats.org/officeDocument/2006/relationships/hyperlink" Target="https://polkadot.subsquare.io/treasury/child-bounties/870" TargetMode="External"/><Relationship Id="rId855" Type="http://schemas.openxmlformats.org/officeDocument/2006/relationships/hyperlink" Target="https://polkadot.subsquare.io/treasury/child-bounties/493" TargetMode="External"/><Relationship Id="rId854" Type="http://schemas.openxmlformats.org/officeDocument/2006/relationships/hyperlink" Target="https://polkadot.subsquare.io/treasury/child-bounties/492" TargetMode="External"/><Relationship Id="rId853" Type="http://schemas.openxmlformats.org/officeDocument/2006/relationships/hyperlink" Target="https://polkadot.subsquare.io/treasury/child-bounties/491" TargetMode="External"/><Relationship Id="rId852" Type="http://schemas.openxmlformats.org/officeDocument/2006/relationships/hyperlink" Target="https://polkadot.subsquare.io/treasury/child-bounties/490" TargetMode="External"/><Relationship Id="rId859" Type="http://schemas.openxmlformats.org/officeDocument/2006/relationships/hyperlink" Target="https://polkadot.subsquare.io/treasury/child-bounties/497" TargetMode="External"/><Relationship Id="rId858" Type="http://schemas.openxmlformats.org/officeDocument/2006/relationships/hyperlink" Target="https://polkadot.subsquare.io/treasury/child-bounties/496" TargetMode="External"/><Relationship Id="rId857" Type="http://schemas.openxmlformats.org/officeDocument/2006/relationships/hyperlink" Target="https://polkadot.subsquare.io/treasury/child-bounties/495" TargetMode="External"/><Relationship Id="rId856" Type="http://schemas.openxmlformats.org/officeDocument/2006/relationships/hyperlink" Target="https://polkadot.subsquare.io/treasury/child-bounties/494" TargetMode="External"/><Relationship Id="rId1680" Type="http://schemas.openxmlformats.org/officeDocument/2006/relationships/hyperlink" Target="https://polkadot.subsquare.io/treasury/child-bounties/1386" TargetMode="External"/><Relationship Id="rId1681" Type="http://schemas.openxmlformats.org/officeDocument/2006/relationships/hyperlink" Target="https://polkadot.subsquare.io/treasury/child-bounties/1389" TargetMode="External"/><Relationship Id="rId851" Type="http://schemas.openxmlformats.org/officeDocument/2006/relationships/hyperlink" Target="https://polkadot.subsquare.io/treasury/child-bounties/489" TargetMode="External"/><Relationship Id="rId1682" Type="http://schemas.openxmlformats.org/officeDocument/2006/relationships/hyperlink" Target="https://polkadot.subsquare.io/treasury/child-bounties/1390" TargetMode="External"/><Relationship Id="rId850" Type="http://schemas.openxmlformats.org/officeDocument/2006/relationships/hyperlink" Target="https://polkadot.subsquare.io/treasury/child-bounties/488" TargetMode="External"/><Relationship Id="rId1683" Type="http://schemas.openxmlformats.org/officeDocument/2006/relationships/hyperlink" Target="https://polkadot.subsquare.io/treasury/child-bounties/1392" TargetMode="External"/><Relationship Id="rId1200" Type="http://schemas.openxmlformats.org/officeDocument/2006/relationships/hyperlink" Target="https://polkadot.subsquare.io/treasury/child-bounties/861" TargetMode="External"/><Relationship Id="rId1684" Type="http://schemas.openxmlformats.org/officeDocument/2006/relationships/hyperlink" Target="https://polkadot.subsquare.io/treasury/child-bounties/1393" TargetMode="External"/><Relationship Id="rId1201" Type="http://schemas.openxmlformats.org/officeDocument/2006/relationships/hyperlink" Target="https://polkadot.subsquare.io/treasury/child-bounties/862" TargetMode="External"/><Relationship Id="rId1685" Type="http://schemas.openxmlformats.org/officeDocument/2006/relationships/hyperlink" Target="https://polkadot.subsquare.io/treasury/child-bounties/1394" TargetMode="External"/><Relationship Id="rId1235" Type="http://schemas.openxmlformats.org/officeDocument/2006/relationships/hyperlink" Target="https://polkadot.subsquare.io/treasury/child-bounties/899" TargetMode="External"/><Relationship Id="rId1236" Type="http://schemas.openxmlformats.org/officeDocument/2006/relationships/hyperlink" Target="https://polkadot.subsquare.io/treasury/child-bounties/900" TargetMode="External"/><Relationship Id="rId1237" Type="http://schemas.openxmlformats.org/officeDocument/2006/relationships/hyperlink" Target="https://polkadot.subsquare.io/treasury/child-bounties/901" TargetMode="External"/><Relationship Id="rId1238" Type="http://schemas.openxmlformats.org/officeDocument/2006/relationships/hyperlink" Target="https://polkadot.subsquare.io/treasury/child-bounties/902" TargetMode="External"/><Relationship Id="rId1239" Type="http://schemas.openxmlformats.org/officeDocument/2006/relationships/hyperlink" Target="https://polkadot.subsquare.io/treasury/child-bounties/903" TargetMode="External"/><Relationship Id="rId409" Type="http://schemas.openxmlformats.org/officeDocument/2006/relationships/hyperlink" Target="https://polkadot.subsquare.io/treasury/child-bounties/25" TargetMode="External"/><Relationship Id="rId404" Type="http://schemas.openxmlformats.org/officeDocument/2006/relationships/hyperlink" Target="https://polkadot.subsquare.io/treasury/child-bounties/20" TargetMode="External"/><Relationship Id="rId888" Type="http://schemas.openxmlformats.org/officeDocument/2006/relationships/hyperlink" Target="https://polkadot.subsquare.io/treasury/child-bounties/526" TargetMode="External"/><Relationship Id="rId403" Type="http://schemas.openxmlformats.org/officeDocument/2006/relationships/hyperlink" Target="https://polkadot.subsquare.io/treasury/child-bounties/19" TargetMode="External"/><Relationship Id="rId887" Type="http://schemas.openxmlformats.org/officeDocument/2006/relationships/hyperlink" Target="https://polkadot.subsquare.io/treasury/child-bounties/525" TargetMode="External"/><Relationship Id="rId402" Type="http://schemas.openxmlformats.org/officeDocument/2006/relationships/hyperlink" Target="https://polkadot.subsquare.io/treasury/child-bounties/18" TargetMode="External"/><Relationship Id="rId886" Type="http://schemas.openxmlformats.org/officeDocument/2006/relationships/hyperlink" Target="https://polkadot.subsquare.io/treasury/child-bounties/524" TargetMode="External"/><Relationship Id="rId401" Type="http://schemas.openxmlformats.org/officeDocument/2006/relationships/hyperlink" Target="https://polkadot.subsquare.io/treasury/child-bounties/17" TargetMode="External"/><Relationship Id="rId885" Type="http://schemas.openxmlformats.org/officeDocument/2006/relationships/hyperlink" Target="https://polkadot.subsquare.io/treasury/child-bounties/523" TargetMode="External"/><Relationship Id="rId408" Type="http://schemas.openxmlformats.org/officeDocument/2006/relationships/hyperlink" Target="https://polkadot.subsquare.io/treasury/child-bounties/24" TargetMode="External"/><Relationship Id="rId407" Type="http://schemas.openxmlformats.org/officeDocument/2006/relationships/hyperlink" Target="https://polkadot.subsquare.io/treasury/child-bounties/23" TargetMode="External"/><Relationship Id="rId406" Type="http://schemas.openxmlformats.org/officeDocument/2006/relationships/hyperlink" Target="https://polkadot.subsquare.io/treasury/child-bounties/22" TargetMode="External"/><Relationship Id="rId405" Type="http://schemas.openxmlformats.org/officeDocument/2006/relationships/hyperlink" Target="https://polkadot.subsquare.io/treasury/child-bounties/21" TargetMode="External"/><Relationship Id="rId889" Type="http://schemas.openxmlformats.org/officeDocument/2006/relationships/hyperlink" Target="https://polkadot.subsquare.io/treasury/child-bounties/527" TargetMode="External"/><Relationship Id="rId880" Type="http://schemas.openxmlformats.org/officeDocument/2006/relationships/hyperlink" Target="https://polkadot.subsquare.io/treasury/child-bounties/518" TargetMode="External"/><Relationship Id="rId1230" Type="http://schemas.openxmlformats.org/officeDocument/2006/relationships/hyperlink" Target="https://polkadot.subsquare.io/treasury/child-bounties/894" TargetMode="External"/><Relationship Id="rId400" Type="http://schemas.openxmlformats.org/officeDocument/2006/relationships/hyperlink" Target="https://polkadot.subsquare.io/treasury/child-bounties/16" TargetMode="External"/><Relationship Id="rId884" Type="http://schemas.openxmlformats.org/officeDocument/2006/relationships/hyperlink" Target="https://polkadot.subsquare.io/treasury/child-bounties/522" TargetMode="External"/><Relationship Id="rId1231" Type="http://schemas.openxmlformats.org/officeDocument/2006/relationships/hyperlink" Target="https://polkadot.subsquare.io/treasury/child-bounties/895" TargetMode="External"/><Relationship Id="rId883" Type="http://schemas.openxmlformats.org/officeDocument/2006/relationships/hyperlink" Target="https://polkadot.subsquare.io/treasury/child-bounties/521" TargetMode="External"/><Relationship Id="rId1232" Type="http://schemas.openxmlformats.org/officeDocument/2006/relationships/hyperlink" Target="https://polkadot.subsquare.io/treasury/child-bounties/896" TargetMode="External"/><Relationship Id="rId882" Type="http://schemas.openxmlformats.org/officeDocument/2006/relationships/hyperlink" Target="https://polkadot.subsquare.io/treasury/child-bounties/520" TargetMode="External"/><Relationship Id="rId1233" Type="http://schemas.openxmlformats.org/officeDocument/2006/relationships/hyperlink" Target="https://polkadot.subsquare.io/treasury/child-bounties/897" TargetMode="External"/><Relationship Id="rId881" Type="http://schemas.openxmlformats.org/officeDocument/2006/relationships/hyperlink" Target="https://polkadot.subsquare.io/treasury/child-bounties/519" TargetMode="External"/><Relationship Id="rId1234" Type="http://schemas.openxmlformats.org/officeDocument/2006/relationships/hyperlink" Target="https://polkadot.subsquare.io/treasury/child-bounties/898" TargetMode="External"/><Relationship Id="rId1224" Type="http://schemas.openxmlformats.org/officeDocument/2006/relationships/hyperlink" Target="https://polkadot.subsquare.io/treasury/child-bounties/887" TargetMode="External"/><Relationship Id="rId1225" Type="http://schemas.openxmlformats.org/officeDocument/2006/relationships/hyperlink" Target="https://polkadot.subsquare.io/treasury/child-bounties/889" TargetMode="External"/><Relationship Id="rId1226" Type="http://schemas.openxmlformats.org/officeDocument/2006/relationships/hyperlink" Target="https://polkadot.subsquare.io/treasury/child-bounties/890" TargetMode="External"/><Relationship Id="rId1227" Type="http://schemas.openxmlformats.org/officeDocument/2006/relationships/hyperlink" Target="https://polkadot.subsquare.io/treasury/child-bounties/891" TargetMode="External"/><Relationship Id="rId1228" Type="http://schemas.openxmlformats.org/officeDocument/2006/relationships/hyperlink" Target="https://polkadot.subsquare.io/treasury/child-bounties/892" TargetMode="External"/><Relationship Id="rId1229" Type="http://schemas.openxmlformats.org/officeDocument/2006/relationships/hyperlink" Target="https://polkadot.subsquare.io/treasury/child-bounties/893" TargetMode="External"/><Relationship Id="rId877" Type="http://schemas.openxmlformats.org/officeDocument/2006/relationships/hyperlink" Target="https://polkadot.subsquare.io/treasury/child-bounties/515" TargetMode="External"/><Relationship Id="rId876" Type="http://schemas.openxmlformats.org/officeDocument/2006/relationships/hyperlink" Target="https://polkadot.subsquare.io/treasury/child-bounties/514" TargetMode="External"/><Relationship Id="rId875" Type="http://schemas.openxmlformats.org/officeDocument/2006/relationships/hyperlink" Target="https://polkadot.subsquare.io/treasury/child-bounties/513" TargetMode="External"/><Relationship Id="rId874" Type="http://schemas.openxmlformats.org/officeDocument/2006/relationships/hyperlink" Target="https://polkadot.subsquare.io/treasury/child-bounties/512" TargetMode="External"/><Relationship Id="rId879" Type="http://schemas.openxmlformats.org/officeDocument/2006/relationships/hyperlink" Target="https://polkadot.subsquare.io/treasury/child-bounties/517" TargetMode="External"/><Relationship Id="rId878" Type="http://schemas.openxmlformats.org/officeDocument/2006/relationships/hyperlink" Target="https://polkadot.subsquare.io/treasury/child-bounties/516" TargetMode="External"/><Relationship Id="rId873" Type="http://schemas.openxmlformats.org/officeDocument/2006/relationships/hyperlink" Target="https://polkadot.subsquare.io/treasury/child-bounties/511" TargetMode="External"/><Relationship Id="rId1220" Type="http://schemas.openxmlformats.org/officeDocument/2006/relationships/hyperlink" Target="https://polkadot.subsquare.io/treasury/child-bounties/883" TargetMode="External"/><Relationship Id="rId872" Type="http://schemas.openxmlformats.org/officeDocument/2006/relationships/hyperlink" Target="https://polkadot.subsquare.io/treasury/child-bounties/510" TargetMode="External"/><Relationship Id="rId1221" Type="http://schemas.openxmlformats.org/officeDocument/2006/relationships/hyperlink" Target="https://polkadot.subsquare.io/treasury/child-bounties/884" TargetMode="External"/><Relationship Id="rId871" Type="http://schemas.openxmlformats.org/officeDocument/2006/relationships/hyperlink" Target="https://polkadot.subsquare.io/treasury/child-bounties/509" TargetMode="External"/><Relationship Id="rId1222" Type="http://schemas.openxmlformats.org/officeDocument/2006/relationships/hyperlink" Target="https://polkadot.subsquare.io/treasury/child-bounties/885" TargetMode="External"/><Relationship Id="rId870" Type="http://schemas.openxmlformats.org/officeDocument/2006/relationships/hyperlink" Target="https://polkadot.subsquare.io/treasury/child-bounties/508" TargetMode="External"/><Relationship Id="rId1223" Type="http://schemas.openxmlformats.org/officeDocument/2006/relationships/hyperlink" Target="https://polkadot.subsquare.io/treasury/child-bounties/886" TargetMode="External"/><Relationship Id="rId1653" Type="http://schemas.openxmlformats.org/officeDocument/2006/relationships/hyperlink" Target="https://polkadot.subsquare.io/treasury/child-bounties/1354" TargetMode="External"/><Relationship Id="rId1654" Type="http://schemas.openxmlformats.org/officeDocument/2006/relationships/hyperlink" Target="https://polkadot.subsquare.io/treasury/child-bounties/1356" TargetMode="External"/><Relationship Id="rId1655" Type="http://schemas.openxmlformats.org/officeDocument/2006/relationships/hyperlink" Target="https://polkadot.subsquare.io/treasury/child-bounties/1357" TargetMode="External"/><Relationship Id="rId1656" Type="http://schemas.openxmlformats.org/officeDocument/2006/relationships/hyperlink" Target="https://polkadot.subsquare.io/treasury/child-bounties/1358" TargetMode="External"/><Relationship Id="rId1657" Type="http://schemas.openxmlformats.org/officeDocument/2006/relationships/hyperlink" Target="https://polkadot.subsquare.io/treasury/child-bounties/1359" TargetMode="External"/><Relationship Id="rId1658" Type="http://schemas.openxmlformats.org/officeDocument/2006/relationships/hyperlink" Target="https://polkadot.subsquare.io/treasury/child-bounties/1360" TargetMode="External"/><Relationship Id="rId1659" Type="http://schemas.openxmlformats.org/officeDocument/2006/relationships/hyperlink" Target="https://polkadot.subsquare.io/treasury/child-bounties/1361" TargetMode="External"/><Relationship Id="rId829" Type="http://schemas.openxmlformats.org/officeDocument/2006/relationships/hyperlink" Target="https://polkadot.subsquare.io/treasury/child-bounties/467" TargetMode="External"/><Relationship Id="rId828" Type="http://schemas.openxmlformats.org/officeDocument/2006/relationships/hyperlink" Target="https://polkadot.subsquare.io/treasury/child-bounties/466" TargetMode="External"/><Relationship Id="rId827" Type="http://schemas.openxmlformats.org/officeDocument/2006/relationships/hyperlink" Target="https://polkadot.subsquare.io/treasury/child-bounties/465" TargetMode="External"/><Relationship Id="rId822" Type="http://schemas.openxmlformats.org/officeDocument/2006/relationships/hyperlink" Target="https://polkadot.subsquare.io/treasury/child-bounties/460" TargetMode="External"/><Relationship Id="rId821" Type="http://schemas.openxmlformats.org/officeDocument/2006/relationships/hyperlink" Target="https://polkadot.subsquare.io/treasury/child-bounties/459" TargetMode="External"/><Relationship Id="rId820" Type="http://schemas.openxmlformats.org/officeDocument/2006/relationships/hyperlink" Target="https://polkadot.subsquare.io/treasury/child-bounties/458" TargetMode="External"/><Relationship Id="rId826" Type="http://schemas.openxmlformats.org/officeDocument/2006/relationships/hyperlink" Target="https://polkadot.subsquare.io/treasury/child-bounties/464" TargetMode="External"/><Relationship Id="rId825" Type="http://schemas.openxmlformats.org/officeDocument/2006/relationships/hyperlink" Target="https://polkadot.subsquare.io/treasury/child-bounties/463" TargetMode="External"/><Relationship Id="rId824" Type="http://schemas.openxmlformats.org/officeDocument/2006/relationships/hyperlink" Target="https://polkadot.subsquare.io/treasury/child-bounties/462" TargetMode="External"/><Relationship Id="rId823" Type="http://schemas.openxmlformats.org/officeDocument/2006/relationships/hyperlink" Target="https://polkadot.subsquare.io/treasury/child-bounties/461" TargetMode="External"/><Relationship Id="rId1650" Type="http://schemas.openxmlformats.org/officeDocument/2006/relationships/hyperlink" Target="https://polkadot.subsquare.io/treasury/child-bounties/1347" TargetMode="External"/><Relationship Id="rId1651" Type="http://schemas.openxmlformats.org/officeDocument/2006/relationships/hyperlink" Target="https://polkadot.subsquare.io/treasury/child-bounties/1348" TargetMode="External"/><Relationship Id="rId1652" Type="http://schemas.openxmlformats.org/officeDocument/2006/relationships/hyperlink" Target="https://polkadot.subsquare.io/treasury/child-bounties/1353" TargetMode="External"/><Relationship Id="rId1642" Type="http://schemas.openxmlformats.org/officeDocument/2006/relationships/hyperlink" Target="https://polkadot.subsquare.io/treasury/child-bounties/1336" TargetMode="External"/><Relationship Id="rId1643" Type="http://schemas.openxmlformats.org/officeDocument/2006/relationships/hyperlink" Target="https://polkadot.subsquare.io/treasury/child-bounties/1338" TargetMode="External"/><Relationship Id="rId1644" Type="http://schemas.openxmlformats.org/officeDocument/2006/relationships/hyperlink" Target="https://polkadot.subsquare.io/treasury/child-bounties/1340" TargetMode="External"/><Relationship Id="rId1645" Type="http://schemas.openxmlformats.org/officeDocument/2006/relationships/hyperlink" Target="https://polkadot.subsquare.io/treasury/child-bounties/1341" TargetMode="External"/><Relationship Id="rId1646" Type="http://schemas.openxmlformats.org/officeDocument/2006/relationships/hyperlink" Target="https://polkadot.subsquare.io/treasury/child-bounties/1342" TargetMode="External"/><Relationship Id="rId1647" Type="http://schemas.openxmlformats.org/officeDocument/2006/relationships/hyperlink" Target="https://polkadot.subsquare.io/treasury/child-bounties/1343" TargetMode="External"/><Relationship Id="rId1648" Type="http://schemas.openxmlformats.org/officeDocument/2006/relationships/hyperlink" Target="https://polkadot.subsquare.io/treasury/child-bounties/1345" TargetMode="External"/><Relationship Id="rId1649" Type="http://schemas.openxmlformats.org/officeDocument/2006/relationships/hyperlink" Target="https://polkadot.subsquare.io/treasury/child-bounties/1346" TargetMode="External"/><Relationship Id="rId819" Type="http://schemas.openxmlformats.org/officeDocument/2006/relationships/hyperlink" Target="https://polkadot.subsquare.io/treasury/child-bounties/457" TargetMode="External"/><Relationship Id="rId818" Type="http://schemas.openxmlformats.org/officeDocument/2006/relationships/hyperlink" Target="https://polkadot.subsquare.io/treasury/child-bounties/456" TargetMode="External"/><Relationship Id="rId817" Type="http://schemas.openxmlformats.org/officeDocument/2006/relationships/hyperlink" Target="https://polkadot.subsquare.io/treasury/child-bounties/455" TargetMode="External"/><Relationship Id="rId816" Type="http://schemas.openxmlformats.org/officeDocument/2006/relationships/hyperlink" Target="https://polkadot.subsquare.io/treasury/child-bounties/454" TargetMode="External"/><Relationship Id="rId811" Type="http://schemas.openxmlformats.org/officeDocument/2006/relationships/hyperlink" Target="https://polkadot.subsquare.io/treasury/child-bounties/449" TargetMode="External"/><Relationship Id="rId810" Type="http://schemas.openxmlformats.org/officeDocument/2006/relationships/hyperlink" Target="https://polkadot.subsquare.io/treasury/child-bounties/448" TargetMode="External"/><Relationship Id="rId815" Type="http://schemas.openxmlformats.org/officeDocument/2006/relationships/hyperlink" Target="https://polkadot.subsquare.io/treasury/child-bounties/453" TargetMode="External"/><Relationship Id="rId814" Type="http://schemas.openxmlformats.org/officeDocument/2006/relationships/hyperlink" Target="https://polkadot.subsquare.io/treasury/child-bounties/452" TargetMode="External"/><Relationship Id="rId813" Type="http://schemas.openxmlformats.org/officeDocument/2006/relationships/hyperlink" Target="https://polkadot.subsquare.io/treasury/child-bounties/451" TargetMode="External"/><Relationship Id="rId812" Type="http://schemas.openxmlformats.org/officeDocument/2006/relationships/hyperlink" Target="https://polkadot.subsquare.io/treasury/child-bounties/450" TargetMode="External"/><Relationship Id="rId1640" Type="http://schemas.openxmlformats.org/officeDocument/2006/relationships/hyperlink" Target="https://polkadot.subsquare.io/treasury/child-bounties/1330" TargetMode="External"/><Relationship Id="rId1641" Type="http://schemas.openxmlformats.org/officeDocument/2006/relationships/hyperlink" Target="https://polkadot.subsquare.io/treasury/child-bounties/1334" TargetMode="External"/><Relationship Id="rId1675" Type="http://schemas.openxmlformats.org/officeDocument/2006/relationships/hyperlink" Target="https://polkadot.subsquare.io/treasury/child-bounties/1379" TargetMode="External"/><Relationship Id="rId1676" Type="http://schemas.openxmlformats.org/officeDocument/2006/relationships/hyperlink" Target="https://polkadot.subsquare.io/treasury/child-bounties/1380" TargetMode="External"/><Relationship Id="rId1677" Type="http://schemas.openxmlformats.org/officeDocument/2006/relationships/hyperlink" Target="https://polkadot.subsquare.io/treasury/child-bounties/1382" TargetMode="External"/><Relationship Id="rId1678" Type="http://schemas.openxmlformats.org/officeDocument/2006/relationships/hyperlink" Target="https://polkadot.subsquare.io/treasury/child-bounties/1383" TargetMode="External"/><Relationship Id="rId1679" Type="http://schemas.openxmlformats.org/officeDocument/2006/relationships/hyperlink" Target="https://polkadot.subsquare.io/treasury/child-bounties/1384" TargetMode="External"/><Relationship Id="rId849" Type="http://schemas.openxmlformats.org/officeDocument/2006/relationships/hyperlink" Target="https://polkadot.subsquare.io/treasury/child-bounties/487" TargetMode="External"/><Relationship Id="rId844" Type="http://schemas.openxmlformats.org/officeDocument/2006/relationships/hyperlink" Target="https://polkadot.subsquare.io/treasury/child-bounties/482" TargetMode="External"/><Relationship Id="rId843" Type="http://schemas.openxmlformats.org/officeDocument/2006/relationships/hyperlink" Target="https://polkadot.subsquare.io/treasury/child-bounties/481" TargetMode="External"/><Relationship Id="rId842" Type="http://schemas.openxmlformats.org/officeDocument/2006/relationships/hyperlink" Target="https://polkadot.subsquare.io/treasury/child-bounties/480" TargetMode="External"/><Relationship Id="rId841" Type="http://schemas.openxmlformats.org/officeDocument/2006/relationships/hyperlink" Target="https://polkadot.subsquare.io/treasury/child-bounties/479" TargetMode="External"/><Relationship Id="rId848" Type="http://schemas.openxmlformats.org/officeDocument/2006/relationships/hyperlink" Target="https://polkadot.subsquare.io/treasury/child-bounties/486" TargetMode="External"/><Relationship Id="rId847" Type="http://schemas.openxmlformats.org/officeDocument/2006/relationships/hyperlink" Target="https://polkadot.subsquare.io/treasury/child-bounties/485" TargetMode="External"/><Relationship Id="rId846" Type="http://schemas.openxmlformats.org/officeDocument/2006/relationships/hyperlink" Target="https://polkadot.subsquare.io/treasury/child-bounties/484" TargetMode="External"/><Relationship Id="rId845" Type="http://schemas.openxmlformats.org/officeDocument/2006/relationships/hyperlink" Target="https://polkadot.subsquare.io/treasury/child-bounties/483" TargetMode="External"/><Relationship Id="rId1670" Type="http://schemas.openxmlformats.org/officeDocument/2006/relationships/hyperlink" Target="https://polkadot.subsquare.io/treasury/child-bounties/1372" TargetMode="External"/><Relationship Id="rId840" Type="http://schemas.openxmlformats.org/officeDocument/2006/relationships/hyperlink" Target="https://polkadot.subsquare.io/treasury/child-bounties/478" TargetMode="External"/><Relationship Id="rId1671" Type="http://schemas.openxmlformats.org/officeDocument/2006/relationships/hyperlink" Target="https://polkadot.subsquare.io/treasury/child-bounties/1373" TargetMode="External"/><Relationship Id="rId1672" Type="http://schemas.openxmlformats.org/officeDocument/2006/relationships/hyperlink" Target="https://polkadot.subsquare.io/treasury/child-bounties/1374" TargetMode="External"/><Relationship Id="rId1673" Type="http://schemas.openxmlformats.org/officeDocument/2006/relationships/hyperlink" Target="https://polkadot.subsquare.io/treasury/child-bounties/1375" TargetMode="External"/><Relationship Id="rId1674" Type="http://schemas.openxmlformats.org/officeDocument/2006/relationships/hyperlink" Target="https://polkadot.subsquare.io/treasury/child-bounties/1376" TargetMode="External"/><Relationship Id="rId1664" Type="http://schemas.openxmlformats.org/officeDocument/2006/relationships/hyperlink" Target="https://polkadot.subsquare.io/treasury/child-bounties/1366" TargetMode="External"/><Relationship Id="rId1665" Type="http://schemas.openxmlformats.org/officeDocument/2006/relationships/hyperlink" Target="https://polkadot.subsquare.io/treasury/child-bounties/1367" TargetMode="External"/><Relationship Id="rId1666" Type="http://schemas.openxmlformats.org/officeDocument/2006/relationships/hyperlink" Target="https://polkadot.subsquare.io/treasury/child-bounties/1368" TargetMode="External"/><Relationship Id="rId1667" Type="http://schemas.openxmlformats.org/officeDocument/2006/relationships/hyperlink" Target="https://polkadot.subsquare.io/treasury/child-bounties/1369" TargetMode="External"/><Relationship Id="rId1668" Type="http://schemas.openxmlformats.org/officeDocument/2006/relationships/hyperlink" Target="https://polkadot.subsquare.io/treasury/child-bounties/1370" TargetMode="External"/><Relationship Id="rId1669" Type="http://schemas.openxmlformats.org/officeDocument/2006/relationships/hyperlink" Target="https://polkadot.subsquare.io/treasury/child-bounties/1371" TargetMode="External"/><Relationship Id="rId839" Type="http://schemas.openxmlformats.org/officeDocument/2006/relationships/hyperlink" Target="https://polkadot.subsquare.io/treasury/child-bounties/477" TargetMode="External"/><Relationship Id="rId838" Type="http://schemas.openxmlformats.org/officeDocument/2006/relationships/hyperlink" Target="https://polkadot.subsquare.io/treasury/child-bounties/476" TargetMode="External"/><Relationship Id="rId833" Type="http://schemas.openxmlformats.org/officeDocument/2006/relationships/hyperlink" Target="https://polkadot.subsquare.io/treasury/child-bounties/471" TargetMode="External"/><Relationship Id="rId832" Type="http://schemas.openxmlformats.org/officeDocument/2006/relationships/hyperlink" Target="https://polkadot.subsquare.io/treasury/child-bounties/470" TargetMode="External"/><Relationship Id="rId831" Type="http://schemas.openxmlformats.org/officeDocument/2006/relationships/hyperlink" Target="https://polkadot.subsquare.io/treasury/child-bounties/469" TargetMode="External"/><Relationship Id="rId830" Type="http://schemas.openxmlformats.org/officeDocument/2006/relationships/hyperlink" Target="https://polkadot.subsquare.io/treasury/child-bounties/468" TargetMode="External"/><Relationship Id="rId837" Type="http://schemas.openxmlformats.org/officeDocument/2006/relationships/hyperlink" Target="https://polkadot.subsquare.io/treasury/child-bounties/475" TargetMode="External"/><Relationship Id="rId836" Type="http://schemas.openxmlformats.org/officeDocument/2006/relationships/hyperlink" Target="https://polkadot.subsquare.io/treasury/child-bounties/474" TargetMode="External"/><Relationship Id="rId835" Type="http://schemas.openxmlformats.org/officeDocument/2006/relationships/hyperlink" Target="https://polkadot.subsquare.io/treasury/child-bounties/473" TargetMode="External"/><Relationship Id="rId834" Type="http://schemas.openxmlformats.org/officeDocument/2006/relationships/hyperlink" Target="https://polkadot.subsquare.io/treasury/child-bounties/472" TargetMode="External"/><Relationship Id="rId1660" Type="http://schemas.openxmlformats.org/officeDocument/2006/relationships/hyperlink" Target="https://polkadot.subsquare.io/treasury/child-bounties/1362" TargetMode="External"/><Relationship Id="rId1661" Type="http://schemas.openxmlformats.org/officeDocument/2006/relationships/hyperlink" Target="https://polkadot.subsquare.io/treasury/child-bounties/1363" TargetMode="External"/><Relationship Id="rId1662" Type="http://schemas.openxmlformats.org/officeDocument/2006/relationships/hyperlink" Target="https://polkadot.subsquare.io/treasury/child-bounties/1364" TargetMode="External"/><Relationship Id="rId1663" Type="http://schemas.openxmlformats.org/officeDocument/2006/relationships/hyperlink" Target="https://polkadot.subsquare.io/treasury/child-bounties/1365" TargetMode="External"/><Relationship Id="rId469" Type="http://schemas.openxmlformats.org/officeDocument/2006/relationships/hyperlink" Target="https://polkadot.subsquare.io/treasury/child-bounties/85" TargetMode="External"/><Relationship Id="rId468" Type="http://schemas.openxmlformats.org/officeDocument/2006/relationships/hyperlink" Target="https://polkadot.subsquare.io/treasury/child-bounties/83" TargetMode="External"/><Relationship Id="rId467" Type="http://schemas.openxmlformats.org/officeDocument/2006/relationships/hyperlink" Target="https://polkadot.subsquare.io/treasury/child-bounties/82" TargetMode="External"/><Relationship Id="rId1290" Type="http://schemas.openxmlformats.org/officeDocument/2006/relationships/hyperlink" Target="https://polkadot.subsquare.io/treasury/child-bounties/954" TargetMode="External"/><Relationship Id="rId1291" Type="http://schemas.openxmlformats.org/officeDocument/2006/relationships/hyperlink" Target="https://polkadot.subsquare.io/treasury/child-bounties/955" TargetMode="External"/><Relationship Id="rId1292" Type="http://schemas.openxmlformats.org/officeDocument/2006/relationships/hyperlink" Target="https://polkadot.subsquare.io/treasury/child-bounties/956" TargetMode="External"/><Relationship Id="rId462" Type="http://schemas.openxmlformats.org/officeDocument/2006/relationships/hyperlink" Target="https://polkadot.subsquare.io/treasury/child-bounties/77" TargetMode="External"/><Relationship Id="rId1293" Type="http://schemas.openxmlformats.org/officeDocument/2006/relationships/hyperlink" Target="https://polkadot.subsquare.io/treasury/child-bounties/957" TargetMode="External"/><Relationship Id="rId461" Type="http://schemas.openxmlformats.org/officeDocument/2006/relationships/hyperlink" Target="https://polkadot.subsquare.io/treasury/child-bounties/76" TargetMode="External"/><Relationship Id="rId1294" Type="http://schemas.openxmlformats.org/officeDocument/2006/relationships/hyperlink" Target="https://polkadot.subsquare.io/treasury/child-bounties/958" TargetMode="External"/><Relationship Id="rId460" Type="http://schemas.openxmlformats.org/officeDocument/2006/relationships/hyperlink" Target="https://polkadot.subsquare.io/treasury/child-bounties/75" TargetMode="External"/><Relationship Id="rId1295" Type="http://schemas.openxmlformats.org/officeDocument/2006/relationships/hyperlink" Target="https://polkadot.subsquare.io/treasury/child-bounties/959" TargetMode="External"/><Relationship Id="rId1296" Type="http://schemas.openxmlformats.org/officeDocument/2006/relationships/hyperlink" Target="https://polkadot.subsquare.io/treasury/child-bounties/960" TargetMode="External"/><Relationship Id="rId466" Type="http://schemas.openxmlformats.org/officeDocument/2006/relationships/hyperlink" Target="https://polkadot.subsquare.io/treasury/child-bounties/81" TargetMode="External"/><Relationship Id="rId1297" Type="http://schemas.openxmlformats.org/officeDocument/2006/relationships/hyperlink" Target="https://polkadot.subsquare.io/treasury/child-bounties/961" TargetMode="External"/><Relationship Id="rId465" Type="http://schemas.openxmlformats.org/officeDocument/2006/relationships/hyperlink" Target="https://polkadot.subsquare.io/treasury/child-bounties/80" TargetMode="External"/><Relationship Id="rId1298" Type="http://schemas.openxmlformats.org/officeDocument/2006/relationships/hyperlink" Target="https://polkadot.subsquare.io/treasury/child-bounties/962" TargetMode="External"/><Relationship Id="rId464" Type="http://schemas.openxmlformats.org/officeDocument/2006/relationships/hyperlink" Target="https://polkadot.subsquare.io/treasury/child-bounties/79" TargetMode="External"/><Relationship Id="rId1299" Type="http://schemas.openxmlformats.org/officeDocument/2006/relationships/hyperlink" Target="https://polkadot.subsquare.io/treasury/child-bounties/963" TargetMode="External"/><Relationship Id="rId463" Type="http://schemas.openxmlformats.org/officeDocument/2006/relationships/hyperlink" Target="https://polkadot.subsquare.io/treasury/child-bounties/78" TargetMode="External"/><Relationship Id="rId459" Type="http://schemas.openxmlformats.org/officeDocument/2006/relationships/hyperlink" Target="https://polkadot.subsquare.io/treasury/child-bounties/74" TargetMode="External"/><Relationship Id="rId458" Type="http://schemas.openxmlformats.org/officeDocument/2006/relationships/hyperlink" Target="https://polkadot.subsquare.io/treasury/child-bounties/73" TargetMode="External"/><Relationship Id="rId457" Type="http://schemas.openxmlformats.org/officeDocument/2006/relationships/hyperlink" Target="https://polkadot.subsquare.io/treasury/child-bounties/72" TargetMode="External"/><Relationship Id="rId456" Type="http://schemas.openxmlformats.org/officeDocument/2006/relationships/hyperlink" Target="https://polkadot.subsquare.io/treasury/child-bounties/71" TargetMode="External"/><Relationship Id="rId1280" Type="http://schemas.openxmlformats.org/officeDocument/2006/relationships/hyperlink" Target="https://polkadot.subsquare.io/treasury/child-bounties/944" TargetMode="External"/><Relationship Id="rId1281" Type="http://schemas.openxmlformats.org/officeDocument/2006/relationships/hyperlink" Target="https://polkadot.subsquare.io/treasury/child-bounties/945" TargetMode="External"/><Relationship Id="rId451" Type="http://schemas.openxmlformats.org/officeDocument/2006/relationships/hyperlink" Target="https://polkadot.subsquare.io/treasury/child-bounties/66" TargetMode="External"/><Relationship Id="rId1282" Type="http://schemas.openxmlformats.org/officeDocument/2006/relationships/hyperlink" Target="https://polkadot.subsquare.io/treasury/child-bounties/946" TargetMode="External"/><Relationship Id="rId450" Type="http://schemas.openxmlformats.org/officeDocument/2006/relationships/hyperlink" Target="https://polkadot.subsquare.io/treasury/child-bounties/65" TargetMode="External"/><Relationship Id="rId1283" Type="http://schemas.openxmlformats.org/officeDocument/2006/relationships/hyperlink" Target="https://polkadot.subsquare.io/treasury/child-bounties/947" TargetMode="External"/><Relationship Id="rId1284" Type="http://schemas.openxmlformats.org/officeDocument/2006/relationships/hyperlink" Target="https://polkadot.subsquare.io/treasury/child-bounties/948" TargetMode="External"/><Relationship Id="rId1285" Type="http://schemas.openxmlformats.org/officeDocument/2006/relationships/hyperlink" Target="https://polkadot.subsquare.io/treasury/child-bounties/949" TargetMode="External"/><Relationship Id="rId455" Type="http://schemas.openxmlformats.org/officeDocument/2006/relationships/hyperlink" Target="https://polkadot.subsquare.io/treasury/child-bounties/70" TargetMode="External"/><Relationship Id="rId1286" Type="http://schemas.openxmlformats.org/officeDocument/2006/relationships/hyperlink" Target="https://polkadot.subsquare.io/treasury/child-bounties/950" TargetMode="External"/><Relationship Id="rId454" Type="http://schemas.openxmlformats.org/officeDocument/2006/relationships/hyperlink" Target="https://polkadot.subsquare.io/treasury/child-bounties/69" TargetMode="External"/><Relationship Id="rId1287" Type="http://schemas.openxmlformats.org/officeDocument/2006/relationships/hyperlink" Target="https://polkadot.subsquare.io/treasury/child-bounties/951" TargetMode="External"/><Relationship Id="rId453" Type="http://schemas.openxmlformats.org/officeDocument/2006/relationships/hyperlink" Target="https://polkadot.subsquare.io/treasury/child-bounties/68" TargetMode="External"/><Relationship Id="rId1288" Type="http://schemas.openxmlformats.org/officeDocument/2006/relationships/hyperlink" Target="https://polkadot.subsquare.io/treasury/child-bounties/952" TargetMode="External"/><Relationship Id="rId452" Type="http://schemas.openxmlformats.org/officeDocument/2006/relationships/hyperlink" Target="https://polkadot.subsquare.io/treasury/child-bounties/67" TargetMode="External"/><Relationship Id="rId1289" Type="http://schemas.openxmlformats.org/officeDocument/2006/relationships/hyperlink" Target="https://polkadot.subsquare.io/treasury/child-bounties/953" TargetMode="External"/><Relationship Id="rId491" Type="http://schemas.openxmlformats.org/officeDocument/2006/relationships/hyperlink" Target="https://polkadot.subsquare.io/treasury/child-bounties/108" TargetMode="External"/><Relationship Id="rId490" Type="http://schemas.openxmlformats.org/officeDocument/2006/relationships/hyperlink" Target="https://polkadot.subsquare.io/treasury/child-bounties/107" TargetMode="External"/><Relationship Id="rId489" Type="http://schemas.openxmlformats.org/officeDocument/2006/relationships/hyperlink" Target="https://polkadot.subsquare.io/treasury/child-bounties/106" TargetMode="External"/><Relationship Id="rId484" Type="http://schemas.openxmlformats.org/officeDocument/2006/relationships/hyperlink" Target="https://polkadot.subsquare.io/treasury/child-bounties/101" TargetMode="External"/><Relationship Id="rId483" Type="http://schemas.openxmlformats.org/officeDocument/2006/relationships/hyperlink" Target="https://polkadot.subsquare.io/treasury/child-bounties/100" TargetMode="External"/><Relationship Id="rId482" Type="http://schemas.openxmlformats.org/officeDocument/2006/relationships/hyperlink" Target="https://polkadot.subsquare.io/treasury/child-bounties/99" TargetMode="External"/><Relationship Id="rId481" Type="http://schemas.openxmlformats.org/officeDocument/2006/relationships/hyperlink" Target="https://polkadot.subsquare.io/treasury/child-bounties/98" TargetMode="External"/><Relationship Id="rId488" Type="http://schemas.openxmlformats.org/officeDocument/2006/relationships/hyperlink" Target="https://polkadot.subsquare.io/treasury/child-bounties/105" TargetMode="External"/><Relationship Id="rId487" Type="http://schemas.openxmlformats.org/officeDocument/2006/relationships/hyperlink" Target="https://polkadot.subsquare.io/treasury/child-bounties/104" TargetMode="External"/><Relationship Id="rId486" Type="http://schemas.openxmlformats.org/officeDocument/2006/relationships/hyperlink" Target="https://polkadot.subsquare.io/treasury/child-bounties/103" TargetMode="External"/><Relationship Id="rId485" Type="http://schemas.openxmlformats.org/officeDocument/2006/relationships/hyperlink" Target="https://polkadot.subsquare.io/treasury/child-bounties/102" TargetMode="External"/><Relationship Id="rId480" Type="http://schemas.openxmlformats.org/officeDocument/2006/relationships/hyperlink" Target="https://polkadot.subsquare.io/treasury/child-bounties/97" TargetMode="External"/><Relationship Id="rId479" Type="http://schemas.openxmlformats.org/officeDocument/2006/relationships/hyperlink" Target="https://polkadot.subsquare.io/treasury/child-bounties/96" TargetMode="External"/><Relationship Id="rId478" Type="http://schemas.openxmlformats.org/officeDocument/2006/relationships/hyperlink" Target="https://polkadot.subsquare.io/treasury/child-bounties/95" TargetMode="External"/><Relationship Id="rId473" Type="http://schemas.openxmlformats.org/officeDocument/2006/relationships/hyperlink" Target="https://polkadot.subsquare.io/treasury/child-bounties/90" TargetMode="External"/><Relationship Id="rId472" Type="http://schemas.openxmlformats.org/officeDocument/2006/relationships/hyperlink" Target="https://polkadot.subsquare.io/treasury/child-bounties/88" TargetMode="External"/><Relationship Id="rId471" Type="http://schemas.openxmlformats.org/officeDocument/2006/relationships/hyperlink" Target="https://polkadot.subsquare.io/treasury/child-bounties/87" TargetMode="External"/><Relationship Id="rId470" Type="http://schemas.openxmlformats.org/officeDocument/2006/relationships/hyperlink" Target="https://polkadot.subsquare.io/treasury/child-bounties/86" TargetMode="External"/><Relationship Id="rId477" Type="http://schemas.openxmlformats.org/officeDocument/2006/relationships/hyperlink" Target="https://polkadot.subsquare.io/treasury/child-bounties/94" TargetMode="External"/><Relationship Id="rId476" Type="http://schemas.openxmlformats.org/officeDocument/2006/relationships/hyperlink" Target="https://polkadot.subsquare.io/treasury/child-bounties/93" TargetMode="External"/><Relationship Id="rId475" Type="http://schemas.openxmlformats.org/officeDocument/2006/relationships/hyperlink" Target="https://polkadot.subsquare.io/treasury/child-bounties/92" TargetMode="External"/><Relationship Id="rId474" Type="http://schemas.openxmlformats.org/officeDocument/2006/relationships/hyperlink" Target="https://polkadot.subsquare.io/treasury/child-bounties/91" TargetMode="External"/><Relationship Id="rId1257" Type="http://schemas.openxmlformats.org/officeDocument/2006/relationships/hyperlink" Target="https://polkadot.subsquare.io/treasury/child-bounties/921" TargetMode="External"/><Relationship Id="rId1258" Type="http://schemas.openxmlformats.org/officeDocument/2006/relationships/hyperlink" Target="https://polkadot.subsquare.io/treasury/child-bounties/922" TargetMode="External"/><Relationship Id="rId1259" Type="http://schemas.openxmlformats.org/officeDocument/2006/relationships/hyperlink" Target="https://polkadot.subsquare.io/treasury/child-bounties/923" TargetMode="External"/><Relationship Id="rId426" Type="http://schemas.openxmlformats.org/officeDocument/2006/relationships/hyperlink" Target="https://polkadot.subsquare.io/treasury/child-bounties/41" TargetMode="External"/><Relationship Id="rId425" Type="http://schemas.openxmlformats.org/officeDocument/2006/relationships/hyperlink" Target="https://polkadot.subsquare.io/treasury/child-bounties/40" TargetMode="External"/><Relationship Id="rId424" Type="http://schemas.openxmlformats.org/officeDocument/2006/relationships/hyperlink" Target="https://polkadot.subsquare.io/treasury/child-bounties/39" TargetMode="External"/><Relationship Id="rId423" Type="http://schemas.openxmlformats.org/officeDocument/2006/relationships/hyperlink" Target="https://polkadot.subsquare.io/treasury/child-bounties/38" TargetMode="External"/><Relationship Id="rId429" Type="http://schemas.openxmlformats.org/officeDocument/2006/relationships/hyperlink" Target="https://polkadot.subsquare.io/treasury/child-bounties/44" TargetMode="External"/><Relationship Id="rId428" Type="http://schemas.openxmlformats.org/officeDocument/2006/relationships/hyperlink" Target="https://polkadot.subsquare.io/treasury/child-bounties/43" TargetMode="External"/><Relationship Id="rId427" Type="http://schemas.openxmlformats.org/officeDocument/2006/relationships/hyperlink" Target="https://polkadot.subsquare.io/treasury/child-bounties/42" TargetMode="External"/><Relationship Id="rId1250" Type="http://schemas.openxmlformats.org/officeDocument/2006/relationships/hyperlink" Target="https://polkadot.subsquare.io/treasury/child-bounties/914" TargetMode="External"/><Relationship Id="rId1251" Type="http://schemas.openxmlformats.org/officeDocument/2006/relationships/hyperlink" Target="https://polkadot.subsquare.io/treasury/child-bounties/915" TargetMode="External"/><Relationship Id="rId1252" Type="http://schemas.openxmlformats.org/officeDocument/2006/relationships/hyperlink" Target="https://polkadot.subsquare.io/treasury/child-bounties/916" TargetMode="External"/><Relationship Id="rId422" Type="http://schemas.openxmlformats.org/officeDocument/2006/relationships/hyperlink" Target="https://polkadot.subsquare.io/treasury/child-bounties/37" TargetMode="External"/><Relationship Id="rId1253" Type="http://schemas.openxmlformats.org/officeDocument/2006/relationships/hyperlink" Target="https://polkadot.subsquare.io/treasury/child-bounties/917" TargetMode="External"/><Relationship Id="rId421" Type="http://schemas.openxmlformats.org/officeDocument/2006/relationships/hyperlink" Target="https://polkadot.subsquare.io/treasury/child-bounties/36" TargetMode="External"/><Relationship Id="rId1254" Type="http://schemas.openxmlformats.org/officeDocument/2006/relationships/hyperlink" Target="https://polkadot.subsquare.io/treasury/child-bounties/918" TargetMode="External"/><Relationship Id="rId420" Type="http://schemas.openxmlformats.org/officeDocument/2006/relationships/hyperlink" Target="https://polkadot.subsquare.io/treasury/child-bounties/35" TargetMode="External"/><Relationship Id="rId1255" Type="http://schemas.openxmlformats.org/officeDocument/2006/relationships/hyperlink" Target="https://polkadot.subsquare.io/treasury/child-bounties/919" TargetMode="External"/><Relationship Id="rId1256" Type="http://schemas.openxmlformats.org/officeDocument/2006/relationships/hyperlink" Target="https://polkadot.subsquare.io/treasury/child-bounties/920" TargetMode="External"/><Relationship Id="rId1246" Type="http://schemas.openxmlformats.org/officeDocument/2006/relationships/hyperlink" Target="https://polkadot.subsquare.io/treasury/child-bounties/910" TargetMode="External"/><Relationship Id="rId1247" Type="http://schemas.openxmlformats.org/officeDocument/2006/relationships/hyperlink" Target="https://polkadot.subsquare.io/treasury/child-bounties/911" TargetMode="External"/><Relationship Id="rId1248" Type="http://schemas.openxmlformats.org/officeDocument/2006/relationships/hyperlink" Target="https://polkadot.subsquare.io/treasury/child-bounties/912" TargetMode="External"/><Relationship Id="rId1249" Type="http://schemas.openxmlformats.org/officeDocument/2006/relationships/hyperlink" Target="https://polkadot.subsquare.io/treasury/child-bounties/913" TargetMode="External"/><Relationship Id="rId415" Type="http://schemas.openxmlformats.org/officeDocument/2006/relationships/hyperlink" Target="https://polkadot.subsquare.io/treasury/child-bounties/31" TargetMode="External"/><Relationship Id="rId899" Type="http://schemas.openxmlformats.org/officeDocument/2006/relationships/hyperlink" Target="https://polkadot.subsquare.io/treasury/child-bounties/537" TargetMode="External"/><Relationship Id="rId414" Type="http://schemas.openxmlformats.org/officeDocument/2006/relationships/hyperlink" Target="https://polkadot.subsquare.io/treasury/child-bounties/30" TargetMode="External"/><Relationship Id="rId898" Type="http://schemas.openxmlformats.org/officeDocument/2006/relationships/hyperlink" Target="https://polkadot.subsquare.io/treasury/child-bounties/536" TargetMode="External"/><Relationship Id="rId413" Type="http://schemas.openxmlformats.org/officeDocument/2006/relationships/hyperlink" Target="https://polkadot.subsquare.io/treasury/child-bounties/29" TargetMode="External"/><Relationship Id="rId897" Type="http://schemas.openxmlformats.org/officeDocument/2006/relationships/hyperlink" Target="https://polkadot.subsquare.io/treasury/child-bounties/535" TargetMode="External"/><Relationship Id="rId412" Type="http://schemas.openxmlformats.org/officeDocument/2006/relationships/hyperlink" Target="https://polkadot.subsquare.io/treasury/child-bounties/28" TargetMode="External"/><Relationship Id="rId896" Type="http://schemas.openxmlformats.org/officeDocument/2006/relationships/hyperlink" Target="https://polkadot.subsquare.io/treasury/child-bounties/534" TargetMode="External"/><Relationship Id="rId419" Type="http://schemas.openxmlformats.org/officeDocument/2006/relationships/hyperlink" Target="https://polkadot.subsquare.io/treasury/child-bounties/34" TargetMode="External"/><Relationship Id="rId418" Type="http://schemas.openxmlformats.org/officeDocument/2006/relationships/hyperlink" Target="https://polkadot.subsquare.io/treasury/child-bounties/33" TargetMode="External"/><Relationship Id="rId417" Type="http://schemas.openxmlformats.org/officeDocument/2006/relationships/hyperlink" Target="https://github.com/paritytech/frontier/security/advisories/GHSA-hc8w-mx86-9fcj" TargetMode="External"/><Relationship Id="rId416" Type="http://schemas.openxmlformats.org/officeDocument/2006/relationships/hyperlink" Target="https://polkadot.subsquare.io/treasury/child-bounties/32" TargetMode="External"/><Relationship Id="rId891" Type="http://schemas.openxmlformats.org/officeDocument/2006/relationships/hyperlink" Target="https://polkadot.subsquare.io/treasury/child-bounties/529" TargetMode="External"/><Relationship Id="rId890" Type="http://schemas.openxmlformats.org/officeDocument/2006/relationships/hyperlink" Target="https://polkadot.subsquare.io/treasury/child-bounties/528" TargetMode="External"/><Relationship Id="rId1240" Type="http://schemas.openxmlformats.org/officeDocument/2006/relationships/hyperlink" Target="https://polkadot.subsquare.io/treasury/child-bounties/904" TargetMode="External"/><Relationship Id="rId1241" Type="http://schemas.openxmlformats.org/officeDocument/2006/relationships/hyperlink" Target="https://polkadot.subsquare.io/treasury/child-bounties/905" TargetMode="External"/><Relationship Id="rId411" Type="http://schemas.openxmlformats.org/officeDocument/2006/relationships/hyperlink" Target="https://polkadot.subsquare.io/treasury/child-bounties/27" TargetMode="External"/><Relationship Id="rId895" Type="http://schemas.openxmlformats.org/officeDocument/2006/relationships/hyperlink" Target="https://polkadot.subsquare.io/treasury/child-bounties/533" TargetMode="External"/><Relationship Id="rId1242" Type="http://schemas.openxmlformats.org/officeDocument/2006/relationships/hyperlink" Target="https://polkadot.subsquare.io/treasury/child-bounties/906" TargetMode="External"/><Relationship Id="rId410" Type="http://schemas.openxmlformats.org/officeDocument/2006/relationships/hyperlink" Target="https://polkadot.subsquare.io/treasury/child-bounties/26" TargetMode="External"/><Relationship Id="rId894" Type="http://schemas.openxmlformats.org/officeDocument/2006/relationships/hyperlink" Target="https://polkadot.subsquare.io/treasury/child-bounties/532" TargetMode="External"/><Relationship Id="rId1243" Type="http://schemas.openxmlformats.org/officeDocument/2006/relationships/hyperlink" Target="https://polkadot.subsquare.io/treasury/child-bounties/907" TargetMode="External"/><Relationship Id="rId893" Type="http://schemas.openxmlformats.org/officeDocument/2006/relationships/hyperlink" Target="https://polkadot.subsquare.io/treasury/child-bounties/531" TargetMode="External"/><Relationship Id="rId1244" Type="http://schemas.openxmlformats.org/officeDocument/2006/relationships/hyperlink" Target="https://polkadot.subsquare.io/treasury/child-bounties/908" TargetMode="External"/><Relationship Id="rId892" Type="http://schemas.openxmlformats.org/officeDocument/2006/relationships/hyperlink" Target="https://polkadot.subsquare.io/treasury/child-bounties/530" TargetMode="External"/><Relationship Id="rId1245" Type="http://schemas.openxmlformats.org/officeDocument/2006/relationships/hyperlink" Target="https://polkadot.subsquare.io/treasury/child-bounties/909" TargetMode="External"/><Relationship Id="rId1279" Type="http://schemas.openxmlformats.org/officeDocument/2006/relationships/hyperlink" Target="https://polkadot.subsquare.io/treasury/child-bounties/943" TargetMode="External"/><Relationship Id="rId448" Type="http://schemas.openxmlformats.org/officeDocument/2006/relationships/hyperlink" Target="https://polkadot.subsquare.io/treasury/child-bounties/63" TargetMode="External"/><Relationship Id="rId447" Type="http://schemas.openxmlformats.org/officeDocument/2006/relationships/hyperlink" Target="https://polkadot.subsquare.io/treasury/child-bounties/62" TargetMode="External"/><Relationship Id="rId446" Type="http://schemas.openxmlformats.org/officeDocument/2006/relationships/hyperlink" Target="https://polkadot.subsquare.io/treasury/child-bounties/61" TargetMode="External"/><Relationship Id="rId445" Type="http://schemas.openxmlformats.org/officeDocument/2006/relationships/hyperlink" Target="https://polkadot.subsquare.io/treasury/child-bounties/60" TargetMode="External"/><Relationship Id="rId449" Type="http://schemas.openxmlformats.org/officeDocument/2006/relationships/hyperlink" Target="https://polkadot.subsquare.io/treasury/child-bounties/64" TargetMode="External"/><Relationship Id="rId1270" Type="http://schemas.openxmlformats.org/officeDocument/2006/relationships/hyperlink" Target="https://polkadot.subsquare.io/treasury/child-bounties/934" TargetMode="External"/><Relationship Id="rId440" Type="http://schemas.openxmlformats.org/officeDocument/2006/relationships/hyperlink" Target="https://polkadot.subsquare.io/treasury/child-bounties/55" TargetMode="External"/><Relationship Id="rId1271" Type="http://schemas.openxmlformats.org/officeDocument/2006/relationships/hyperlink" Target="https://polkadot.subsquare.io/treasury/child-bounties/935" TargetMode="External"/><Relationship Id="rId1272" Type="http://schemas.openxmlformats.org/officeDocument/2006/relationships/hyperlink" Target="https://polkadot.subsquare.io/treasury/child-bounties/936" TargetMode="External"/><Relationship Id="rId1273" Type="http://schemas.openxmlformats.org/officeDocument/2006/relationships/hyperlink" Target="https://polkadot.subsquare.io/treasury/child-bounties/937" TargetMode="External"/><Relationship Id="rId1274" Type="http://schemas.openxmlformats.org/officeDocument/2006/relationships/hyperlink" Target="https://polkadot.subsquare.io/treasury/child-bounties/938" TargetMode="External"/><Relationship Id="rId444" Type="http://schemas.openxmlformats.org/officeDocument/2006/relationships/hyperlink" Target="https://polkadot.subsquare.io/treasury/child-bounties/59" TargetMode="External"/><Relationship Id="rId1275" Type="http://schemas.openxmlformats.org/officeDocument/2006/relationships/hyperlink" Target="https://polkadot.subsquare.io/treasury/child-bounties/939" TargetMode="External"/><Relationship Id="rId443" Type="http://schemas.openxmlformats.org/officeDocument/2006/relationships/hyperlink" Target="https://polkadot.subsquare.io/treasury/child-bounties/58" TargetMode="External"/><Relationship Id="rId1276" Type="http://schemas.openxmlformats.org/officeDocument/2006/relationships/hyperlink" Target="https://polkadot.subsquare.io/treasury/child-bounties/940" TargetMode="External"/><Relationship Id="rId442" Type="http://schemas.openxmlformats.org/officeDocument/2006/relationships/hyperlink" Target="https://polkadot.subsquare.io/treasury/child-bounties/57" TargetMode="External"/><Relationship Id="rId1277" Type="http://schemas.openxmlformats.org/officeDocument/2006/relationships/hyperlink" Target="https://polkadot.subsquare.io/treasury/child-bounties/941" TargetMode="External"/><Relationship Id="rId441" Type="http://schemas.openxmlformats.org/officeDocument/2006/relationships/hyperlink" Target="https://polkadot.subsquare.io/treasury/child-bounties/56" TargetMode="External"/><Relationship Id="rId1278" Type="http://schemas.openxmlformats.org/officeDocument/2006/relationships/hyperlink" Target="https://polkadot.subsquare.io/treasury/child-bounties/942" TargetMode="External"/><Relationship Id="rId1268" Type="http://schemas.openxmlformats.org/officeDocument/2006/relationships/hyperlink" Target="https://polkadot.subsquare.io/treasury/child-bounties/932" TargetMode="External"/><Relationship Id="rId1269" Type="http://schemas.openxmlformats.org/officeDocument/2006/relationships/hyperlink" Target="https://polkadot.subsquare.io/treasury/child-bounties/933" TargetMode="External"/><Relationship Id="rId437" Type="http://schemas.openxmlformats.org/officeDocument/2006/relationships/hyperlink" Target="https://polkadot.subsquare.io/treasury/child-bounties/52" TargetMode="External"/><Relationship Id="rId436" Type="http://schemas.openxmlformats.org/officeDocument/2006/relationships/hyperlink" Target="https://polkadot.subsquare.io/treasury/child-bounties/51" TargetMode="External"/><Relationship Id="rId435" Type="http://schemas.openxmlformats.org/officeDocument/2006/relationships/hyperlink" Target="https://polkadot.subsquare.io/treasury/child-bounties/50" TargetMode="External"/><Relationship Id="rId434" Type="http://schemas.openxmlformats.org/officeDocument/2006/relationships/hyperlink" Target="https://polkadot.subsquare.io/treasury/child-bounties/49" TargetMode="External"/><Relationship Id="rId439" Type="http://schemas.openxmlformats.org/officeDocument/2006/relationships/hyperlink" Target="https://polkadot.subsquare.io/treasury/child-bounties/54" TargetMode="External"/><Relationship Id="rId438" Type="http://schemas.openxmlformats.org/officeDocument/2006/relationships/hyperlink" Target="https://polkadot.subsquare.io/treasury/child-bounties/53" TargetMode="External"/><Relationship Id="rId1260" Type="http://schemas.openxmlformats.org/officeDocument/2006/relationships/hyperlink" Target="https://polkadot.subsquare.io/treasury/child-bounties/924" TargetMode="External"/><Relationship Id="rId1261" Type="http://schemas.openxmlformats.org/officeDocument/2006/relationships/hyperlink" Target="https://polkadot.subsquare.io/treasury/child-bounties/925" TargetMode="External"/><Relationship Id="rId1262" Type="http://schemas.openxmlformats.org/officeDocument/2006/relationships/hyperlink" Target="https://polkadot.subsquare.io/treasury/child-bounties/926" TargetMode="External"/><Relationship Id="rId1263" Type="http://schemas.openxmlformats.org/officeDocument/2006/relationships/hyperlink" Target="https://polkadot.subsquare.io/treasury/child-bounties/927" TargetMode="External"/><Relationship Id="rId433" Type="http://schemas.openxmlformats.org/officeDocument/2006/relationships/hyperlink" Target="https://polkadot.subsquare.io/treasury/child-bounties/48" TargetMode="External"/><Relationship Id="rId1264" Type="http://schemas.openxmlformats.org/officeDocument/2006/relationships/hyperlink" Target="https://polkadot.subsquare.io/treasury/child-bounties/928" TargetMode="External"/><Relationship Id="rId432" Type="http://schemas.openxmlformats.org/officeDocument/2006/relationships/hyperlink" Target="https://polkadot.subsquare.io/treasury/child-bounties/47" TargetMode="External"/><Relationship Id="rId1265" Type="http://schemas.openxmlformats.org/officeDocument/2006/relationships/hyperlink" Target="https://polkadot.subsquare.io/treasury/child-bounties/929" TargetMode="External"/><Relationship Id="rId431" Type="http://schemas.openxmlformats.org/officeDocument/2006/relationships/hyperlink" Target="https://polkadot.subsquare.io/treasury/child-bounties/46" TargetMode="External"/><Relationship Id="rId1266" Type="http://schemas.openxmlformats.org/officeDocument/2006/relationships/hyperlink" Target="https://polkadot.subsquare.io/treasury/child-bounties/930" TargetMode="External"/><Relationship Id="rId430" Type="http://schemas.openxmlformats.org/officeDocument/2006/relationships/hyperlink" Target="https://polkadot.subsquare.io/treasury/child-bounties/45" TargetMode="External"/><Relationship Id="rId1267" Type="http://schemas.openxmlformats.org/officeDocument/2006/relationships/hyperlink" Target="https://polkadot.subsquare.io/treasury/child-bounties/931"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pivotTable" Target="../pivotTables/pivotTable8.xml"/><Relationship Id="rId3" Type="http://schemas.openxmlformats.org/officeDocument/2006/relationships/pivotTable" Target="../pivotTables/pivotTable9.xml"/><Relationship Id="rId4" Type="http://schemas.openxmlformats.org/officeDocument/2006/relationships/pivotTable" Target="../pivotTables/pivotTable10.xml"/><Relationship Id="rId9" Type="http://schemas.openxmlformats.org/officeDocument/2006/relationships/pivotTable" Target="../pivotTables/pivotTable15.xml"/><Relationship Id="rId5" Type="http://schemas.openxmlformats.org/officeDocument/2006/relationships/pivotTable" Target="../pivotTables/pivotTable11.xml"/><Relationship Id="rId6" Type="http://schemas.openxmlformats.org/officeDocument/2006/relationships/pivotTable" Target="../pivotTables/pivotTable12.xml"/><Relationship Id="rId7" Type="http://schemas.openxmlformats.org/officeDocument/2006/relationships/pivotTable" Target="../pivotTables/pivotTable13.xml"/><Relationship Id="rId8" Type="http://schemas.openxmlformats.org/officeDocument/2006/relationships/pivotTable" Target="../pivotTables/pivotTable14.xml"/><Relationship Id="rId11" Type="http://schemas.openxmlformats.org/officeDocument/2006/relationships/pivotTable" Target="../pivotTables/pivotTable17.xml"/><Relationship Id="rId10" Type="http://schemas.openxmlformats.org/officeDocument/2006/relationships/pivotTable" Target="../pivotTables/pivotTable16.xml"/><Relationship Id="rId13" Type="http://schemas.openxmlformats.org/officeDocument/2006/relationships/drawing" Target="../drawings/drawing7.xml"/><Relationship Id="rId12"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paritytech/polkadot-api/pull/200"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paritytech/frontier/security/advisories/GHSA-fcmm-54jp-7vf6" TargetMode="External"/><Relationship Id="rId2" Type="http://schemas.openxmlformats.org/officeDocument/2006/relationships/hyperlink" Target="https://github.com/paritytech/frontier/security/advisories/GHSA-hc8w-mx86-9fcj"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polkadot.subsquare.io/treasury/bounties/10" TargetMode="External"/><Relationship Id="rId2" Type="http://schemas.openxmlformats.org/officeDocument/2006/relationships/hyperlink" Target="https://polkadot.subsquare.io/treasury/bounties/11" TargetMode="External"/><Relationship Id="rId3" Type="http://schemas.openxmlformats.org/officeDocument/2006/relationships/hyperlink" Target="https://polkadot.subsquare.io/treasury/bounties/17" TargetMode="External"/><Relationship Id="rId4" Type="http://schemas.openxmlformats.org/officeDocument/2006/relationships/hyperlink" Target="https://polkadot.subsquare.io/treasury/bounties/19" TargetMode="External"/><Relationship Id="rId9" Type="http://schemas.openxmlformats.org/officeDocument/2006/relationships/hyperlink" Target="https://polkadot.subsquare.io/treasury/bounties/32" TargetMode="External"/><Relationship Id="rId5" Type="http://schemas.openxmlformats.org/officeDocument/2006/relationships/hyperlink" Target="https://polkadot.subsquare.io/treasury/bounties/22" TargetMode="External"/><Relationship Id="rId6" Type="http://schemas.openxmlformats.org/officeDocument/2006/relationships/hyperlink" Target="https://polkadot.subsquare.io/treasury/bounties/24" TargetMode="External"/><Relationship Id="rId7" Type="http://schemas.openxmlformats.org/officeDocument/2006/relationships/hyperlink" Target="https://polkadot.subsquare.io/treasury/bounties/27" TargetMode="External"/><Relationship Id="rId8" Type="http://schemas.openxmlformats.org/officeDocument/2006/relationships/hyperlink" Target="https://polkadot.subsquare.io/treasury/bounties/31" TargetMode="External"/><Relationship Id="rId20" Type="http://schemas.openxmlformats.org/officeDocument/2006/relationships/hyperlink" Target="https://polkadot.subsquare.io/treasury/bounties/49" TargetMode="External"/><Relationship Id="rId22" Type="http://schemas.openxmlformats.org/officeDocument/2006/relationships/hyperlink" Target="https://polkadot.subsquare.io/treasury/bounties/13" TargetMode="External"/><Relationship Id="rId21" Type="http://schemas.openxmlformats.org/officeDocument/2006/relationships/hyperlink" Target="https://polkadot.subsquare.io/treasury/bounties/50" TargetMode="External"/><Relationship Id="rId23" Type="http://schemas.openxmlformats.org/officeDocument/2006/relationships/drawing" Target="../drawings/drawing10.xml"/><Relationship Id="rId11" Type="http://schemas.openxmlformats.org/officeDocument/2006/relationships/hyperlink" Target="https://polkadot.subsquare.io/treasury/bounties/36" TargetMode="External"/><Relationship Id="rId10" Type="http://schemas.openxmlformats.org/officeDocument/2006/relationships/hyperlink" Target="https://polkadot.subsquare.io/treasury/bounties/33" TargetMode="External"/><Relationship Id="rId13" Type="http://schemas.openxmlformats.org/officeDocument/2006/relationships/hyperlink" Target="https://polkadot.subsquare.io/treasury/bounties/38" TargetMode="External"/><Relationship Id="rId12" Type="http://schemas.openxmlformats.org/officeDocument/2006/relationships/hyperlink" Target="https://polkadot.subsquare.io/treasury/bounties/37" TargetMode="External"/><Relationship Id="rId15" Type="http://schemas.openxmlformats.org/officeDocument/2006/relationships/hyperlink" Target="https://polkadot.subsquare.io/treasury/bounties/40" TargetMode="External"/><Relationship Id="rId14" Type="http://schemas.openxmlformats.org/officeDocument/2006/relationships/hyperlink" Target="https://polkadot.subsquare.io/treasury/bounties/39" TargetMode="External"/><Relationship Id="rId17" Type="http://schemas.openxmlformats.org/officeDocument/2006/relationships/hyperlink" Target="https://polkadot.subsquare.io/treasury/bounties/43" TargetMode="External"/><Relationship Id="rId16" Type="http://schemas.openxmlformats.org/officeDocument/2006/relationships/hyperlink" Target="https://polkadot.subsquare.io/treasury/bounties/42" TargetMode="External"/><Relationship Id="rId19" Type="http://schemas.openxmlformats.org/officeDocument/2006/relationships/hyperlink" Target="https://polkadot.subsquare.io/treasury/bounties/46" TargetMode="External"/><Relationship Id="rId18" Type="http://schemas.openxmlformats.org/officeDocument/2006/relationships/hyperlink" Target="https://polkadot.subsquare.io/treasury/bounties/44"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olkadot.subsquare.io/treasury/bounties/28"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9.xml"/><Relationship Id="rId2" Type="http://schemas.openxmlformats.org/officeDocument/2006/relationships/pivotTable" Target="../pivotTables/pivotTable20.xm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polkadot.subscan.io/extrinsic/21081600-0?event=21081600-70" TargetMode="External"/><Relationship Id="rId2" Type="http://schemas.openxmlformats.org/officeDocument/2006/relationships/hyperlink" Target="https://polkadot.subscan.io/block/21081600" TargetMode="External"/><Relationship Id="rId3" Type="http://schemas.openxmlformats.org/officeDocument/2006/relationships/hyperlink" Target="https://polkadot.subscan.io/extrinsic/20736000-0?event=20736000-87" TargetMode="External"/><Relationship Id="rId4" Type="http://schemas.openxmlformats.org/officeDocument/2006/relationships/hyperlink" Target="https://polkadot.subscan.io/block/20736000" TargetMode="External"/><Relationship Id="rId9" Type="http://schemas.openxmlformats.org/officeDocument/2006/relationships/hyperlink" Target="https://polkadot.subscan.io/extrinsic/19699200-0?event=19699200-180" TargetMode="External"/><Relationship Id="rId5" Type="http://schemas.openxmlformats.org/officeDocument/2006/relationships/hyperlink" Target="https://polkadot.subscan.io/extrinsic/20390400-0?event=20390400-85" TargetMode="External"/><Relationship Id="rId6" Type="http://schemas.openxmlformats.org/officeDocument/2006/relationships/hyperlink" Target="https://polkadot.subscan.io/block/20390400" TargetMode="External"/><Relationship Id="rId7" Type="http://schemas.openxmlformats.org/officeDocument/2006/relationships/hyperlink" Target="https://polkadot.subscan.io/extrinsic/20044800-0?event=20044800-84" TargetMode="External"/><Relationship Id="rId8" Type="http://schemas.openxmlformats.org/officeDocument/2006/relationships/hyperlink" Target="https://polkadot.subscan.io/block/20044800" TargetMode="External"/><Relationship Id="rId31" Type="http://schemas.openxmlformats.org/officeDocument/2006/relationships/hyperlink" Target="https://polkadot.subscan.io/extrinsic/15897600-0?event=15897600-20" TargetMode="External"/><Relationship Id="rId30" Type="http://schemas.openxmlformats.org/officeDocument/2006/relationships/hyperlink" Target="https://polkadot.subscan.io/block/16243200" TargetMode="External"/><Relationship Id="rId33" Type="http://schemas.openxmlformats.org/officeDocument/2006/relationships/drawing" Target="../drawings/drawing13.xml"/><Relationship Id="rId32" Type="http://schemas.openxmlformats.org/officeDocument/2006/relationships/hyperlink" Target="https://polkadot.subscan.io/block/15897600" TargetMode="External"/><Relationship Id="rId20" Type="http://schemas.openxmlformats.org/officeDocument/2006/relationships/hyperlink" Target="https://polkadot.subscan.io/block/17971200" TargetMode="External"/><Relationship Id="rId22" Type="http://schemas.openxmlformats.org/officeDocument/2006/relationships/hyperlink" Target="https://polkadot.subscan.io/block/17625600" TargetMode="External"/><Relationship Id="rId21" Type="http://schemas.openxmlformats.org/officeDocument/2006/relationships/hyperlink" Target="https://polkadot.subscan.io/extrinsic/17625600-0?event=17625600-34" TargetMode="External"/><Relationship Id="rId24" Type="http://schemas.openxmlformats.org/officeDocument/2006/relationships/hyperlink" Target="https://polkadot.subscan.io/block/17280000" TargetMode="External"/><Relationship Id="rId23" Type="http://schemas.openxmlformats.org/officeDocument/2006/relationships/hyperlink" Target="https://polkadot.subscan.io/extrinsic/17280000-0?event=17280000-24" TargetMode="External"/><Relationship Id="rId26" Type="http://schemas.openxmlformats.org/officeDocument/2006/relationships/hyperlink" Target="https://polkadot.subscan.io/block/16934400" TargetMode="External"/><Relationship Id="rId25" Type="http://schemas.openxmlformats.org/officeDocument/2006/relationships/hyperlink" Target="https://polkadot.subscan.io/extrinsic/16934400-0?event=16934400-105" TargetMode="External"/><Relationship Id="rId28" Type="http://schemas.openxmlformats.org/officeDocument/2006/relationships/hyperlink" Target="https://polkadot.subscan.io/block/16588800" TargetMode="External"/><Relationship Id="rId27" Type="http://schemas.openxmlformats.org/officeDocument/2006/relationships/hyperlink" Target="https://polkadot.subscan.io/extrinsic/16588800-0?event=16588800-100" TargetMode="External"/><Relationship Id="rId29" Type="http://schemas.openxmlformats.org/officeDocument/2006/relationships/hyperlink" Target="https://polkadot.subscan.io/extrinsic/16243200-0?event=16243200-22" TargetMode="External"/><Relationship Id="rId11" Type="http://schemas.openxmlformats.org/officeDocument/2006/relationships/hyperlink" Target="https://polkadot.subscan.io/extrinsic/19353600-0?event=19353600-56" TargetMode="External"/><Relationship Id="rId10" Type="http://schemas.openxmlformats.org/officeDocument/2006/relationships/hyperlink" Target="https://polkadot.subscan.io/block/19699200" TargetMode="External"/><Relationship Id="rId13" Type="http://schemas.openxmlformats.org/officeDocument/2006/relationships/hyperlink" Target="https://polkadot.subscan.io/extrinsic/19008000-0?event=19008000-71" TargetMode="External"/><Relationship Id="rId12" Type="http://schemas.openxmlformats.org/officeDocument/2006/relationships/hyperlink" Target="https://polkadot.subscan.io/block/19353600" TargetMode="External"/><Relationship Id="rId15" Type="http://schemas.openxmlformats.org/officeDocument/2006/relationships/hyperlink" Target="https://polkadot.subscan.io/extrinsic/18662400-0?event=18662400-105" TargetMode="External"/><Relationship Id="rId14" Type="http://schemas.openxmlformats.org/officeDocument/2006/relationships/hyperlink" Target="https://polkadot.subscan.io/block/19008000" TargetMode="External"/><Relationship Id="rId17" Type="http://schemas.openxmlformats.org/officeDocument/2006/relationships/hyperlink" Target="https://polkadot.subscan.io/extrinsic/18316800-0?event=18316800-68" TargetMode="External"/><Relationship Id="rId16" Type="http://schemas.openxmlformats.org/officeDocument/2006/relationships/hyperlink" Target="https://polkadot.subscan.io/block/18662400" TargetMode="External"/><Relationship Id="rId19" Type="http://schemas.openxmlformats.org/officeDocument/2006/relationships/hyperlink" Target="https://polkadot.subscan.io/extrinsic/17971200-0?event=17971200-114" TargetMode="External"/><Relationship Id="rId18" Type="http://schemas.openxmlformats.org/officeDocument/2006/relationships/hyperlink" Target="https://polkadot.subscan.io/block/1831680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paritytech/polkadot-api/pull/200" TargetMode="External"/><Relationship Id="rId2" Type="http://schemas.openxmlformats.org/officeDocument/2006/relationships/hyperlink" Target="http://datdot.org" TargetMode="External"/><Relationship Id="rId3"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5.43"/>
    <col customWidth="1" min="3" max="4" width="5.57"/>
    <col customWidth="1" min="5" max="5" width="6.57"/>
    <col customWidth="1" min="6" max="6" width="30.14"/>
    <col customWidth="1" min="7" max="7" width="14.86"/>
    <col customWidth="1" min="8" max="8" width="15.86"/>
    <col hidden="1" min="9" max="10" width="14.43"/>
    <col customWidth="1" min="11" max="12" width="5.29"/>
    <col customWidth="1" min="13" max="13" width="6.0"/>
    <col customWidth="1" min="14" max="14" width="4.57"/>
    <col customWidth="1" min="15" max="15" width="5.14"/>
    <col customWidth="1" min="16" max="16" width="20.57"/>
    <col customWidth="1" min="18" max="18" width="15.86"/>
  </cols>
  <sheetData>
    <row r="1">
      <c r="A1" s="1"/>
      <c r="B1" s="1"/>
      <c r="G1" s="2"/>
      <c r="H1" s="3"/>
      <c r="I1" s="1"/>
      <c r="J1" s="1"/>
    </row>
    <row r="2">
      <c r="A2" s="1"/>
      <c r="B2" s="1" t="s">
        <v>0</v>
      </c>
      <c r="G2" s="2"/>
      <c r="H2" s="4"/>
      <c r="I2" s="1" t="s">
        <v>1</v>
      </c>
      <c r="J2" s="1">
        <v>6.4</v>
      </c>
    </row>
    <row r="3">
      <c r="H3" s="3"/>
      <c r="Q3" s="5"/>
      <c r="R3" s="4"/>
    </row>
    <row r="4">
      <c r="A4" s="6"/>
      <c r="B4" s="6" t="s">
        <v>2</v>
      </c>
      <c r="G4" s="5" t="s">
        <v>3</v>
      </c>
      <c r="H4" s="4" t="s">
        <v>4</v>
      </c>
    </row>
    <row r="5">
      <c r="A5" s="1"/>
      <c r="B5" s="2" t="s">
        <v>5</v>
      </c>
      <c r="G5" s="7"/>
      <c r="H5" s="3"/>
      <c r="K5" s="6"/>
    </row>
    <row r="6">
      <c r="C6" s="2" t="s">
        <v>6</v>
      </c>
      <c r="G6" s="7"/>
      <c r="H6" s="3"/>
      <c r="K6" s="1"/>
    </row>
    <row r="7">
      <c r="D7" s="8" t="s">
        <v>7</v>
      </c>
      <c r="E7" s="2"/>
      <c r="F7" s="2"/>
      <c r="G7" s="5">
        <v>2.3071098E7</v>
      </c>
      <c r="H7" s="3">
        <f t="shared" ref="H7:H8" si="1">G7*$J$2</f>
        <v>147655027.2</v>
      </c>
    </row>
    <row r="8">
      <c r="D8" s="8" t="s">
        <v>8</v>
      </c>
      <c r="E8" s="2"/>
      <c r="F8" s="2"/>
      <c r="G8" s="5">
        <v>5000309.0</v>
      </c>
      <c r="H8" s="3">
        <f t="shared" si="1"/>
        <v>32001977.6</v>
      </c>
    </row>
    <row r="9">
      <c r="D9" s="2" t="s">
        <v>9</v>
      </c>
      <c r="E9" s="2"/>
      <c r="F9" s="2"/>
      <c r="G9" s="7">
        <f t="shared" ref="G9:G13" si="2">H9/$J$2</f>
        <v>592968.75</v>
      </c>
      <c r="H9" s="4">
        <v>3795000.0</v>
      </c>
    </row>
    <row r="10">
      <c r="D10" s="2" t="s">
        <v>10</v>
      </c>
      <c r="E10" s="2"/>
      <c r="F10" s="2"/>
      <c r="G10" s="7">
        <f t="shared" si="2"/>
        <v>584078.9063</v>
      </c>
      <c r="H10" s="4">
        <v>3738105.0</v>
      </c>
    </row>
    <row r="11">
      <c r="D11" s="2" t="s">
        <v>11</v>
      </c>
      <c r="E11" s="2"/>
      <c r="F11" s="2"/>
      <c r="G11" s="7">
        <f t="shared" si="2"/>
        <v>9140.625</v>
      </c>
      <c r="H11" s="4">
        <v>58500.0</v>
      </c>
      <c r="K11" s="6"/>
    </row>
    <row r="12">
      <c r="D12" s="2" t="s">
        <v>12</v>
      </c>
      <c r="E12" s="2"/>
      <c r="F12" s="2"/>
      <c r="G12" s="7">
        <f t="shared" si="2"/>
        <v>39437.5</v>
      </c>
      <c r="H12" s="4">
        <v>252400.0</v>
      </c>
    </row>
    <row r="13">
      <c r="D13" s="2" t="s">
        <v>13</v>
      </c>
      <c r="E13" s="2"/>
      <c r="F13" s="2"/>
      <c r="G13" s="7">
        <f t="shared" si="2"/>
        <v>39453.125</v>
      </c>
      <c r="H13" s="4">
        <v>252500.0</v>
      </c>
    </row>
    <row r="14">
      <c r="C14" s="2" t="s">
        <v>14</v>
      </c>
      <c r="G14" s="7"/>
      <c r="H14" s="3"/>
    </row>
    <row r="15">
      <c r="D15" s="2" t="s">
        <v>15</v>
      </c>
      <c r="E15" s="2"/>
      <c r="F15" s="2"/>
      <c r="G15" s="5">
        <v>1001533.0</v>
      </c>
      <c r="H15" s="3">
        <f>G15*$J$2</f>
        <v>6409811.2</v>
      </c>
    </row>
    <row r="16">
      <c r="C16" s="2" t="s">
        <v>16</v>
      </c>
      <c r="G16" s="7"/>
      <c r="H16" s="3"/>
    </row>
    <row r="17">
      <c r="D17" s="8" t="s">
        <v>17</v>
      </c>
      <c r="E17" s="2"/>
      <c r="F17" s="2"/>
      <c r="G17" s="7">
        <f>H17/$J$2</f>
        <v>285072.8125</v>
      </c>
      <c r="H17" s="4">
        <v>1824466.0</v>
      </c>
    </row>
    <row r="18">
      <c r="D18" s="8" t="s">
        <v>18</v>
      </c>
      <c r="E18" s="2"/>
      <c r="F18" s="2"/>
      <c r="G18" s="5">
        <v>2303808.0</v>
      </c>
      <c r="H18" s="3">
        <f t="shared" ref="H18:H21" si="3">G18*$J$2</f>
        <v>14744371.2</v>
      </c>
    </row>
    <row r="19">
      <c r="D19" s="8" t="s">
        <v>19</v>
      </c>
      <c r="E19" s="2"/>
      <c r="F19" s="2"/>
      <c r="G19" s="5">
        <v>203392.0</v>
      </c>
      <c r="H19" s="3">
        <f t="shared" si="3"/>
        <v>1301708.8</v>
      </c>
    </row>
    <row r="20">
      <c r="D20" s="2" t="s">
        <v>20</v>
      </c>
      <c r="E20" s="2"/>
      <c r="F20" s="2"/>
      <c r="G20" s="5">
        <v>1000000.0</v>
      </c>
      <c r="H20" s="3">
        <f t="shared" si="3"/>
        <v>6400000</v>
      </c>
      <c r="I20" s="1" t="s">
        <v>21</v>
      </c>
      <c r="J20" s="1">
        <v>0.3111</v>
      </c>
    </row>
    <row r="21">
      <c r="D21" s="2" t="s">
        <v>22</v>
      </c>
      <c r="E21" s="2"/>
      <c r="F21" s="2"/>
      <c r="G21" s="7">
        <f>Bounties!E25</f>
        <v>3555680</v>
      </c>
      <c r="H21" s="3">
        <f t="shared" si="3"/>
        <v>22756352</v>
      </c>
    </row>
    <row r="22">
      <c r="C22" s="1" t="s">
        <v>23</v>
      </c>
      <c r="G22" s="7"/>
      <c r="H22" s="3"/>
    </row>
    <row r="23">
      <c r="D23" s="1" t="s">
        <v>24</v>
      </c>
      <c r="E23" s="1"/>
      <c r="F23" s="1"/>
      <c r="G23" s="7">
        <f>500000*(1+J23*0.4)</f>
        <v>534480</v>
      </c>
      <c r="H23" s="3">
        <f t="shared" ref="H23:H24" si="4">G23*$J$2</f>
        <v>3420672</v>
      </c>
      <c r="I23" s="1" t="s">
        <v>25</v>
      </c>
      <c r="J23" s="9">
        <f>17.24%</f>
        <v>0.1724</v>
      </c>
    </row>
    <row r="24">
      <c r="D24" s="1" t="s">
        <v>26</v>
      </c>
      <c r="E24" s="1"/>
      <c r="F24" s="1"/>
      <c r="G24" s="5">
        <v>50000.0</v>
      </c>
      <c r="H24" s="3">
        <f t="shared" si="4"/>
        <v>320000</v>
      </c>
    </row>
    <row r="25">
      <c r="B25" s="10"/>
      <c r="C25" s="10"/>
      <c r="D25" s="10"/>
      <c r="E25" s="11" t="s">
        <v>27</v>
      </c>
      <c r="F25" s="11"/>
      <c r="G25" s="12">
        <f t="shared" ref="G25:H25" si="5">SUM(G7:G24)</f>
        <v>38270451.72</v>
      </c>
      <c r="H25" s="13">
        <f t="shared" si="5"/>
        <v>244930891</v>
      </c>
    </row>
    <row r="26">
      <c r="A26" s="14"/>
      <c r="B26" s="15"/>
      <c r="C26" s="16"/>
      <c r="D26" s="16"/>
      <c r="E26" s="16"/>
      <c r="F26" s="17" t="s">
        <v>28</v>
      </c>
      <c r="G26" s="18">
        <f t="shared" ref="G26:H26" si="6">G25</f>
        <v>38270451.72</v>
      </c>
      <c r="H26" s="19">
        <f t="shared" si="6"/>
        <v>244930891</v>
      </c>
    </row>
    <row r="27">
      <c r="B27" s="20"/>
      <c r="C27" s="20"/>
      <c r="D27" s="20"/>
      <c r="E27" s="20"/>
      <c r="F27" s="20"/>
      <c r="G27" s="21">
        <f t="shared" ref="G27:H27" si="7">G26</f>
        <v>38270451.72</v>
      </c>
      <c r="H27" s="22">
        <f t="shared" si="7"/>
        <v>244930891</v>
      </c>
    </row>
    <row r="28">
      <c r="B28" s="6"/>
      <c r="H28" s="3"/>
    </row>
    <row r="29">
      <c r="B29" s="6" t="s">
        <v>29</v>
      </c>
      <c r="G29" s="1" t="s">
        <v>3</v>
      </c>
      <c r="H29" s="4" t="s">
        <v>4</v>
      </c>
    </row>
    <row r="30">
      <c r="A30" s="6"/>
      <c r="B30" s="1" t="s">
        <v>30</v>
      </c>
      <c r="G30" s="7"/>
      <c r="H30" s="3"/>
    </row>
    <row r="31">
      <c r="A31" s="1"/>
      <c r="C31" s="1" t="s">
        <v>31</v>
      </c>
      <c r="G31" s="7"/>
      <c r="H31" s="3"/>
    </row>
    <row r="32">
      <c r="D32" s="1" t="s">
        <v>32</v>
      </c>
      <c r="E32" s="1"/>
      <c r="F32" s="1"/>
      <c r="G32" s="7">
        <f>H32/$J$2</f>
        <v>39062.5</v>
      </c>
      <c r="H32" s="4">
        <v>250000.0</v>
      </c>
    </row>
    <row r="33">
      <c r="B33" s="10"/>
      <c r="C33" s="10"/>
      <c r="D33" s="10"/>
      <c r="E33" s="11" t="s">
        <v>33</v>
      </c>
      <c r="F33" s="10"/>
      <c r="G33" s="12">
        <f t="shared" ref="G33:H33" si="8">G32</f>
        <v>39062.5</v>
      </c>
      <c r="H33" s="13">
        <f t="shared" si="8"/>
        <v>250000</v>
      </c>
    </row>
    <row r="34">
      <c r="B34" s="16"/>
      <c r="C34" s="16"/>
      <c r="D34" s="16"/>
      <c r="E34" s="16"/>
      <c r="F34" s="17" t="s">
        <v>34</v>
      </c>
      <c r="G34" s="18">
        <f t="shared" ref="G34:H34" si="9">G33</f>
        <v>39062.5</v>
      </c>
      <c r="H34" s="19">
        <f t="shared" si="9"/>
        <v>250000</v>
      </c>
    </row>
    <row r="35">
      <c r="B35" s="6" t="s">
        <v>35</v>
      </c>
      <c r="G35" s="7"/>
      <c r="H35" s="3"/>
    </row>
    <row r="36">
      <c r="A36" s="6"/>
      <c r="C36" s="1" t="s">
        <v>36</v>
      </c>
      <c r="G36" s="7">
        <f t="shared" ref="G36:H36" si="10">G27-G34</f>
        <v>38231389.22</v>
      </c>
      <c r="H36" s="3">
        <f t="shared" si="10"/>
        <v>244680891</v>
      </c>
    </row>
    <row r="37">
      <c r="B37" s="16"/>
      <c r="C37" s="16"/>
      <c r="D37" s="16"/>
      <c r="E37" s="16"/>
      <c r="F37" s="17" t="s">
        <v>37</v>
      </c>
      <c r="G37" s="18">
        <f t="shared" ref="G37:H37" si="11">G36</f>
        <v>38231389.22</v>
      </c>
      <c r="H37" s="19">
        <f t="shared" si="11"/>
        <v>244680891</v>
      </c>
    </row>
    <row r="38">
      <c r="B38" s="20"/>
      <c r="C38" s="20"/>
      <c r="D38" s="20"/>
      <c r="E38" s="20"/>
      <c r="F38" s="20"/>
      <c r="G38" s="21">
        <f t="shared" ref="G38:H38" si="12">G34+G37</f>
        <v>38270451.72</v>
      </c>
      <c r="H38" s="22">
        <f t="shared" si="12"/>
        <v>244930891</v>
      </c>
    </row>
    <row r="39">
      <c r="H39" s="3"/>
    </row>
    <row r="40">
      <c r="H40" s="3"/>
    </row>
    <row r="41">
      <c r="H41" s="3"/>
    </row>
    <row r="42">
      <c r="H42" s="3"/>
    </row>
    <row r="43">
      <c r="H43" s="3"/>
    </row>
    <row r="44">
      <c r="H44" s="3"/>
    </row>
    <row r="45">
      <c r="H45" s="3"/>
    </row>
    <row r="46">
      <c r="H46" s="3"/>
    </row>
    <row r="47">
      <c r="H47" s="3"/>
    </row>
    <row r="48">
      <c r="H48" s="3"/>
    </row>
    <row r="49">
      <c r="H49" s="3"/>
    </row>
    <row r="50">
      <c r="H50" s="3"/>
    </row>
    <row r="51">
      <c r="H51" s="3"/>
    </row>
    <row r="52">
      <c r="H52" s="3"/>
    </row>
    <row r="53">
      <c r="H53" s="3"/>
    </row>
    <row r="54">
      <c r="H54" s="3"/>
    </row>
    <row r="55">
      <c r="H55" s="3"/>
    </row>
    <row r="56">
      <c r="G56" s="7"/>
      <c r="H56" s="3"/>
    </row>
    <row r="57">
      <c r="G57" s="7"/>
      <c r="H57" s="3"/>
    </row>
    <row r="58">
      <c r="G58" s="7"/>
      <c r="H58" s="3"/>
    </row>
    <row r="59">
      <c r="G59" s="7"/>
      <c r="H59" s="3"/>
    </row>
    <row r="60">
      <c r="G60" s="7"/>
      <c r="H60" s="3"/>
    </row>
    <row r="61">
      <c r="G61" s="7"/>
      <c r="H61" s="3"/>
    </row>
    <row r="62">
      <c r="G62" s="7"/>
      <c r="H62" s="3"/>
    </row>
    <row r="63">
      <c r="G63" s="7"/>
      <c r="H63" s="3"/>
    </row>
    <row r="64">
      <c r="G64" s="7"/>
      <c r="H64" s="3"/>
    </row>
    <row r="65">
      <c r="G65" s="7"/>
      <c r="H65" s="3"/>
    </row>
    <row r="66">
      <c r="G66" s="7"/>
      <c r="H66" s="3"/>
    </row>
    <row r="67">
      <c r="G67" s="7"/>
      <c r="H67" s="3"/>
    </row>
    <row r="68">
      <c r="G68" s="7"/>
      <c r="H68" s="3"/>
    </row>
    <row r="69">
      <c r="G69" s="7"/>
      <c r="H69" s="3"/>
    </row>
    <row r="70">
      <c r="G70" s="7"/>
      <c r="H70" s="3"/>
    </row>
    <row r="71">
      <c r="G71" s="7"/>
      <c r="H71" s="3"/>
    </row>
    <row r="72">
      <c r="G72" s="7"/>
      <c r="H72" s="3"/>
    </row>
    <row r="73">
      <c r="G73" s="7"/>
      <c r="H73" s="3"/>
    </row>
    <row r="74">
      <c r="G74" s="7"/>
      <c r="H74" s="3"/>
    </row>
    <row r="75">
      <c r="G75" s="7"/>
      <c r="H75" s="3"/>
    </row>
    <row r="76">
      <c r="G76" s="7"/>
      <c r="H76" s="3"/>
    </row>
    <row r="77">
      <c r="G77" s="7"/>
      <c r="H77" s="3"/>
    </row>
    <row r="78">
      <c r="G78" s="7"/>
      <c r="H78" s="3"/>
    </row>
    <row r="79">
      <c r="G79" s="7"/>
      <c r="H79" s="3"/>
    </row>
    <row r="80">
      <c r="G80" s="7"/>
      <c r="H80" s="3"/>
    </row>
    <row r="81">
      <c r="G81" s="7"/>
      <c r="H81" s="3"/>
    </row>
    <row r="82">
      <c r="G82" s="7"/>
      <c r="H82" s="3"/>
    </row>
    <row r="83">
      <c r="G83" s="7"/>
      <c r="H83" s="3"/>
    </row>
    <row r="84">
      <c r="G84" s="7"/>
      <c r="H84" s="3"/>
    </row>
    <row r="85">
      <c r="G85" s="7"/>
      <c r="H85" s="3"/>
    </row>
    <row r="86">
      <c r="G86" s="7"/>
      <c r="H86" s="3"/>
    </row>
    <row r="87">
      <c r="G87" s="7"/>
      <c r="H87" s="3"/>
    </row>
    <row r="88">
      <c r="G88" s="7"/>
      <c r="H88" s="3"/>
    </row>
    <row r="89">
      <c r="G89" s="7"/>
      <c r="H89" s="3"/>
    </row>
    <row r="90">
      <c r="G90" s="7"/>
      <c r="H90" s="3"/>
    </row>
    <row r="91">
      <c r="G91" s="7"/>
      <c r="H91" s="3"/>
    </row>
    <row r="92">
      <c r="G92" s="7"/>
      <c r="H92" s="3"/>
    </row>
    <row r="93">
      <c r="G93" s="7"/>
      <c r="H93" s="3"/>
    </row>
    <row r="94">
      <c r="G94" s="7"/>
      <c r="H94" s="3"/>
    </row>
    <row r="95">
      <c r="G95" s="7"/>
      <c r="H95" s="3"/>
    </row>
    <row r="96">
      <c r="G96" s="7"/>
      <c r="H96" s="3"/>
    </row>
    <row r="97">
      <c r="G97" s="7"/>
      <c r="H97" s="3"/>
    </row>
    <row r="98">
      <c r="G98" s="7"/>
      <c r="H98" s="3"/>
    </row>
    <row r="99">
      <c r="G99" s="7"/>
      <c r="H99" s="3"/>
    </row>
    <row r="100">
      <c r="G100" s="7"/>
      <c r="H100" s="3"/>
    </row>
    <row r="101">
      <c r="G101" s="7"/>
      <c r="H101" s="3"/>
    </row>
    <row r="102">
      <c r="G102" s="7"/>
      <c r="H102" s="3"/>
    </row>
    <row r="103">
      <c r="G103" s="7"/>
      <c r="H103" s="3"/>
    </row>
    <row r="104">
      <c r="G104" s="7"/>
      <c r="H104" s="3"/>
    </row>
    <row r="105">
      <c r="G105" s="7"/>
      <c r="H105" s="3"/>
    </row>
    <row r="106">
      <c r="G106" s="7"/>
      <c r="H106" s="3"/>
    </row>
    <row r="107">
      <c r="G107" s="7"/>
      <c r="H107" s="3"/>
    </row>
    <row r="108">
      <c r="G108" s="7"/>
      <c r="H108" s="3"/>
    </row>
    <row r="109">
      <c r="G109" s="7"/>
      <c r="H109" s="3"/>
    </row>
    <row r="110">
      <c r="G110" s="7"/>
      <c r="H110" s="3"/>
    </row>
    <row r="111">
      <c r="G111" s="7"/>
      <c r="H111" s="3"/>
    </row>
    <row r="112">
      <c r="G112" s="7"/>
      <c r="H112" s="3"/>
    </row>
    <row r="113">
      <c r="G113" s="7"/>
      <c r="H113" s="3"/>
    </row>
    <row r="114">
      <c r="G114" s="7"/>
      <c r="H114" s="3"/>
    </row>
    <row r="115">
      <c r="G115" s="7"/>
      <c r="H115" s="3"/>
    </row>
    <row r="116">
      <c r="G116" s="7"/>
      <c r="H116" s="3"/>
    </row>
    <row r="117">
      <c r="G117" s="7"/>
      <c r="H117" s="3"/>
    </row>
    <row r="118">
      <c r="G118" s="7"/>
      <c r="H118" s="3"/>
    </row>
    <row r="119">
      <c r="G119" s="7"/>
      <c r="H119" s="3"/>
    </row>
    <row r="120">
      <c r="G120" s="7"/>
      <c r="H120" s="3"/>
    </row>
    <row r="121">
      <c r="G121" s="7"/>
      <c r="H121" s="3"/>
    </row>
    <row r="122">
      <c r="G122" s="7"/>
      <c r="H122" s="3"/>
    </row>
    <row r="123">
      <c r="G123" s="7"/>
      <c r="H123" s="3"/>
    </row>
    <row r="124">
      <c r="G124" s="7"/>
      <c r="H124" s="3"/>
    </row>
    <row r="125">
      <c r="G125" s="7"/>
      <c r="H125" s="3"/>
    </row>
    <row r="126">
      <c r="G126" s="7"/>
      <c r="H126" s="3"/>
    </row>
    <row r="127">
      <c r="G127" s="7"/>
      <c r="H127" s="3"/>
    </row>
    <row r="128">
      <c r="G128" s="7"/>
      <c r="H128" s="3"/>
    </row>
    <row r="129">
      <c r="G129" s="7"/>
      <c r="H129" s="3"/>
    </row>
    <row r="130">
      <c r="G130" s="7"/>
      <c r="H130" s="3"/>
    </row>
    <row r="131">
      <c r="G131" s="7"/>
      <c r="H131" s="3"/>
    </row>
    <row r="132">
      <c r="G132" s="7"/>
      <c r="H132" s="3"/>
    </row>
    <row r="133">
      <c r="G133" s="7"/>
      <c r="H133" s="3"/>
    </row>
    <row r="134">
      <c r="G134" s="7"/>
      <c r="H134" s="3"/>
    </row>
    <row r="135">
      <c r="G135" s="7"/>
      <c r="H135" s="3"/>
    </row>
    <row r="136">
      <c r="G136" s="7"/>
      <c r="H136" s="3"/>
    </row>
    <row r="137">
      <c r="G137" s="7"/>
      <c r="H137" s="3"/>
    </row>
    <row r="138">
      <c r="G138" s="7"/>
      <c r="H138" s="3"/>
    </row>
    <row r="139">
      <c r="G139" s="7"/>
      <c r="H139" s="3"/>
    </row>
    <row r="140">
      <c r="G140" s="7"/>
      <c r="H140" s="3"/>
    </row>
    <row r="141">
      <c r="G141" s="7"/>
      <c r="H141" s="3"/>
    </row>
    <row r="142">
      <c r="G142" s="7"/>
      <c r="H142" s="3"/>
    </row>
    <row r="143">
      <c r="G143" s="7"/>
      <c r="H143" s="3"/>
    </row>
    <row r="144">
      <c r="G144" s="7"/>
      <c r="H144" s="3"/>
    </row>
    <row r="145">
      <c r="G145" s="7"/>
      <c r="H145" s="3"/>
    </row>
    <row r="146">
      <c r="G146" s="7"/>
      <c r="H146" s="3"/>
    </row>
    <row r="147">
      <c r="G147" s="7"/>
      <c r="H147" s="3"/>
    </row>
    <row r="148">
      <c r="G148" s="7"/>
      <c r="H148" s="3"/>
    </row>
    <row r="149">
      <c r="G149" s="7"/>
      <c r="H149" s="3"/>
    </row>
    <row r="150">
      <c r="G150" s="7"/>
      <c r="H150" s="3"/>
    </row>
    <row r="151">
      <c r="G151" s="7"/>
      <c r="H151" s="3"/>
    </row>
    <row r="152">
      <c r="G152" s="7"/>
      <c r="H152" s="3"/>
    </row>
    <row r="153">
      <c r="G153" s="7"/>
      <c r="H153" s="3"/>
    </row>
    <row r="154">
      <c r="G154" s="7"/>
      <c r="H154" s="3"/>
    </row>
    <row r="155">
      <c r="G155" s="7"/>
      <c r="H155" s="3"/>
    </row>
    <row r="156">
      <c r="G156" s="7"/>
      <c r="H156" s="3"/>
    </row>
    <row r="157">
      <c r="G157" s="7"/>
      <c r="H157" s="3"/>
    </row>
    <row r="158">
      <c r="G158" s="7"/>
      <c r="H158" s="3"/>
    </row>
    <row r="159">
      <c r="G159" s="7"/>
      <c r="H159" s="3"/>
    </row>
    <row r="160">
      <c r="G160" s="7"/>
      <c r="H160" s="3"/>
    </row>
    <row r="161">
      <c r="G161" s="7"/>
      <c r="H161" s="3"/>
    </row>
    <row r="162">
      <c r="G162" s="7"/>
      <c r="H162" s="3"/>
    </row>
    <row r="163">
      <c r="G163" s="7"/>
      <c r="H163" s="3"/>
    </row>
    <row r="164">
      <c r="G164" s="7"/>
      <c r="H164" s="3"/>
    </row>
    <row r="165">
      <c r="G165" s="7"/>
      <c r="H165" s="3"/>
    </row>
    <row r="166">
      <c r="G166" s="7"/>
      <c r="H166" s="3"/>
    </row>
    <row r="167">
      <c r="G167" s="7"/>
      <c r="H167" s="3"/>
    </row>
    <row r="168">
      <c r="G168" s="7"/>
      <c r="H168" s="3"/>
    </row>
    <row r="169">
      <c r="G169" s="7"/>
      <c r="H169" s="3"/>
    </row>
    <row r="170">
      <c r="G170" s="7"/>
      <c r="H170" s="3"/>
    </row>
    <row r="171">
      <c r="G171" s="7"/>
      <c r="H171" s="3"/>
    </row>
    <row r="172">
      <c r="G172" s="7"/>
      <c r="H172" s="3"/>
    </row>
    <row r="173">
      <c r="G173" s="7"/>
      <c r="H173" s="3"/>
    </row>
    <row r="174">
      <c r="G174" s="7"/>
      <c r="H174" s="3"/>
    </row>
    <row r="175">
      <c r="G175" s="7"/>
      <c r="H175" s="3"/>
    </row>
    <row r="176">
      <c r="G176" s="7"/>
      <c r="H176" s="3"/>
    </row>
    <row r="177">
      <c r="G177" s="7"/>
      <c r="H177" s="3"/>
    </row>
    <row r="178">
      <c r="G178" s="7"/>
      <c r="H178" s="3"/>
    </row>
    <row r="179">
      <c r="G179" s="7"/>
      <c r="H179" s="3"/>
    </row>
    <row r="180">
      <c r="G180" s="7"/>
      <c r="H180" s="3"/>
    </row>
    <row r="181">
      <c r="G181" s="7"/>
      <c r="H181" s="3"/>
    </row>
    <row r="182">
      <c r="G182" s="7"/>
      <c r="H182" s="3"/>
    </row>
    <row r="183">
      <c r="G183" s="7"/>
      <c r="H183" s="3"/>
    </row>
    <row r="184">
      <c r="G184" s="7"/>
      <c r="H184" s="3"/>
    </row>
    <row r="185">
      <c r="G185" s="7"/>
      <c r="H185" s="3"/>
    </row>
    <row r="186">
      <c r="G186" s="7"/>
      <c r="H186" s="3"/>
    </row>
    <row r="187">
      <c r="G187" s="7"/>
      <c r="H187" s="3"/>
    </row>
    <row r="188">
      <c r="G188" s="7"/>
      <c r="H188" s="3"/>
    </row>
    <row r="189">
      <c r="G189" s="7"/>
      <c r="H189" s="3"/>
    </row>
    <row r="190">
      <c r="G190" s="7"/>
      <c r="H190" s="3"/>
    </row>
    <row r="191">
      <c r="G191" s="7"/>
      <c r="H191" s="3"/>
    </row>
    <row r="192">
      <c r="G192" s="7"/>
      <c r="H192" s="3"/>
    </row>
    <row r="193">
      <c r="G193" s="7"/>
      <c r="H193" s="3"/>
    </row>
    <row r="194">
      <c r="G194" s="7"/>
      <c r="H194" s="3"/>
    </row>
    <row r="195">
      <c r="G195" s="7"/>
      <c r="H195" s="3"/>
    </row>
    <row r="196">
      <c r="G196" s="7"/>
      <c r="H196" s="3"/>
    </row>
    <row r="197">
      <c r="G197" s="7"/>
      <c r="H197" s="3"/>
    </row>
    <row r="198">
      <c r="G198" s="7"/>
      <c r="H198" s="3"/>
    </row>
    <row r="199">
      <c r="G199" s="7"/>
      <c r="H199" s="3"/>
    </row>
    <row r="200">
      <c r="G200" s="7"/>
      <c r="H200" s="3"/>
    </row>
    <row r="201">
      <c r="G201" s="7"/>
      <c r="H201" s="3"/>
    </row>
    <row r="202">
      <c r="G202" s="7"/>
      <c r="H202" s="3"/>
    </row>
    <row r="203">
      <c r="G203" s="7"/>
      <c r="H203" s="3"/>
    </row>
    <row r="204">
      <c r="G204" s="7"/>
      <c r="H204" s="3"/>
    </row>
    <row r="205">
      <c r="G205" s="7"/>
      <c r="H205" s="3"/>
    </row>
    <row r="206">
      <c r="G206" s="7"/>
      <c r="H206" s="3"/>
    </row>
    <row r="207">
      <c r="G207" s="7"/>
      <c r="H207" s="3"/>
    </row>
    <row r="208">
      <c r="G208" s="7"/>
      <c r="H208" s="3"/>
    </row>
    <row r="209">
      <c r="G209" s="7"/>
      <c r="H209" s="3"/>
    </row>
    <row r="210">
      <c r="G210" s="7"/>
      <c r="H210" s="3"/>
    </row>
    <row r="211">
      <c r="G211" s="7"/>
      <c r="H211" s="3"/>
    </row>
    <row r="212">
      <c r="G212" s="7"/>
      <c r="H212" s="3"/>
    </row>
    <row r="213">
      <c r="G213" s="7"/>
      <c r="H213" s="3"/>
    </row>
    <row r="214">
      <c r="G214" s="7"/>
      <c r="H214" s="3"/>
    </row>
    <row r="215">
      <c r="G215" s="7"/>
      <c r="H215" s="3"/>
    </row>
    <row r="216">
      <c r="G216" s="7"/>
      <c r="H216" s="3"/>
    </row>
    <row r="217">
      <c r="G217" s="7"/>
      <c r="H217" s="3"/>
    </row>
    <row r="218">
      <c r="G218" s="7"/>
      <c r="H218" s="3"/>
    </row>
    <row r="219">
      <c r="G219" s="7"/>
      <c r="H219" s="3"/>
    </row>
    <row r="220">
      <c r="G220" s="7"/>
      <c r="H220" s="3"/>
    </row>
    <row r="221">
      <c r="G221" s="7"/>
      <c r="H221" s="3"/>
    </row>
    <row r="222">
      <c r="G222" s="7"/>
      <c r="H222" s="3"/>
    </row>
    <row r="223">
      <c r="G223" s="7"/>
      <c r="H223" s="3"/>
    </row>
    <row r="224">
      <c r="G224" s="7"/>
      <c r="H224" s="3"/>
    </row>
    <row r="225">
      <c r="G225" s="7"/>
      <c r="H225" s="3"/>
    </row>
    <row r="226">
      <c r="G226" s="7"/>
      <c r="H226" s="3"/>
    </row>
    <row r="227">
      <c r="G227" s="7"/>
      <c r="H227" s="3"/>
    </row>
    <row r="228">
      <c r="G228" s="7"/>
      <c r="H228" s="3"/>
    </row>
    <row r="229">
      <c r="G229" s="7"/>
      <c r="H229" s="3"/>
    </row>
    <row r="230">
      <c r="G230" s="7"/>
      <c r="H230" s="3"/>
    </row>
    <row r="231">
      <c r="G231" s="7"/>
      <c r="H231" s="3"/>
    </row>
    <row r="232">
      <c r="G232" s="7"/>
      <c r="H232" s="3"/>
    </row>
    <row r="233">
      <c r="G233" s="7"/>
      <c r="H233" s="3"/>
    </row>
    <row r="234">
      <c r="G234" s="7"/>
      <c r="H234" s="3"/>
    </row>
    <row r="235">
      <c r="G235" s="7"/>
      <c r="H235" s="3"/>
    </row>
    <row r="236">
      <c r="G236" s="7"/>
      <c r="H236" s="3"/>
    </row>
    <row r="237">
      <c r="G237" s="7"/>
      <c r="H237" s="3"/>
    </row>
    <row r="238">
      <c r="G238" s="7"/>
      <c r="H238" s="3"/>
    </row>
    <row r="239">
      <c r="G239" s="7"/>
      <c r="H239" s="3"/>
    </row>
    <row r="240">
      <c r="G240" s="7"/>
      <c r="H240" s="3"/>
    </row>
    <row r="241">
      <c r="G241" s="7"/>
      <c r="H241" s="3"/>
    </row>
    <row r="242">
      <c r="G242" s="7"/>
      <c r="H242" s="3"/>
    </row>
    <row r="243">
      <c r="G243" s="7"/>
      <c r="H243" s="3"/>
    </row>
    <row r="244">
      <c r="G244" s="7"/>
      <c r="H244" s="3"/>
    </row>
    <row r="245">
      <c r="G245" s="7"/>
      <c r="H245" s="3"/>
    </row>
    <row r="246">
      <c r="G246" s="7"/>
      <c r="H246" s="3"/>
    </row>
    <row r="247">
      <c r="G247" s="7"/>
      <c r="H247" s="3"/>
    </row>
    <row r="248">
      <c r="G248" s="7"/>
      <c r="H248" s="3"/>
    </row>
    <row r="249">
      <c r="G249" s="7"/>
      <c r="H249" s="3"/>
    </row>
    <row r="250">
      <c r="G250" s="7"/>
      <c r="H250" s="3"/>
    </row>
    <row r="251">
      <c r="G251" s="7"/>
      <c r="H251" s="3"/>
    </row>
    <row r="252">
      <c r="G252" s="7"/>
      <c r="H252" s="3"/>
    </row>
    <row r="253">
      <c r="G253" s="7"/>
      <c r="H253" s="3"/>
    </row>
    <row r="254">
      <c r="G254" s="7"/>
      <c r="H254" s="3"/>
    </row>
    <row r="255">
      <c r="G255" s="7"/>
      <c r="H255" s="3"/>
    </row>
    <row r="256">
      <c r="G256" s="7"/>
      <c r="H256" s="3"/>
    </row>
    <row r="257">
      <c r="G257" s="7"/>
      <c r="H257" s="3"/>
    </row>
    <row r="258">
      <c r="G258" s="7"/>
      <c r="H258" s="3"/>
    </row>
    <row r="259">
      <c r="G259" s="7"/>
      <c r="H259" s="3"/>
    </row>
    <row r="260">
      <c r="G260" s="7"/>
      <c r="H260" s="3"/>
    </row>
    <row r="261">
      <c r="G261" s="7"/>
      <c r="H261" s="3"/>
    </row>
    <row r="262">
      <c r="G262" s="7"/>
      <c r="H262" s="3"/>
    </row>
    <row r="263">
      <c r="G263" s="7"/>
      <c r="H263" s="3"/>
    </row>
    <row r="264">
      <c r="G264" s="7"/>
      <c r="H264" s="3"/>
    </row>
    <row r="265">
      <c r="G265" s="7"/>
      <c r="H265" s="3"/>
    </row>
    <row r="266">
      <c r="G266" s="7"/>
      <c r="H266" s="3"/>
    </row>
    <row r="267">
      <c r="G267" s="7"/>
      <c r="H267" s="3"/>
    </row>
    <row r="268">
      <c r="G268" s="7"/>
      <c r="H268" s="3"/>
    </row>
    <row r="269">
      <c r="G269" s="7"/>
      <c r="H269" s="3"/>
    </row>
    <row r="270">
      <c r="G270" s="7"/>
      <c r="H270" s="3"/>
    </row>
    <row r="271">
      <c r="G271" s="7"/>
      <c r="H271" s="3"/>
    </row>
    <row r="272">
      <c r="G272" s="7"/>
      <c r="H272" s="3"/>
    </row>
    <row r="273">
      <c r="G273" s="7"/>
      <c r="H273" s="3"/>
    </row>
    <row r="274">
      <c r="G274" s="7"/>
      <c r="H274" s="3"/>
    </row>
    <row r="275">
      <c r="G275" s="7"/>
      <c r="H275" s="3"/>
    </row>
    <row r="276">
      <c r="G276" s="7"/>
      <c r="H276" s="3"/>
    </row>
    <row r="277">
      <c r="G277" s="7"/>
      <c r="H277" s="3"/>
    </row>
    <row r="278">
      <c r="G278" s="7"/>
      <c r="H278" s="3"/>
    </row>
    <row r="279">
      <c r="G279" s="7"/>
      <c r="H279" s="3"/>
    </row>
    <row r="280">
      <c r="G280" s="7"/>
      <c r="H280" s="3"/>
    </row>
    <row r="281">
      <c r="G281" s="7"/>
      <c r="H281" s="3"/>
    </row>
    <row r="282">
      <c r="G282" s="7"/>
      <c r="H282" s="3"/>
    </row>
    <row r="283">
      <c r="G283" s="7"/>
      <c r="H283" s="3"/>
    </row>
    <row r="284">
      <c r="G284" s="7"/>
      <c r="H284" s="3"/>
    </row>
    <row r="285">
      <c r="G285" s="7"/>
      <c r="H285" s="3"/>
    </row>
    <row r="286">
      <c r="G286" s="7"/>
      <c r="H286" s="3"/>
    </row>
    <row r="287">
      <c r="G287" s="7"/>
      <c r="H287" s="3"/>
    </row>
    <row r="288">
      <c r="G288" s="7"/>
      <c r="H288" s="3"/>
    </row>
    <row r="289">
      <c r="G289" s="7"/>
      <c r="H289" s="3"/>
    </row>
    <row r="290">
      <c r="G290" s="7"/>
      <c r="H290" s="3"/>
    </row>
    <row r="291">
      <c r="G291" s="7"/>
      <c r="H291" s="3"/>
    </row>
    <row r="292">
      <c r="G292" s="7"/>
      <c r="H292" s="3"/>
    </row>
    <row r="293">
      <c r="G293" s="7"/>
      <c r="H293" s="3"/>
    </row>
    <row r="294">
      <c r="G294" s="7"/>
      <c r="H294" s="3"/>
    </row>
    <row r="295">
      <c r="G295" s="7"/>
      <c r="H295" s="3"/>
    </row>
    <row r="296">
      <c r="G296" s="7"/>
      <c r="H296" s="3"/>
    </row>
    <row r="297">
      <c r="G297" s="7"/>
      <c r="H297" s="3"/>
    </row>
    <row r="298">
      <c r="G298" s="7"/>
      <c r="H298" s="3"/>
    </row>
    <row r="299">
      <c r="G299" s="7"/>
      <c r="H299" s="3"/>
    </row>
    <row r="300">
      <c r="G300" s="7"/>
      <c r="H300" s="3"/>
    </row>
    <row r="301">
      <c r="G301" s="7"/>
      <c r="H301" s="3"/>
    </row>
    <row r="302">
      <c r="G302" s="7"/>
      <c r="H302" s="3"/>
    </row>
    <row r="303">
      <c r="G303" s="7"/>
      <c r="H303" s="3"/>
    </row>
    <row r="304">
      <c r="G304" s="7"/>
      <c r="H304" s="3"/>
    </row>
    <row r="305">
      <c r="G305" s="7"/>
      <c r="H305" s="3"/>
    </row>
    <row r="306">
      <c r="G306" s="7"/>
      <c r="H306" s="3"/>
    </row>
    <row r="307">
      <c r="G307" s="7"/>
      <c r="H307" s="3"/>
    </row>
    <row r="308">
      <c r="G308" s="7"/>
      <c r="H308" s="3"/>
    </row>
    <row r="309">
      <c r="G309" s="7"/>
      <c r="H309" s="3"/>
    </row>
    <row r="310">
      <c r="G310" s="7"/>
      <c r="H310" s="3"/>
    </row>
    <row r="311">
      <c r="G311" s="7"/>
      <c r="H311" s="3"/>
    </row>
    <row r="312">
      <c r="G312" s="7"/>
      <c r="H312" s="3"/>
    </row>
    <row r="313">
      <c r="G313" s="7"/>
      <c r="H313" s="3"/>
    </row>
    <row r="314">
      <c r="G314" s="7"/>
      <c r="H314" s="3"/>
    </row>
    <row r="315">
      <c r="G315" s="7"/>
      <c r="H315" s="3"/>
    </row>
    <row r="316">
      <c r="G316" s="7"/>
      <c r="H316" s="3"/>
    </row>
    <row r="317">
      <c r="G317" s="7"/>
      <c r="H317" s="3"/>
    </row>
    <row r="318">
      <c r="G318" s="7"/>
      <c r="H318" s="3"/>
    </row>
    <row r="319">
      <c r="G319" s="7"/>
      <c r="H319" s="3"/>
    </row>
    <row r="320">
      <c r="G320" s="7"/>
      <c r="H320" s="3"/>
    </row>
    <row r="321">
      <c r="G321" s="7"/>
      <c r="H321" s="3"/>
    </row>
    <row r="322">
      <c r="G322" s="7"/>
      <c r="H322" s="3"/>
    </row>
    <row r="323">
      <c r="G323" s="7"/>
      <c r="H323" s="3"/>
    </row>
    <row r="324">
      <c r="G324" s="7"/>
      <c r="H324" s="3"/>
    </row>
    <row r="325">
      <c r="G325" s="7"/>
      <c r="H325" s="3"/>
    </row>
    <row r="326">
      <c r="G326" s="7"/>
      <c r="H326" s="3"/>
    </row>
    <row r="327">
      <c r="G327" s="7"/>
      <c r="H327" s="3"/>
    </row>
    <row r="328">
      <c r="G328" s="7"/>
      <c r="H328" s="3"/>
    </row>
    <row r="329">
      <c r="G329" s="7"/>
      <c r="H329" s="3"/>
    </row>
    <row r="330">
      <c r="G330" s="7"/>
      <c r="H330" s="3"/>
    </row>
    <row r="331">
      <c r="G331" s="7"/>
      <c r="H331" s="3"/>
    </row>
    <row r="332">
      <c r="G332" s="7"/>
      <c r="H332" s="3"/>
    </row>
    <row r="333">
      <c r="G333" s="7"/>
      <c r="H333" s="3"/>
    </row>
    <row r="334">
      <c r="G334" s="7"/>
      <c r="H334" s="3"/>
    </row>
    <row r="335">
      <c r="G335" s="7"/>
      <c r="H335" s="3"/>
    </row>
    <row r="336">
      <c r="G336" s="7"/>
      <c r="H336" s="3"/>
    </row>
    <row r="337">
      <c r="G337" s="7"/>
      <c r="H337" s="3"/>
    </row>
    <row r="338">
      <c r="G338" s="7"/>
      <c r="H338" s="3"/>
    </row>
    <row r="339">
      <c r="G339" s="7"/>
      <c r="H339" s="3"/>
    </row>
    <row r="340">
      <c r="G340" s="7"/>
      <c r="H340" s="3"/>
    </row>
    <row r="341">
      <c r="G341" s="7"/>
      <c r="H341" s="3"/>
    </row>
    <row r="342">
      <c r="G342" s="7"/>
      <c r="H342" s="3"/>
    </row>
    <row r="343">
      <c r="G343" s="7"/>
      <c r="H343" s="3"/>
    </row>
    <row r="344">
      <c r="G344" s="7"/>
      <c r="H344" s="3"/>
    </row>
    <row r="345">
      <c r="G345" s="7"/>
      <c r="H345" s="3"/>
    </row>
    <row r="346">
      <c r="G346" s="7"/>
      <c r="H346" s="3"/>
    </row>
    <row r="347">
      <c r="G347" s="7"/>
      <c r="H347" s="3"/>
    </row>
    <row r="348">
      <c r="G348" s="7"/>
      <c r="H348" s="3"/>
    </row>
    <row r="349">
      <c r="G349" s="7"/>
      <c r="H349" s="3"/>
    </row>
    <row r="350">
      <c r="G350" s="7"/>
      <c r="H350" s="3"/>
    </row>
    <row r="351">
      <c r="G351" s="7"/>
      <c r="H351" s="3"/>
    </row>
    <row r="352">
      <c r="G352" s="7"/>
      <c r="H352" s="3"/>
    </row>
    <row r="353">
      <c r="G353" s="7"/>
      <c r="H353" s="3"/>
    </row>
    <row r="354">
      <c r="G354" s="7"/>
      <c r="H354" s="3"/>
    </row>
    <row r="355">
      <c r="G355" s="7"/>
      <c r="H355" s="3"/>
    </row>
    <row r="356">
      <c r="G356" s="7"/>
      <c r="H356" s="3"/>
    </row>
    <row r="357">
      <c r="G357" s="7"/>
      <c r="H357" s="3"/>
    </row>
    <row r="358">
      <c r="G358" s="7"/>
      <c r="H358" s="3"/>
    </row>
    <row r="359">
      <c r="G359" s="7"/>
      <c r="H359" s="3"/>
    </row>
    <row r="360">
      <c r="G360" s="7"/>
      <c r="H360" s="3"/>
    </row>
    <row r="361">
      <c r="G361" s="7"/>
      <c r="H361" s="3"/>
    </row>
    <row r="362">
      <c r="G362" s="7"/>
      <c r="H362" s="3"/>
    </row>
    <row r="363">
      <c r="G363" s="7"/>
      <c r="H363" s="3"/>
    </row>
    <row r="364">
      <c r="G364" s="7"/>
      <c r="H364" s="3"/>
    </row>
    <row r="365">
      <c r="G365" s="7"/>
      <c r="H365" s="3"/>
    </row>
    <row r="366">
      <c r="G366" s="7"/>
      <c r="H366" s="3"/>
    </row>
    <row r="367">
      <c r="G367" s="7"/>
      <c r="H367" s="3"/>
    </row>
    <row r="368">
      <c r="G368" s="7"/>
      <c r="H368" s="3"/>
    </row>
    <row r="369">
      <c r="G369" s="7"/>
      <c r="H369" s="3"/>
    </row>
    <row r="370">
      <c r="G370" s="7"/>
      <c r="H370" s="3"/>
    </row>
    <row r="371">
      <c r="G371" s="7"/>
      <c r="H371" s="3"/>
    </row>
    <row r="372">
      <c r="G372" s="7"/>
      <c r="H372" s="3"/>
    </row>
    <row r="373">
      <c r="G373" s="7"/>
      <c r="H373" s="3"/>
    </row>
    <row r="374">
      <c r="G374" s="7"/>
      <c r="H374" s="3"/>
    </row>
    <row r="375">
      <c r="G375" s="7"/>
      <c r="H375" s="3"/>
    </row>
    <row r="376">
      <c r="G376" s="7"/>
      <c r="H376" s="3"/>
    </row>
    <row r="377">
      <c r="G377" s="7"/>
      <c r="H377" s="3"/>
    </row>
    <row r="378">
      <c r="G378" s="7"/>
      <c r="H378" s="3"/>
    </row>
    <row r="379">
      <c r="G379" s="7"/>
      <c r="H379" s="3"/>
    </row>
    <row r="380">
      <c r="G380" s="7"/>
      <c r="H380" s="3"/>
    </row>
    <row r="381">
      <c r="G381" s="7"/>
      <c r="H381" s="3"/>
    </row>
    <row r="382">
      <c r="G382" s="7"/>
      <c r="H382" s="3"/>
    </row>
    <row r="383">
      <c r="G383" s="7"/>
      <c r="H383" s="3"/>
    </row>
    <row r="384">
      <c r="G384" s="7"/>
      <c r="H384" s="3"/>
    </row>
    <row r="385">
      <c r="G385" s="7"/>
      <c r="H385" s="3"/>
    </row>
    <row r="386">
      <c r="G386" s="7"/>
      <c r="H386" s="3"/>
    </row>
    <row r="387">
      <c r="G387" s="7"/>
      <c r="H387" s="3"/>
    </row>
    <row r="388">
      <c r="G388" s="7"/>
      <c r="H388" s="3"/>
    </row>
    <row r="389">
      <c r="G389" s="7"/>
      <c r="H389" s="3"/>
    </row>
    <row r="390">
      <c r="G390" s="7"/>
      <c r="H390" s="3"/>
    </row>
    <row r="391">
      <c r="G391" s="7"/>
      <c r="H391" s="3"/>
    </row>
    <row r="392">
      <c r="G392" s="7"/>
      <c r="H392" s="3"/>
    </row>
    <row r="393">
      <c r="G393" s="7"/>
      <c r="H393" s="3"/>
    </row>
    <row r="394">
      <c r="G394" s="7"/>
      <c r="H394" s="3"/>
    </row>
    <row r="395">
      <c r="G395" s="7"/>
      <c r="H395" s="3"/>
    </row>
    <row r="396">
      <c r="G396" s="7"/>
      <c r="H396" s="3"/>
    </row>
    <row r="397">
      <c r="G397" s="7"/>
      <c r="H397" s="3"/>
    </row>
    <row r="398">
      <c r="G398" s="7"/>
      <c r="H398" s="3"/>
    </row>
    <row r="399">
      <c r="G399" s="7"/>
      <c r="H399" s="3"/>
    </row>
    <row r="400">
      <c r="G400" s="7"/>
      <c r="H400" s="3"/>
    </row>
    <row r="401">
      <c r="G401" s="7"/>
      <c r="H401" s="3"/>
    </row>
    <row r="402">
      <c r="G402" s="7"/>
      <c r="H402" s="3"/>
    </row>
    <row r="403">
      <c r="G403" s="7"/>
      <c r="H403" s="3"/>
    </row>
    <row r="404">
      <c r="G404" s="7"/>
      <c r="H404" s="3"/>
    </row>
    <row r="405">
      <c r="G405" s="7"/>
      <c r="H405" s="3"/>
    </row>
    <row r="406">
      <c r="G406" s="7"/>
      <c r="H406" s="3"/>
    </row>
    <row r="407">
      <c r="G407" s="7"/>
      <c r="H407" s="3"/>
    </row>
    <row r="408">
      <c r="G408" s="7"/>
      <c r="H408" s="3"/>
    </row>
    <row r="409">
      <c r="G409" s="7"/>
      <c r="H409" s="3"/>
    </row>
    <row r="410">
      <c r="G410" s="7"/>
      <c r="H410" s="3"/>
    </row>
    <row r="411">
      <c r="G411" s="7"/>
      <c r="H411" s="3"/>
    </row>
    <row r="412">
      <c r="G412" s="7"/>
      <c r="H412" s="3"/>
    </row>
    <row r="413">
      <c r="G413" s="7"/>
      <c r="H413" s="3"/>
    </row>
    <row r="414">
      <c r="G414" s="7"/>
      <c r="H414" s="3"/>
    </row>
    <row r="415">
      <c r="G415" s="7"/>
      <c r="H415" s="3"/>
    </row>
    <row r="416">
      <c r="G416" s="7"/>
      <c r="H416" s="3"/>
    </row>
    <row r="417">
      <c r="G417" s="7"/>
      <c r="H417" s="3"/>
    </row>
    <row r="418">
      <c r="G418" s="7"/>
      <c r="H418" s="3"/>
    </row>
    <row r="419">
      <c r="G419" s="7"/>
      <c r="H419" s="3"/>
    </row>
    <row r="420">
      <c r="G420" s="7"/>
      <c r="H420" s="3"/>
    </row>
    <row r="421">
      <c r="G421" s="7"/>
      <c r="H421" s="3"/>
    </row>
    <row r="422">
      <c r="G422" s="7"/>
      <c r="H422" s="3"/>
    </row>
    <row r="423">
      <c r="G423" s="7"/>
      <c r="H423" s="3"/>
    </row>
    <row r="424">
      <c r="G424" s="7"/>
      <c r="H424" s="3"/>
    </row>
    <row r="425">
      <c r="G425" s="7"/>
      <c r="H425" s="3"/>
    </row>
    <row r="426">
      <c r="G426" s="7"/>
      <c r="H426" s="3"/>
    </row>
    <row r="427">
      <c r="G427" s="7"/>
      <c r="H427" s="3"/>
    </row>
    <row r="428">
      <c r="G428" s="7"/>
      <c r="H428" s="3"/>
    </row>
    <row r="429">
      <c r="G429" s="7"/>
      <c r="H429" s="3"/>
    </row>
    <row r="430">
      <c r="G430" s="7"/>
      <c r="H430" s="3"/>
    </row>
    <row r="431">
      <c r="G431" s="7"/>
      <c r="H431" s="3"/>
    </row>
    <row r="432">
      <c r="G432" s="7"/>
      <c r="H432" s="3"/>
    </row>
    <row r="433">
      <c r="G433" s="7"/>
      <c r="H433" s="3"/>
    </row>
    <row r="434">
      <c r="G434" s="7"/>
      <c r="H434" s="3"/>
    </row>
    <row r="435">
      <c r="G435" s="7"/>
      <c r="H435" s="3"/>
    </row>
    <row r="436">
      <c r="G436" s="7"/>
      <c r="H436" s="3"/>
    </row>
    <row r="437">
      <c r="G437" s="7"/>
      <c r="H437" s="3"/>
    </row>
    <row r="438">
      <c r="G438" s="7"/>
      <c r="H438" s="3"/>
    </row>
    <row r="439">
      <c r="G439" s="7"/>
      <c r="H439" s="3"/>
    </row>
    <row r="440">
      <c r="G440" s="7"/>
      <c r="H440" s="3"/>
    </row>
    <row r="441">
      <c r="G441" s="7"/>
      <c r="H441" s="3"/>
    </row>
    <row r="442">
      <c r="G442" s="7"/>
      <c r="H442" s="3"/>
    </row>
    <row r="443">
      <c r="G443" s="7"/>
      <c r="H443" s="3"/>
    </row>
    <row r="444">
      <c r="G444" s="7"/>
      <c r="H444" s="3"/>
    </row>
    <row r="445">
      <c r="G445" s="7"/>
      <c r="H445" s="3"/>
    </row>
    <row r="446">
      <c r="G446" s="7"/>
      <c r="H446" s="3"/>
    </row>
    <row r="447">
      <c r="G447" s="7"/>
      <c r="H447" s="3"/>
    </row>
    <row r="448">
      <c r="G448" s="7"/>
      <c r="H448" s="3"/>
    </row>
    <row r="449">
      <c r="G449" s="7"/>
      <c r="H449" s="3"/>
    </row>
    <row r="450">
      <c r="G450" s="7"/>
      <c r="H450" s="3"/>
    </row>
    <row r="451">
      <c r="G451" s="7"/>
      <c r="H451" s="3"/>
    </row>
    <row r="452">
      <c r="G452" s="7"/>
      <c r="H452" s="3"/>
    </row>
    <row r="453">
      <c r="G453" s="7"/>
      <c r="H453" s="3"/>
    </row>
    <row r="454">
      <c r="G454" s="7"/>
      <c r="H454" s="3"/>
    </row>
    <row r="455">
      <c r="G455" s="7"/>
      <c r="H455" s="3"/>
    </row>
    <row r="456">
      <c r="G456" s="7"/>
      <c r="H456" s="3"/>
    </row>
    <row r="457">
      <c r="G457" s="7"/>
      <c r="H457" s="3"/>
    </row>
    <row r="458">
      <c r="G458" s="7"/>
      <c r="H458" s="3"/>
    </row>
    <row r="459">
      <c r="G459" s="7"/>
      <c r="H459" s="3"/>
    </row>
    <row r="460">
      <c r="G460" s="7"/>
      <c r="H460" s="3"/>
    </row>
    <row r="461">
      <c r="G461" s="7"/>
      <c r="H461" s="3"/>
    </row>
    <row r="462">
      <c r="G462" s="7"/>
      <c r="H462" s="3"/>
    </row>
    <row r="463">
      <c r="G463" s="7"/>
      <c r="H463" s="3"/>
    </row>
    <row r="464">
      <c r="G464" s="7"/>
      <c r="H464" s="3"/>
    </row>
    <row r="465">
      <c r="G465" s="7"/>
      <c r="H465" s="3"/>
    </row>
    <row r="466">
      <c r="G466" s="7"/>
      <c r="H466" s="3"/>
    </row>
    <row r="467">
      <c r="G467" s="7"/>
      <c r="H467" s="3"/>
    </row>
    <row r="468">
      <c r="G468" s="7"/>
      <c r="H468" s="3"/>
    </row>
    <row r="469">
      <c r="G469" s="7"/>
      <c r="H469" s="3"/>
    </row>
    <row r="470">
      <c r="G470" s="7"/>
      <c r="H470" s="3"/>
    </row>
    <row r="471">
      <c r="G471" s="7"/>
      <c r="H471" s="3"/>
    </row>
    <row r="472">
      <c r="G472" s="7"/>
      <c r="H472" s="3"/>
    </row>
    <row r="473">
      <c r="G473" s="7"/>
      <c r="H473" s="3"/>
    </row>
    <row r="474">
      <c r="G474" s="7"/>
      <c r="H474" s="3"/>
    </row>
    <row r="475">
      <c r="G475" s="7"/>
      <c r="H475" s="3"/>
    </row>
    <row r="476">
      <c r="G476" s="7"/>
      <c r="H476" s="3"/>
    </row>
    <row r="477">
      <c r="G477" s="7"/>
      <c r="H477" s="3"/>
    </row>
    <row r="478">
      <c r="G478" s="7"/>
      <c r="H478" s="3"/>
    </row>
    <row r="479">
      <c r="G479" s="7"/>
      <c r="H479" s="3"/>
    </row>
    <row r="480">
      <c r="G480" s="7"/>
      <c r="H480" s="3"/>
    </row>
    <row r="481">
      <c r="G481" s="7"/>
      <c r="H481" s="3"/>
    </row>
    <row r="482">
      <c r="G482" s="7"/>
      <c r="H482" s="3"/>
    </row>
    <row r="483">
      <c r="G483" s="7"/>
      <c r="H483" s="3"/>
    </row>
    <row r="484">
      <c r="G484" s="7"/>
      <c r="H484" s="3"/>
    </row>
    <row r="485">
      <c r="G485" s="7"/>
      <c r="H485" s="3"/>
    </row>
    <row r="486">
      <c r="G486" s="7"/>
      <c r="H486" s="3"/>
    </row>
    <row r="487">
      <c r="G487" s="7"/>
      <c r="H487" s="3"/>
    </row>
    <row r="488">
      <c r="G488" s="7"/>
      <c r="H488" s="3"/>
    </row>
    <row r="489">
      <c r="G489" s="7"/>
      <c r="H489" s="3"/>
    </row>
    <row r="490">
      <c r="G490" s="7"/>
      <c r="H490" s="3"/>
    </row>
    <row r="491">
      <c r="G491" s="7"/>
      <c r="H491" s="3"/>
    </row>
    <row r="492">
      <c r="G492" s="7"/>
      <c r="H492" s="3"/>
    </row>
    <row r="493">
      <c r="G493" s="7"/>
      <c r="H493" s="3"/>
    </row>
    <row r="494">
      <c r="G494" s="7"/>
      <c r="H494" s="3"/>
    </row>
    <row r="495">
      <c r="G495" s="7"/>
      <c r="H495" s="3"/>
    </row>
    <row r="496">
      <c r="G496" s="7"/>
      <c r="H496" s="3"/>
    </row>
    <row r="497">
      <c r="G497" s="7"/>
      <c r="H497" s="3"/>
    </row>
    <row r="498">
      <c r="G498" s="7"/>
      <c r="H498" s="3"/>
    </row>
    <row r="499">
      <c r="G499" s="7"/>
      <c r="H499" s="3"/>
    </row>
    <row r="500">
      <c r="G500" s="7"/>
      <c r="H500" s="3"/>
    </row>
    <row r="501">
      <c r="G501" s="7"/>
      <c r="H501" s="3"/>
    </row>
    <row r="502">
      <c r="G502" s="7"/>
      <c r="H502" s="3"/>
    </row>
    <row r="503">
      <c r="G503" s="7"/>
      <c r="H503" s="3"/>
    </row>
    <row r="504">
      <c r="G504" s="7"/>
      <c r="H504" s="3"/>
    </row>
    <row r="505">
      <c r="G505" s="7"/>
      <c r="H505" s="3"/>
    </row>
    <row r="506">
      <c r="G506" s="7"/>
      <c r="H506" s="3"/>
    </row>
    <row r="507">
      <c r="G507" s="7"/>
      <c r="H507" s="3"/>
    </row>
    <row r="508">
      <c r="G508" s="7"/>
      <c r="H508" s="3"/>
    </row>
    <row r="509">
      <c r="G509" s="7"/>
      <c r="H509" s="3"/>
    </row>
    <row r="510">
      <c r="G510" s="7"/>
      <c r="H510" s="3"/>
    </row>
    <row r="511">
      <c r="G511" s="7"/>
      <c r="H511" s="3"/>
    </row>
    <row r="512">
      <c r="G512" s="7"/>
      <c r="H512" s="3"/>
    </row>
    <row r="513">
      <c r="G513" s="7"/>
      <c r="H513" s="3"/>
    </row>
    <row r="514">
      <c r="G514" s="7"/>
      <c r="H514" s="3"/>
    </row>
    <row r="515">
      <c r="G515" s="7"/>
      <c r="H515" s="3"/>
    </row>
    <row r="516">
      <c r="G516" s="7"/>
      <c r="H516" s="3"/>
    </row>
    <row r="517">
      <c r="G517" s="7"/>
      <c r="H517" s="3"/>
    </row>
    <row r="518">
      <c r="G518" s="7"/>
      <c r="H518" s="3"/>
    </row>
    <row r="519">
      <c r="G519" s="7"/>
      <c r="H519" s="3"/>
    </row>
    <row r="520">
      <c r="G520" s="7"/>
      <c r="H520" s="3"/>
    </row>
    <row r="521">
      <c r="G521" s="7"/>
      <c r="H521" s="3"/>
    </row>
    <row r="522">
      <c r="G522" s="7"/>
      <c r="H522" s="3"/>
    </row>
    <row r="523">
      <c r="G523" s="7"/>
      <c r="H523" s="3"/>
    </row>
    <row r="524">
      <c r="G524" s="7"/>
      <c r="H524" s="3"/>
    </row>
    <row r="525">
      <c r="G525" s="7"/>
      <c r="H525" s="3"/>
    </row>
    <row r="526">
      <c r="G526" s="7"/>
      <c r="H526" s="3"/>
    </row>
    <row r="527">
      <c r="G527" s="7"/>
      <c r="H527" s="3"/>
    </row>
    <row r="528">
      <c r="G528" s="7"/>
      <c r="H528" s="3"/>
    </row>
    <row r="529">
      <c r="G529" s="7"/>
      <c r="H529" s="3"/>
    </row>
    <row r="530">
      <c r="G530" s="7"/>
      <c r="H530" s="3"/>
    </row>
    <row r="531">
      <c r="G531" s="7"/>
      <c r="H531" s="3"/>
    </row>
    <row r="532">
      <c r="G532" s="7"/>
      <c r="H532" s="3"/>
    </row>
    <row r="533">
      <c r="G533" s="7"/>
      <c r="H533" s="3"/>
    </row>
    <row r="534">
      <c r="G534" s="7"/>
      <c r="H534" s="3"/>
    </row>
    <row r="535">
      <c r="G535" s="7"/>
      <c r="H535" s="3"/>
    </row>
    <row r="536">
      <c r="G536" s="7"/>
      <c r="H536" s="3"/>
    </row>
    <row r="537">
      <c r="G537" s="7"/>
      <c r="H537" s="3"/>
    </row>
    <row r="538">
      <c r="G538" s="7"/>
      <c r="H538" s="3"/>
    </row>
    <row r="539">
      <c r="G539" s="7"/>
      <c r="H539" s="3"/>
    </row>
    <row r="540">
      <c r="G540" s="7"/>
      <c r="H540" s="3"/>
    </row>
    <row r="541">
      <c r="G541" s="7"/>
      <c r="H541" s="3"/>
    </row>
    <row r="542">
      <c r="G542" s="7"/>
      <c r="H542" s="3"/>
    </row>
    <row r="543">
      <c r="G543" s="7"/>
      <c r="H543" s="3"/>
    </row>
    <row r="544">
      <c r="G544" s="7"/>
      <c r="H544" s="3"/>
    </row>
    <row r="545">
      <c r="G545" s="7"/>
      <c r="H545" s="3"/>
    </row>
    <row r="546">
      <c r="G546" s="7"/>
      <c r="H546" s="3"/>
    </row>
    <row r="547">
      <c r="G547" s="7"/>
      <c r="H547" s="3"/>
    </row>
    <row r="548">
      <c r="G548" s="7"/>
      <c r="H548" s="3"/>
    </row>
    <row r="549">
      <c r="G549" s="7"/>
      <c r="H549" s="3"/>
    </row>
    <row r="550">
      <c r="G550" s="7"/>
      <c r="H550" s="3"/>
    </row>
    <row r="551">
      <c r="G551" s="7"/>
      <c r="H551" s="3"/>
    </row>
    <row r="552">
      <c r="G552" s="7"/>
      <c r="H552" s="3"/>
    </row>
    <row r="553">
      <c r="G553" s="7"/>
      <c r="H553" s="3"/>
    </row>
    <row r="554">
      <c r="G554" s="7"/>
      <c r="H554" s="3"/>
    </row>
    <row r="555">
      <c r="G555" s="7"/>
      <c r="H555" s="3"/>
    </row>
    <row r="556">
      <c r="G556" s="7"/>
      <c r="H556" s="3"/>
    </row>
    <row r="557">
      <c r="G557" s="7"/>
      <c r="H557" s="3"/>
    </row>
    <row r="558">
      <c r="G558" s="7"/>
      <c r="H558" s="3"/>
    </row>
    <row r="559">
      <c r="G559" s="7"/>
      <c r="H559" s="3"/>
    </row>
    <row r="560">
      <c r="G560" s="7"/>
      <c r="H560" s="3"/>
    </row>
    <row r="561">
      <c r="G561" s="7"/>
      <c r="H561" s="3"/>
    </row>
    <row r="562">
      <c r="G562" s="7"/>
      <c r="H562" s="3"/>
    </row>
    <row r="563">
      <c r="G563" s="7"/>
      <c r="H563" s="3"/>
    </row>
    <row r="564">
      <c r="G564" s="7"/>
      <c r="H564" s="3"/>
    </row>
    <row r="565">
      <c r="G565" s="7"/>
      <c r="H565" s="3"/>
    </row>
    <row r="566">
      <c r="G566" s="7"/>
      <c r="H566" s="3"/>
    </row>
    <row r="567">
      <c r="G567" s="7"/>
      <c r="H567" s="3"/>
    </row>
    <row r="568">
      <c r="G568" s="7"/>
      <c r="H568" s="3"/>
    </row>
    <row r="569">
      <c r="G569" s="7"/>
      <c r="H569" s="3"/>
    </row>
    <row r="570">
      <c r="G570" s="7"/>
      <c r="H570" s="3"/>
    </row>
    <row r="571">
      <c r="G571" s="7"/>
      <c r="H571" s="3"/>
    </row>
    <row r="572">
      <c r="G572" s="7"/>
      <c r="H572" s="3"/>
    </row>
    <row r="573">
      <c r="G573" s="7"/>
      <c r="H573" s="3"/>
    </row>
    <row r="574">
      <c r="G574" s="7"/>
      <c r="H574" s="3"/>
    </row>
    <row r="575">
      <c r="G575" s="7"/>
      <c r="H575" s="3"/>
    </row>
    <row r="576">
      <c r="G576" s="7"/>
      <c r="H576" s="3"/>
    </row>
    <row r="577">
      <c r="G577" s="7"/>
      <c r="H577" s="3"/>
    </row>
    <row r="578">
      <c r="G578" s="7"/>
      <c r="H578" s="3"/>
    </row>
    <row r="579">
      <c r="G579" s="7"/>
      <c r="H579" s="3"/>
    </row>
    <row r="580">
      <c r="G580" s="7"/>
      <c r="H580" s="3"/>
    </row>
    <row r="581">
      <c r="G581" s="7"/>
      <c r="H581" s="3"/>
    </row>
    <row r="582">
      <c r="G582" s="7"/>
      <c r="H582" s="3"/>
    </row>
    <row r="583">
      <c r="G583" s="7"/>
      <c r="H583" s="3"/>
    </row>
    <row r="584">
      <c r="G584" s="7"/>
      <c r="H584" s="3"/>
    </row>
    <row r="585">
      <c r="G585" s="7"/>
      <c r="H585" s="3"/>
    </row>
    <row r="586">
      <c r="G586" s="7"/>
      <c r="H586" s="3"/>
    </row>
    <row r="587">
      <c r="G587" s="7"/>
      <c r="H587" s="3"/>
    </row>
    <row r="588">
      <c r="G588" s="7"/>
      <c r="H588" s="3"/>
    </row>
    <row r="589">
      <c r="G589" s="7"/>
      <c r="H589" s="3"/>
    </row>
    <row r="590">
      <c r="G590" s="7"/>
      <c r="H590" s="3"/>
    </row>
    <row r="591">
      <c r="G591" s="7"/>
      <c r="H591" s="3"/>
    </row>
    <row r="592">
      <c r="G592" s="7"/>
      <c r="H592" s="3"/>
    </row>
    <row r="593">
      <c r="G593" s="7"/>
      <c r="H593" s="3"/>
    </row>
    <row r="594">
      <c r="G594" s="7"/>
      <c r="H594" s="3"/>
    </row>
    <row r="595">
      <c r="G595" s="7"/>
      <c r="H595" s="3"/>
    </row>
    <row r="596">
      <c r="G596" s="7"/>
      <c r="H596" s="3"/>
    </row>
    <row r="597">
      <c r="G597" s="7"/>
      <c r="H597" s="3"/>
    </row>
    <row r="598">
      <c r="G598" s="7"/>
      <c r="H598" s="3"/>
    </row>
    <row r="599">
      <c r="G599" s="7"/>
      <c r="H599" s="3"/>
    </row>
    <row r="600">
      <c r="G600" s="7"/>
      <c r="H600" s="3"/>
    </row>
    <row r="601">
      <c r="G601" s="7"/>
      <c r="H601" s="3"/>
    </row>
    <row r="602">
      <c r="G602" s="7"/>
      <c r="H602" s="3"/>
    </row>
    <row r="603">
      <c r="G603" s="7"/>
      <c r="H603" s="3"/>
    </row>
    <row r="604">
      <c r="G604" s="7"/>
      <c r="H604" s="3"/>
    </row>
    <row r="605">
      <c r="G605" s="7"/>
      <c r="H605" s="3"/>
    </row>
    <row r="606">
      <c r="G606" s="7"/>
      <c r="H606" s="3"/>
    </row>
    <row r="607">
      <c r="G607" s="7"/>
      <c r="H607" s="3"/>
    </row>
    <row r="608">
      <c r="G608" s="7"/>
      <c r="H608" s="3"/>
    </row>
    <row r="609">
      <c r="G609" s="7"/>
      <c r="H609" s="3"/>
    </row>
    <row r="610">
      <c r="G610" s="7"/>
      <c r="H610" s="3"/>
    </row>
    <row r="611">
      <c r="G611" s="7"/>
      <c r="H611" s="3"/>
    </row>
    <row r="612">
      <c r="G612" s="7"/>
      <c r="H612" s="3"/>
    </row>
    <row r="613">
      <c r="G613" s="7"/>
      <c r="H613" s="3"/>
    </row>
    <row r="614">
      <c r="G614" s="7"/>
      <c r="H614" s="3"/>
    </row>
    <row r="615">
      <c r="G615" s="7"/>
      <c r="H615" s="3"/>
    </row>
    <row r="616">
      <c r="G616" s="7"/>
      <c r="H616" s="3"/>
    </row>
    <row r="617">
      <c r="G617" s="7"/>
      <c r="H617" s="3"/>
    </row>
    <row r="618">
      <c r="G618" s="7"/>
      <c r="H618" s="3"/>
    </row>
    <row r="619">
      <c r="G619" s="7"/>
      <c r="H619" s="3"/>
    </row>
    <row r="620">
      <c r="G620" s="7"/>
      <c r="H620" s="3"/>
    </row>
    <row r="621">
      <c r="G621" s="7"/>
      <c r="H621" s="3"/>
    </row>
    <row r="622">
      <c r="G622" s="7"/>
      <c r="H622" s="3"/>
    </row>
    <row r="623">
      <c r="G623" s="7"/>
      <c r="H623" s="3"/>
    </row>
    <row r="624">
      <c r="G624" s="7"/>
      <c r="H624" s="3"/>
    </row>
    <row r="625">
      <c r="G625" s="7"/>
      <c r="H625" s="3"/>
    </row>
    <row r="626">
      <c r="G626" s="7"/>
      <c r="H626" s="3"/>
    </row>
    <row r="627">
      <c r="G627" s="7"/>
      <c r="H627" s="3"/>
    </row>
    <row r="628">
      <c r="G628" s="7"/>
      <c r="H628" s="3"/>
    </row>
    <row r="629">
      <c r="G629" s="7"/>
      <c r="H629" s="3"/>
    </row>
    <row r="630">
      <c r="G630" s="7"/>
      <c r="H630" s="3"/>
    </row>
    <row r="631">
      <c r="G631" s="7"/>
      <c r="H631" s="3"/>
    </row>
    <row r="632">
      <c r="G632" s="7"/>
      <c r="H632" s="3"/>
    </row>
    <row r="633">
      <c r="G633" s="7"/>
      <c r="H633" s="3"/>
    </row>
    <row r="634">
      <c r="G634" s="7"/>
      <c r="H634" s="3"/>
    </row>
    <row r="635">
      <c r="G635" s="7"/>
      <c r="H635" s="3"/>
    </row>
    <row r="636">
      <c r="G636" s="7"/>
      <c r="H636" s="3"/>
    </row>
    <row r="637">
      <c r="G637" s="7"/>
      <c r="H637" s="3"/>
    </row>
    <row r="638">
      <c r="G638" s="7"/>
      <c r="H638" s="3"/>
    </row>
    <row r="639">
      <c r="G639" s="7"/>
      <c r="H639" s="3"/>
    </row>
    <row r="640">
      <c r="G640" s="7"/>
      <c r="H640" s="3"/>
    </row>
    <row r="641">
      <c r="G641" s="7"/>
      <c r="H641" s="3"/>
    </row>
    <row r="642">
      <c r="G642" s="7"/>
      <c r="H642" s="3"/>
    </row>
    <row r="643">
      <c r="G643" s="7"/>
      <c r="H643" s="3"/>
    </row>
    <row r="644">
      <c r="G644" s="7"/>
      <c r="H644" s="3"/>
    </row>
    <row r="645">
      <c r="G645" s="7"/>
      <c r="H645" s="3"/>
    </row>
    <row r="646">
      <c r="G646" s="7"/>
      <c r="H646" s="3"/>
    </row>
    <row r="647">
      <c r="G647" s="7"/>
      <c r="H647" s="3"/>
    </row>
    <row r="648">
      <c r="G648" s="7"/>
      <c r="H648" s="3"/>
    </row>
    <row r="649">
      <c r="G649" s="7"/>
      <c r="H649" s="3"/>
    </row>
    <row r="650">
      <c r="G650" s="7"/>
      <c r="H650" s="3"/>
    </row>
    <row r="651">
      <c r="G651" s="7"/>
      <c r="H651" s="3"/>
    </row>
    <row r="652">
      <c r="G652" s="7"/>
      <c r="H652" s="3"/>
    </row>
    <row r="653">
      <c r="G653" s="7"/>
      <c r="H653" s="3"/>
    </row>
    <row r="654">
      <c r="G654" s="7"/>
      <c r="H654" s="3"/>
    </row>
    <row r="655">
      <c r="G655" s="7"/>
      <c r="H655" s="3"/>
    </row>
    <row r="656">
      <c r="G656" s="7"/>
      <c r="H656" s="3"/>
    </row>
    <row r="657">
      <c r="G657" s="7"/>
      <c r="H657" s="3"/>
    </row>
    <row r="658">
      <c r="G658" s="7"/>
      <c r="H658" s="3"/>
    </row>
    <row r="659">
      <c r="G659" s="7"/>
      <c r="H659" s="3"/>
    </row>
    <row r="660">
      <c r="G660" s="7"/>
      <c r="H660" s="3"/>
    </row>
    <row r="661">
      <c r="G661" s="7"/>
      <c r="H661" s="3"/>
    </row>
    <row r="662">
      <c r="G662" s="7"/>
      <c r="H662" s="3"/>
    </row>
    <row r="663">
      <c r="G663" s="7"/>
      <c r="H663" s="3"/>
    </row>
    <row r="664">
      <c r="G664" s="7"/>
      <c r="H664" s="3"/>
    </row>
    <row r="665">
      <c r="G665" s="7"/>
      <c r="H665" s="3"/>
    </row>
    <row r="666">
      <c r="G666" s="7"/>
      <c r="H666" s="3"/>
    </row>
    <row r="667">
      <c r="G667" s="7"/>
      <c r="H667" s="3"/>
    </row>
    <row r="668">
      <c r="G668" s="7"/>
      <c r="H668" s="3"/>
    </row>
    <row r="669">
      <c r="G669" s="7"/>
      <c r="H669" s="3"/>
    </row>
    <row r="670">
      <c r="G670" s="7"/>
      <c r="H670" s="3"/>
    </row>
    <row r="671">
      <c r="G671" s="7"/>
      <c r="H671" s="3"/>
    </row>
    <row r="672">
      <c r="G672" s="7"/>
      <c r="H672" s="3"/>
    </row>
    <row r="673">
      <c r="G673" s="7"/>
      <c r="H673" s="3"/>
    </row>
    <row r="674">
      <c r="G674" s="7"/>
      <c r="H674" s="3"/>
    </row>
    <row r="675">
      <c r="G675" s="7"/>
      <c r="H675" s="3"/>
    </row>
    <row r="676">
      <c r="G676" s="7"/>
      <c r="H676" s="3"/>
    </row>
    <row r="677">
      <c r="G677" s="7"/>
      <c r="H677" s="3"/>
    </row>
    <row r="678">
      <c r="G678" s="7"/>
      <c r="H678" s="3"/>
    </row>
    <row r="679">
      <c r="G679" s="7"/>
      <c r="H679" s="3"/>
    </row>
    <row r="680">
      <c r="G680" s="7"/>
      <c r="H680" s="3"/>
    </row>
    <row r="681">
      <c r="G681" s="7"/>
      <c r="H681" s="3"/>
    </row>
    <row r="682">
      <c r="G682" s="7"/>
      <c r="H682" s="3"/>
    </row>
    <row r="683">
      <c r="G683" s="7"/>
      <c r="H683" s="3"/>
    </row>
    <row r="684">
      <c r="G684" s="7"/>
      <c r="H684" s="3"/>
    </row>
    <row r="685">
      <c r="G685" s="7"/>
      <c r="H685" s="3"/>
    </row>
    <row r="686">
      <c r="G686" s="7"/>
      <c r="H686" s="3"/>
    </row>
    <row r="687">
      <c r="G687" s="7"/>
      <c r="H687" s="3"/>
    </row>
    <row r="688">
      <c r="G688" s="7"/>
      <c r="H688" s="3"/>
    </row>
    <row r="689">
      <c r="G689" s="7"/>
      <c r="H689" s="3"/>
    </row>
    <row r="690">
      <c r="G690" s="7"/>
      <c r="H690" s="3"/>
    </row>
    <row r="691">
      <c r="G691" s="7"/>
      <c r="H691" s="3"/>
    </row>
    <row r="692">
      <c r="G692" s="7"/>
      <c r="H692" s="3"/>
    </row>
    <row r="693">
      <c r="G693" s="7"/>
      <c r="H693" s="3"/>
    </row>
    <row r="694">
      <c r="G694" s="7"/>
      <c r="H694" s="3"/>
    </row>
    <row r="695">
      <c r="G695" s="7"/>
      <c r="H695" s="3"/>
    </row>
    <row r="696">
      <c r="G696" s="7"/>
      <c r="H696" s="3"/>
    </row>
    <row r="697">
      <c r="G697" s="7"/>
      <c r="H697" s="3"/>
    </row>
    <row r="698">
      <c r="G698" s="7"/>
      <c r="H698" s="3"/>
    </row>
    <row r="699">
      <c r="G699" s="7"/>
      <c r="H699" s="3"/>
    </row>
    <row r="700">
      <c r="G700" s="7"/>
      <c r="H700" s="3"/>
    </row>
    <row r="701">
      <c r="G701" s="7"/>
      <c r="H701" s="3"/>
    </row>
    <row r="702">
      <c r="G702" s="7"/>
      <c r="H702" s="3"/>
    </row>
    <row r="703">
      <c r="G703" s="7"/>
      <c r="H703" s="3"/>
    </row>
    <row r="704">
      <c r="G704" s="7"/>
      <c r="H704" s="3"/>
    </row>
    <row r="705">
      <c r="G705" s="7"/>
      <c r="H705" s="3"/>
    </row>
    <row r="706">
      <c r="G706" s="7"/>
      <c r="H706" s="3"/>
    </row>
    <row r="707">
      <c r="G707" s="7"/>
      <c r="H707" s="3"/>
    </row>
    <row r="708">
      <c r="G708" s="7"/>
      <c r="H708" s="3"/>
    </row>
    <row r="709">
      <c r="G709" s="7"/>
      <c r="H709" s="3"/>
    </row>
    <row r="710">
      <c r="G710" s="7"/>
      <c r="H710" s="3"/>
    </row>
    <row r="711">
      <c r="G711" s="7"/>
      <c r="H711" s="3"/>
    </row>
    <row r="712">
      <c r="G712" s="7"/>
      <c r="H712" s="3"/>
    </row>
    <row r="713">
      <c r="G713" s="7"/>
      <c r="H713" s="3"/>
    </row>
    <row r="714">
      <c r="G714" s="7"/>
      <c r="H714" s="3"/>
    </row>
    <row r="715">
      <c r="G715" s="7"/>
      <c r="H715" s="3"/>
    </row>
    <row r="716">
      <c r="G716" s="7"/>
      <c r="H716" s="3"/>
    </row>
    <row r="717">
      <c r="G717" s="7"/>
      <c r="H717" s="3"/>
    </row>
    <row r="718">
      <c r="G718" s="7"/>
      <c r="H718" s="3"/>
    </row>
    <row r="719">
      <c r="G719" s="7"/>
      <c r="H719" s="3"/>
    </row>
    <row r="720">
      <c r="G720" s="7"/>
      <c r="H720" s="3"/>
    </row>
    <row r="721">
      <c r="G721" s="7"/>
      <c r="H721" s="3"/>
    </row>
    <row r="722">
      <c r="G722" s="7"/>
      <c r="H722" s="3"/>
    </row>
    <row r="723">
      <c r="G723" s="7"/>
      <c r="H723" s="3"/>
    </row>
    <row r="724">
      <c r="G724" s="7"/>
      <c r="H724" s="3"/>
    </row>
    <row r="725">
      <c r="G725" s="7"/>
      <c r="H725" s="3"/>
    </row>
    <row r="726">
      <c r="G726" s="7"/>
      <c r="H726" s="3"/>
    </row>
    <row r="727">
      <c r="G727" s="7"/>
      <c r="H727" s="3"/>
    </row>
    <row r="728">
      <c r="G728" s="7"/>
      <c r="H728" s="3"/>
    </row>
    <row r="729">
      <c r="G729" s="7"/>
      <c r="H729" s="3"/>
    </row>
    <row r="730">
      <c r="G730" s="7"/>
      <c r="H730" s="3"/>
    </row>
    <row r="731">
      <c r="G731" s="7"/>
      <c r="H731" s="3"/>
    </row>
    <row r="732">
      <c r="G732" s="7"/>
      <c r="H732" s="3"/>
    </row>
    <row r="733">
      <c r="G733" s="7"/>
      <c r="H733" s="3"/>
    </row>
    <row r="734">
      <c r="G734" s="7"/>
      <c r="H734" s="3"/>
    </row>
    <row r="735">
      <c r="G735" s="7"/>
      <c r="H735" s="3"/>
    </row>
    <row r="736">
      <c r="G736" s="7"/>
      <c r="H736" s="3"/>
    </row>
    <row r="737">
      <c r="G737" s="7"/>
      <c r="H737" s="3"/>
    </row>
    <row r="738">
      <c r="G738" s="7"/>
      <c r="H738" s="3"/>
    </row>
    <row r="739">
      <c r="G739" s="7"/>
      <c r="H739" s="3"/>
    </row>
    <row r="740">
      <c r="G740" s="7"/>
      <c r="H740" s="3"/>
    </row>
    <row r="741">
      <c r="G741" s="7"/>
      <c r="H741" s="3"/>
    </row>
    <row r="742">
      <c r="G742" s="7"/>
      <c r="H742" s="3"/>
    </row>
    <row r="743">
      <c r="G743" s="7"/>
      <c r="H743" s="3"/>
    </row>
    <row r="744">
      <c r="G744" s="7"/>
      <c r="H744" s="3"/>
    </row>
    <row r="745">
      <c r="G745" s="7"/>
      <c r="H745" s="3"/>
    </row>
    <row r="746">
      <c r="G746" s="7"/>
      <c r="H746" s="3"/>
    </row>
    <row r="747">
      <c r="G747" s="7"/>
      <c r="H747" s="3"/>
    </row>
    <row r="748">
      <c r="G748" s="7"/>
      <c r="H748" s="3"/>
    </row>
    <row r="749">
      <c r="G749" s="7"/>
      <c r="H749" s="3"/>
    </row>
    <row r="750">
      <c r="G750" s="7"/>
      <c r="H750" s="3"/>
    </row>
    <row r="751">
      <c r="G751" s="7"/>
      <c r="H751" s="3"/>
    </row>
    <row r="752">
      <c r="G752" s="7"/>
      <c r="H752" s="3"/>
    </row>
    <row r="753">
      <c r="G753" s="7"/>
      <c r="H753" s="3"/>
    </row>
    <row r="754">
      <c r="G754" s="7"/>
      <c r="H754" s="3"/>
    </row>
    <row r="755">
      <c r="G755" s="7"/>
      <c r="H755" s="3"/>
    </row>
    <row r="756">
      <c r="G756" s="7"/>
      <c r="H756" s="3"/>
    </row>
    <row r="757">
      <c r="G757" s="7"/>
      <c r="H757" s="3"/>
    </row>
    <row r="758">
      <c r="G758" s="7"/>
      <c r="H758" s="3"/>
    </row>
    <row r="759">
      <c r="G759" s="7"/>
      <c r="H759" s="3"/>
    </row>
    <row r="760">
      <c r="G760" s="7"/>
      <c r="H760" s="3"/>
    </row>
    <row r="761">
      <c r="G761" s="7"/>
      <c r="H761" s="3"/>
    </row>
    <row r="762">
      <c r="G762" s="7"/>
      <c r="H762" s="3"/>
    </row>
    <row r="763">
      <c r="G763" s="7"/>
      <c r="H763" s="3"/>
    </row>
    <row r="764">
      <c r="G764" s="7"/>
      <c r="H764" s="3"/>
    </row>
    <row r="765">
      <c r="G765" s="7"/>
      <c r="H765" s="3"/>
    </row>
    <row r="766">
      <c r="G766" s="7"/>
      <c r="H766" s="3"/>
    </row>
    <row r="767">
      <c r="G767" s="7"/>
      <c r="H767" s="3"/>
    </row>
    <row r="768">
      <c r="G768" s="7"/>
      <c r="H768" s="3"/>
    </row>
    <row r="769">
      <c r="G769" s="7"/>
      <c r="H769" s="3"/>
    </row>
    <row r="770">
      <c r="G770" s="7"/>
      <c r="H770" s="3"/>
    </row>
    <row r="771">
      <c r="G771" s="7"/>
      <c r="H771" s="3"/>
    </row>
    <row r="772">
      <c r="G772" s="7"/>
      <c r="H772" s="3"/>
    </row>
    <row r="773">
      <c r="G773" s="7"/>
      <c r="H773" s="3"/>
    </row>
    <row r="774">
      <c r="G774" s="7"/>
      <c r="H774" s="3"/>
    </row>
    <row r="775">
      <c r="G775" s="7"/>
      <c r="H775" s="3"/>
    </row>
    <row r="776">
      <c r="G776" s="7"/>
      <c r="H776" s="3"/>
    </row>
    <row r="777">
      <c r="G777" s="7"/>
      <c r="H777" s="3"/>
    </row>
    <row r="778">
      <c r="G778" s="7"/>
      <c r="H778" s="3"/>
    </row>
    <row r="779">
      <c r="G779" s="7"/>
      <c r="H779" s="3"/>
    </row>
    <row r="780">
      <c r="G780" s="7"/>
      <c r="H780" s="3"/>
    </row>
    <row r="781">
      <c r="G781" s="7"/>
      <c r="H781" s="3"/>
    </row>
    <row r="782">
      <c r="G782" s="7"/>
      <c r="H782" s="3"/>
    </row>
    <row r="783">
      <c r="G783" s="7"/>
      <c r="H783" s="3"/>
    </row>
    <row r="784">
      <c r="G784" s="7"/>
      <c r="H784" s="3"/>
    </row>
    <row r="785">
      <c r="G785" s="7"/>
      <c r="H785" s="3"/>
    </row>
    <row r="786">
      <c r="G786" s="7"/>
      <c r="H786" s="3"/>
    </row>
    <row r="787">
      <c r="G787" s="7"/>
      <c r="H787" s="3"/>
    </row>
    <row r="788">
      <c r="G788" s="7"/>
      <c r="H788" s="3"/>
    </row>
    <row r="789">
      <c r="G789" s="7"/>
      <c r="H789" s="3"/>
    </row>
    <row r="790">
      <c r="G790" s="7"/>
      <c r="H790" s="3"/>
    </row>
    <row r="791">
      <c r="G791" s="7"/>
      <c r="H791" s="3"/>
    </row>
    <row r="792">
      <c r="G792" s="7"/>
      <c r="H792" s="3"/>
    </row>
    <row r="793">
      <c r="G793" s="7"/>
      <c r="H793" s="3"/>
    </row>
    <row r="794">
      <c r="G794" s="7"/>
      <c r="H794" s="3"/>
    </row>
    <row r="795">
      <c r="G795" s="7"/>
      <c r="H795" s="3"/>
    </row>
    <row r="796">
      <c r="G796" s="7"/>
      <c r="H796" s="3"/>
    </row>
    <row r="797">
      <c r="G797" s="7"/>
      <c r="H797" s="3"/>
    </row>
    <row r="798">
      <c r="G798" s="7"/>
      <c r="H798" s="3"/>
    </row>
    <row r="799">
      <c r="G799" s="7"/>
      <c r="H799" s="3"/>
    </row>
    <row r="800">
      <c r="G800" s="7"/>
      <c r="H800" s="3"/>
    </row>
    <row r="801">
      <c r="G801" s="7"/>
      <c r="H801" s="3"/>
    </row>
    <row r="802">
      <c r="G802" s="7"/>
      <c r="H802" s="3"/>
    </row>
    <row r="803">
      <c r="G803" s="7"/>
      <c r="H803" s="3"/>
    </row>
    <row r="804">
      <c r="G804" s="7"/>
      <c r="H804" s="3"/>
    </row>
    <row r="805">
      <c r="G805" s="7"/>
      <c r="H805" s="3"/>
    </row>
    <row r="806">
      <c r="G806" s="7"/>
      <c r="H806" s="3"/>
    </row>
    <row r="807">
      <c r="G807" s="7"/>
      <c r="H807" s="3"/>
    </row>
    <row r="808">
      <c r="G808" s="7"/>
      <c r="H808" s="3"/>
    </row>
    <row r="809">
      <c r="G809" s="7"/>
      <c r="H809" s="3"/>
    </row>
    <row r="810">
      <c r="G810" s="7"/>
      <c r="H810" s="3"/>
    </row>
    <row r="811">
      <c r="G811" s="7"/>
      <c r="H811" s="3"/>
    </row>
    <row r="812">
      <c r="G812" s="7"/>
      <c r="H812" s="3"/>
    </row>
    <row r="813">
      <c r="G813" s="7"/>
      <c r="H813" s="3"/>
    </row>
    <row r="814">
      <c r="G814" s="7"/>
      <c r="H814" s="3"/>
    </row>
    <row r="815">
      <c r="G815" s="7"/>
      <c r="H815" s="3"/>
    </row>
    <row r="816">
      <c r="G816" s="7"/>
      <c r="H816" s="3"/>
    </row>
    <row r="817">
      <c r="G817" s="7"/>
      <c r="H817" s="3"/>
    </row>
    <row r="818">
      <c r="G818" s="7"/>
      <c r="H818" s="3"/>
    </row>
    <row r="819">
      <c r="G819" s="7"/>
      <c r="H819" s="3"/>
    </row>
    <row r="820">
      <c r="G820" s="7"/>
      <c r="H820" s="3"/>
    </row>
    <row r="821">
      <c r="G821" s="7"/>
      <c r="H821" s="3"/>
    </row>
    <row r="822">
      <c r="G822" s="7"/>
      <c r="H822" s="3"/>
    </row>
    <row r="823">
      <c r="G823" s="7"/>
      <c r="H823" s="3"/>
    </row>
    <row r="824">
      <c r="G824" s="7"/>
      <c r="H824" s="3"/>
    </row>
    <row r="825">
      <c r="G825" s="7"/>
      <c r="H825" s="3"/>
    </row>
    <row r="826">
      <c r="G826" s="7"/>
      <c r="H826" s="3"/>
    </row>
    <row r="827">
      <c r="G827" s="7"/>
      <c r="H827" s="3"/>
    </row>
    <row r="828">
      <c r="G828" s="7"/>
      <c r="H828" s="3"/>
    </row>
    <row r="829">
      <c r="G829" s="7"/>
      <c r="H829" s="3"/>
    </row>
    <row r="830">
      <c r="G830" s="7"/>
      <c r="H830" s="3"/>
    </row>
    <row r="831">
      <c r="G831" s="7"/>
      <c r="H831" s="3"/>
    </row>
    <row r="832">
      <c r="G832" s="7"/>
      <c r="H832" s="3"/>
    </row>
    <row r="833">
      <c r="G833" s="7"/>
      <c r="H833" s="3"/>
    </row>
    <row r="834">
      <c r="G834" s="7"/>
      <c r="H834" s="3"/>
    </row>
    <row r="835">
      <c r="G835" s="7"/>
      <c r="H835" s="3"/>
    </row>
    <row r="836">
      <c r="G836" s="7"/>
      <c r="H836" s="3"/>
    </row>
    <row r="837">
      <c r="G837" s="7"/>
      <c r="H837" s="3"/>
    </row>
    <row r="838">
      <c r="G838" s="7"/>
      <c r="H838" s="3"/>
    </row>
    <row r="839">
      <c r="G839" s="7"/>
      <c r="H839" s="3"/>
    </row>
    <row r="840">
      <c r="G840" s="7"/>
      <c r="H840" s="3"/>
    </row>
    <row r="841">
      <c r="G841" s="7"/>
      <c r="H841" s="3"/>
    </row>
    <row r="842">
      <c r="G842" s="7"/>
      <c r="H842" s="3"/>
    </row>
    <row r="843">
      <c r="G843" s="7"/>
      <c r="H843" s="3"/>
    </row>
    <row r="844">
      <c r="G844" s="7"/>
      <c r="H844" s="3"/>
    </row>
    <row r="845">
      <c r="G845" s="7"/>
      <c r="H845" s="3"/>
    </row>
    <row r="846">
      <c r="G846" s="7"/>
      <c r="H846" s="3"/>
    </row>
    <row r="847">
      <c r="G847" s="7"/>
      <c r="H847" s="3"/>
    </row>
    <row r="848">
      <c r="G848" s="7"/>
      <c r="H848" s="3"/>
    </row>
    <row r="849">
      <c r="G849" s="7"/>
      <c r="H849" s="3"/>
    </row>
    <row r="850">
      <c r="G850" s="7"/>
      <c r="H850" s="3"/>
    </row>
    <row r="851">
      <c r="G851" s="7"/>
      <c r="H851" s="3"/>
    </row>
    <row r="852">
      <c r="G852" s="7"/>
      <c r="H852" s="3"/>
    </row>
    <row r="853">
      <c r="G853" s="7"/>
      <c r="H853" s="3"/>
    </row>
    <row r="854">
      <c r="G854" s="7"/>
      <c r="H854" s="3"/>
    </row>
    <row r="855">
      <c r="G855" s="7"/>
      <c r="H855" s="3"/>
    </row>
    <row r="856">
      <c r="G856" s="7"/>
      <c r="H856" s="3"/>
    </row>
    <row r="857">
      <c r="G857" s="7"/>
      <c r="H857" s="3"/>
    </row>
    <row r="858">
      <c r="G858" s="7"/>
      <c r="H858" s="3"/>
    </row>
    <row r="859">
      <c r="G859" s="7"/>
      <c r="H859" s="3"/>
    </row>
    <row r="860">
      <c r="G860" s="7"/>
      <c r="H860" s="3"/>
    </row>
    <row r="861">
      <c r="G861" s="7"/>
      <c r="H861" s="3"/>
    </row>
    <row r="862">
      <c r="G862" s="7"/>
      <c r="H862" s="3"/>
    </row>
    <row r="863">
      <c r="G863" s="7"/>
      <c r="H863" s="3"/>
    </row>
    <row r="864">
      <c r="G864" s="7"/>
      <c r="H864" s="3"/>
    </row>
    <row r="865">
      <c r="G865" s="7"/>
      <c r="H865" s="3"/>
    </row>
    <row r="866">
      <c r="G866" s="7"/>
      <c r="H866" s="3"/>
    </row>
    <row r="867">
      <c r="G867" s="7"/>
      <c r="H867" s="3"/>
    </row>
    <row r="868">
      <c r="G868" s="7"/>
      <c r="H868" s="3"/>
    </row>
    <row r="869">
      <c r="G869" s="7"/>
      <c r="H869" s="3"/>
    </row>
    <row r="870">
      <c r="G870" s="7"/>
      <c r="H870" s="3"/>
    </row>
    <row r="871">
      <c r="G871" s="7"/>
      <c r="H871" s="3"/>
    </row>
    <row r="872">
      <c r="G872" s="7"/>
      <c r="H872" s="3"/>
    </row>
    <row r="873">
      <c r="G873" s="7"/>
      <c r="H873" s="3"/>
    </row>
    <row r="874">
      <c r="G874" s="7"/>
      <c r="H874" s="3"/>
    </row>
    <row r="875">
      <c r="G875" s="7"/>
      <c r="H875" s="3"/>
    </row>
    <row r="876">
      <c r="G876" s="7"/>
      <c r="H876" s="3"/>
    </row>
    <row r="877">
      <c r="G877" s="7"/>
      <c r="H877" s="3"/>
    </row>
    <row r="878">
      <c r="G878" s="7"/>
      <c r="H878" s="3"/>
    </row>
    <row r="879">
      <c r="G879" s="7"/>
      <c r="H879" s="3"/>
    </row>
    <row r="880">
      <c r="G880" s="7"/>
      <c r="H880" s="3"/>
    </row>
    <row r="881">
      <c r="G881" s="7"/>
      <c r="H881" s="3"/>
    </row>
    <row r="882">
      <c r="G882" s="7"/>
      <c r="H882" s="3"/>
    </row>
    <row r="883">
      <c r="G883" s="7"/>
      <c r="H883" s="3"/>
    </row>
    <row r="884">
      <c r="G884" s="7"/>
      <c r="H884" s="3"/>
    </row>
    <row r="885">
      <c r="G885" s="7"/>
      <c r="H885" s="3"/>
    </row>
    <row r="886">
      <c r="G886" s="7"/>
      <c r="H886" s="3"/>
    </row>
    <row r="887">
      <c r="G887" s="7"/>
      <c r="H887" s="3"/>
    </row>
    <row r="888">
      <c r="G888" s="7"/>
      <c r="H888" s="3"/>
    </row>
    <row r="889">
      <c r="G889" s="7"/>
      <c r="H889" s="3"/>
    </row>
    <row r="890">
      <c r="G890" s="7"/>
      <c r="H890" s="3"/>
    </row>
    <row r="891">
      <c r="G891" s="7"/>
      <c r="H891" s="3"/>
    </row>
    <row r="892">
      <c r="G892" s="7"/>
      <c r="H892" s="3"/>
    </row>
    <row r="893">
      <c r="G893" s="7"/>
      <c r="H893" s="3"/>
    </row>
    <row r="894">
      <c r="G894" s="7"/>
      <c r="H894" s="3"/>
    </row>
    <row r="895">
      <c r="G895" s="7"/>
      <c r="H895" s="3"/>
    </row>
    <row r="896">
      <c r="G896" s="7"/>
      <c r="H896" s="3"/>
    </row>
    <row r="897">
      <c r="G897" s="7"/>
      <c r="H897" s="3"/>
    </row>
    <row r="898">
      <c r="G898" s="7"/>
      <c r="H898" s="3"/>
    </row>
    <row r="899">
      <c r="G899" s="7"/>
      <c r="H899" s="3"/>
    </row>
    <row r="900">
      <c r="G900" s="7"/>
      <c r="H900" s="3"/>
    </row>
    <row r="901">
      <c r="G901" s="7"/>
      <c r="H901" s="3"/>
    </row>
    <row r="902">
      <c r="G902" s="7"/>
      <c r="H902" s="3"/>
    </row>
    <row r="903">
      <c r="G903" s="7"/>
      <c r="H903" s="3"/>
    </row>
    <row r="904">
      <c r="G904" s="7"/>
      <c r="H904" s="3"/>
    </row>
    <row r="905">
      <c r="G905" s="7"/>
      <c r="H905" s="3"/>
    </row>
    <row r="906">
      <c r="G906" s="7"/>
      <c r="H906" s="3"/>
    </row>
    <row r="907">
      <c r="G907" s="7"/>
      <c r="H907" s="3"/>
    </row>
    <row r="908">
      <c r="G908" s="7"/>
      <c r="H908" s="3"/>
    </row>
    <row r="909">
      <c r="G909" s="7"/>
      <c r="H909" s="3"/>
    </row>
    <row r="910">
      <c r="G910" s="7"/>
      <c r="H910" s="3"/>
    </row>
    <row r="911">
      <c r="G911" s="7"/>
      <c r="H911" s="3"/>
    </row>
    <row r="912">
      <c r="G912" s="7"/>
      <c r="H912" s="3"/>
    </row>
    <row r="913">
      <c r="G913" s="7"/>
      <c r="H913" s="3"/>
    </row>
    <row r="914">
      <c r="G914" s="7"/>
      <c r="H914" s="3"/>
    </row>
    <row r="915">
      <c r="G915" s="7"/>
      <c r="H915" s="3"/>
    </row>
    <row r="916">
      <c r="G916" s="7"/>
      <c r="H916" s="3"/>
    </row>
    <row r="917">
      <c r="G917" s="7"/>
      <c r="H917" s="3"/>
    </row>
    <row r="918">
      <c r="G918" s="7"/>
      <c r="H918" s="3"/>
    </row>
    <row r="919">
      <c r="G919" s="7"/>
      <c r="H919" s="3"/>
    </row>
    <row r="920">
      <c r="G920" s="7"/>
      <c r="H920" s="3"/>
    </row>
    <row r="921">
      <c r="G921" s="7"/>
      <c r="H921" s="3"/>
    </row>
    <row r="922">
      <c r="G922" s="7"/>
      <c r="H922" s="3"/>
    </row>
    <row r="923">
      <c r="G923" s="7"/>
      <c r="H923" s="3"/>
    </row>
    <row r="924">
      <c r="G924" s="7"/>
      <c r="H924" s="3"/>
    </row>
    <row r="925">
      <c r="G925" s="7"/>
      <c r="H925" s="3"/>
    </row>
    <row r="926">
      <c r="G926" s="7"/>
      <c r="H926" s="3"/>
    </row>
    <row r="927">
      <c r="G927" s="7"/>
      <c r="H927" s="3"/>
    </row>
    <row r="928">
      <c r="G928" s="7"/>
      <c r="H928" s="3"/>
    </row>
    <row r="929">
      <c r="G929" s="7"/>
      <c r="H929" s="3"/>
    </row>
    <row r="930">
      <c r="G930" s="7"/>
      <c r="H930" s="3"/>
    </row>
    <row r="931">
      <c r="G931" s="7"/>
      <c r="H931" s="3"/>
    </row>
    <row r="932">
      <c r="G932" s="7"/>
      <c r="H932" s="3"/>
    </row>
    <row r="933">
      <c r="G933" s="7"/>
      <c r="H933" s="3"/>
    </row>
    <row r="934">
      <c r="G934" s="7"/>
      <c r="H934" s="3"/>
    </row>
    <row r="935">
      <c r="G935" s="7"/>
      <c r="H935" s="3"/>
    </row>
    <row r="936">
      <c r="G936" s="7"/>
      <c r="H936" s="3"/>
    </row>
    <row r="937">
      <c r="G937" s="7"/>
      <c r="H937" s="3"/>
    </row>
    <row r="938">
      <c r="G938" s="7"/>
      <c r="H938" s="3"/>
    </row>
    <row r="939">
      <c r="G939" s="7"/>
      <c r="H939" s="3"/>
    </row>
    <row r="940">
      <c r="G940" s="7"/>
      <c r="H940" s="3"/>
    </row>
    <row r="941">
      <c r="G941" s="7"/>
      <c r="H941" s="3"/>
    </row>
    <row r="942">
      <c r="G942" s="7"/>
      <c r="H942" s="3"/>
    </row>
    <row r="943">
      <c r="G943" s="7"/>
      <c r="H943" s="3"/>
    </row>
    <row r="944">
      <c r="G944" s="7"/>
      <c r="H944" s="3"/>
    </row>
    <row r="945">
      <c r="G945" s="7"/>
      <c r="H945" s="3"/>
    </row>
    <row r="946">
      <c r="G946" s="7"/>
      <c r="H946" s="3"/>
    </row>
    <row r="947">
      <c r="G947" s="7"/>
      <c r="H947" s="3"/>
    </row>
    <row r="948">
      <c r="G948" s="7"/>
      <c r="H948" s="3"/>
    </row>
    <row r="949">
      <c r="G949" s="7"/>
      <c r="H949" s="3"/>
    </row>
    <row r="950">
      <c r="G950" s="7"/>
      <c r="H950" s="3"/>
    </row>
    <row r="951">
      <c r="G951" s="7"/>
      <c r="H951" s="3"/>
    </row>
    <row r="952">
      <c r="G952" s="7"/>
      <c r="H952" s="3"/>
    </row>
    <row r="953">
      <c r="G953" s="7"/>
      <c r="H953" s="3"/>
    </row>
    <row r="954">
      <c r="G954" s="7"/>
      <c r="H954" s="3"/>
    </row>
    <row r="955">
      <c r="G955" s="7"/>
      <c r="H955" s="3"/>
    </row>
    <row r="956">
      <c r="G956" s="7"/>
      <c r="H956" s="3"/>
    </row>
    <row r="957">
      <c r="G957" s="7"/>
      <c r="H957" s="3"/>
    </row>
    <row r="958">
      <c r="G958" s="7"/>
      <c r="H958" s="3"/>
    </row>
    <row r="959">
      <c r="G959" s="7"/>
      <c r="H959" s="3"/>
    </row>
    <row r="960">
      <c r="G960" s="7"/>
      <c r="H960" s="3"/>
    </row>
    <row r="961">
      <c r="G961" s="7"/>
      <c r="H961" s="3"/>
    </row>
    <row r="962">
      <c r="G962" s="7"/>
      <c r="H962" s="3"/>
    </row>
    <row r="963">
      <c r="G963" s="7"/>
      <c r="H963" s="3"/>
    </row>
    <row r="964">
      <c r="G964" s="7"/>
      <c r="H964" s="3"/>
    </row>
    <row r="965">
      <c r="G965" s="7"/>
      <c r="H965" s="3"/>
    </row>
    <row r="966">
      <c r="G966" s="7"/>
      <c r="H966" s="3"/>
    </row>
    <row r="967">
      <c r="G967" s="7"/>
      <c r="H967" s="3"/>
    </row>
    <row r="968">
      <c r="G968" s="7"/>
      <c r="H968" s="3"/>
    </row>
    <row r="969">
      <c r="G969" s="7"/>
      <c r="H969" s="3"/>
    </row>
    <row r="970">
      <c r="G970" s="7"/>
      <c r="H970" s="3"/>
    </row>
    <row r="971">
      <c r="G971" s="7"/>
      <c r="H971" s="3"/>
    </row>
    <row r="972">
      <c r="G972" s="7"/>
      <c r="H972" s="3"/>
    </row>
    <row r="973">
      <c r="G973" s="7"/>
      <c r="H973" s="3"/>
    </row>
    <row r="974">
      <c r="G974" s="7"/>
      <c r="H974" s="3"/>
    </row>
    <row r="975">
      <c r="G975" s="7"/>
      <c r="H975" s="3"/>
    </row>
    <row r="976">
      <c r="G976" s="7"/>
      <c r="H976" s="3"/>
    </row>
    <row r="977">
      <c r="G977" s="7"/>
      <c r="H977" s="3"/>
    </row>
    <row r="978">
      <c r="G978" s="7"/>
      <c r="H978" s="3"/>
    </row>
    <row r="979">
      <c r="G979" s="7"/>
      <c r="H979" s="3"/>
    </row>
    <row r="980">
      <c r="G980" s="7"/>
      <c r="H980" s="3"/>
    </row>
    <row r="981">
      <c r="G981" s="7"/>
      <c r="H981" s="3"/>
    </row>
    <row r="982">
      <c r="G982" s="7"/>
      <c r="H982" s="3"/>
    </row>
    <row r="983">
      <c r="G983" s="7"/>
      <c r="H983" s="3"/>
    </row>
    <row r="984">
      <c r="G984" s="7"/>
      <c r="H984" s="3"/>
    </row>
    <row r="985">
      <c r="G985" s="7"/>
      <c r="H985" s="3"/>
    </row>
    <row r="986">
      <c r="G986" s="7"/>
      <c r="H986" s="3"/>
    </row>
    <row r="987">
      <c r="G987" s="7"/>
      <c r="H987" s="3"/>
    </row>
    <row r="988">
      <c r="G988" s="7"/>
      <c r="H988" s="3"/>
    </row>
    <row r="989">
      <c r="G989" s="7"/>
      <c r="H989" s="3"/>
    </row>
    <row r="990">
      <c r="G990" s="7"/>
      <c r="H990" s="3"/>
    </row>
    <row r="991">
      <c r="G991" s="7"/>
      <c r="H991" s="3"/>
    </row>
    <row r="992">
      <c r="G992" s="7"/>
      <c r="H992" s="3"/>
    </row>
    <row r="993">
      <c r="G993" s="7"/>
      <c r="H993" s="3"/>
    </row>
    <row r="994">
      <c r="G994" s="7"/>
      <c r="H994" s="3"/>
    </row>
    <row r="995">
      <c r="G995" s="7"/>
      <c r="H995" s="3"/>
    </row>
    <row r="996">
      <c r="G996" s="7"/>
      <c r="H996" s="3"/>
    </row>
    <row r="997">
      <c r="G997" s="7"/>
      <c r="H997" s="3"/>
    </row>
    <row r="998">
      <c r="G998" s="7"/>
      <c r="H998" s="3"/>
    </row>
    <row r="999">
      <c r="G999" s="7"/>
      <c r="H999" s="3"/>
    </row>
    <row r="1000">
      <c r="G1000" s="7"/>
      <c r="H1000" s="3"/>
    </row>
    <row r="1001">
      <c r="G1001" s="7"/>
      <c r="H1001" s="3"/>
    </row>
    <row r="1002">
      <c r="G1002" s="7"/>
      <c r="H1002" s="3"/>
    </row>
    <row r="1003">
      <c r="G1003" s="7"/>
      <c r="H1003" s="3"/>
    </row>
    <row r="1004">
      <c r="G1004" s="7"/>
      <c r="H1004" s="3"/>
    </row>
    <row r="1005">
      <c r="G1005" s="7"/>
      <c r="H1005" s="3"/>
    </row>
    <row r="1006">
      <c r="G1006" s="7"/>
      <c r="H1006" s="3"/>
    </row>
    <row r="1007">
      <c r="G1007" s="7"/>
      <c r="H1007" s="3"/>
    </row>
  </sheetData>
  <conditionalFormatting sqref="G1:G2">
    <cfRule type="cellIs" dxfId="0" priority="1" operator="lessThan">
      <formula>0</formula>
    </cfRule>
  </conditionalFormatting>
  <hyperlinks>
    <hyperlink r:id="rId1" ref="D7"/>
    <hyperlink r:id="rId2" ref="D8"/>
    <hyperlink r:id="rId3" ref="D17"/>
    <hyperlink r:id="rId4" ref="D18"/>
    <hyperlink r:id="rId5" ref="D19"/>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4"/>
    <col customWidth="1" min="2" max="2" width="26.29"/>
    <col customWidth="1" min="3" max="3" width="26.71"/>
    <col customWidth="1" min="5" max="5" width="15.43"/>
  </cols>
  <sheetData>
    <row r="1">
      <c r="A1" s="1"/>
      <c r="B1" s="1"/>
      <c r="D1" s="2"/>
      <c r="E1" s="2"/>
    </row>
    <row r="2">
      <c r="A2" s="1"/>
      <c r="B2" s="1" t="s">
        <v>38</v>
      </c>
      <c r="D2" s="2" t="s">
        <v>39</v>
      </c>
      <c r="E2" s="2" t="s">
        <v>40</v>
      </c>
    </row>
    <row r="3">
      <c r="A3" s="6"/>
      <c r="B3" s="6"/>
    </row>
    <row r="4">
      <c r="A4" s="6"/>
      <c r="B4" s="6" t="s">
        <v>41</v>
      </c>
    </row>
    <row r="5">
      <c r="A5" s="1"/>
      <c r="B5" s="1" t="s">
        <v>42</v>
      </c>
      <c r="D5" s="7">
        <f>SUM('Parity Data'!F4:F10)</f>
        <v>313443.436</v>
      </c>
      <c r="E5" s="7">
        <f>SUM('Parity Data'!F11:F16)</f>
        <v>39443.80485</v>
      </c>
    </row>
    <row r="6">
      <c r="A6" s="1"/>
      <c r="B6" s="1" t="s">
        <v>43</v>
      </c>
      <c r="D6" s="7">
        <f>SUM('Parity Data'!L4:L10)</f>
        <v>100847.4035</v>
      </c>
      <c r="E6" s="7">
        <f>SUM('Parity Data'!L11:L16)</f>
        <v>132252.5262</v>
      </c>
    </row>
    <row r="7">
      <c r="B7" s="10"/>
      <c r="C7" s="11" t="s">
        <v>44</v>
      </c>
      <c r="D7" s="12">
        <f t="shared" ref="D7:E7" si="1">SUM(D5:D6)</f>
        <v>414290.8395</v>
      </c>
      <c r="E7" s="12">
        <f t="shared" si="1"/>
        <v>171696.3311</v>
      </c>
    </row>
    <row r="10">
      <c r="A10" s="6"/>
      <c r="B10" s="6" t="s">
        <v>45</v>
      </c>
    </row>
    <row r="11">
      <c r="B11" s="9" t="str">
        <f t="array" ref="B11:B16">'Aggregated Pivots'!P4:P9</f>
        <v>Outreach</v>
      </c>
      <c r="D11" s="23">
        <f t="array" ref="D11:E16">'Aggregated Pivots'!Q4:R9</f>
        <v>1339857.311</v>
      </c>
      <c r="E11" s="23">
        <v>4941690.7714749845</v>
      </c>
    </row>
    <row r="12">
      <c r="B12" s="9" t="s">
        <v>46</v>
      </c>
      <c r="D12" s="23">
        <v>2313476.9064423</v>
      </c>
      <c r="E12" s="23">
        <v>2956611.457916064</v>
      </c>
    </row>
    <row r="13">
      <c r="B13" s="9" t="s">
        <v>47</v>
      </c>
      <c r="D13" s="23"/>
      <c r="E13" s="23">
        <v>2000496.55</v>
      </c>
    </row>
    <row r="14">
      <c r="B14" s="9" t="s">
        <v>48</v>
      </c>
      <c r="D14" s="23">
        <v>777965.874</v>
      </c>
      <c r="E14" s="23">
        <v>704270.4665799001</v>
      </c>
    </row>
    <row r="15">
      <c r="A15" s="1"/>
      <c r="B15" s="1" t="s">
        <v>49</v>
      </c>
      <c r="D15" s="23">
        <v>548136.5155</v>
      </c>
      <c r="E15" s="23">
        <v>451279.5127880018</v>
      </c>
    </row>
    <row r="16">
      <c r="A16" s="1"/>
      <c r="B16" s="1" t="s">
        <v>50</v>
      </c>
      <c r="D16" s="23">
        <v>86686.36230996835</v>
      </c>
      <c r="E16" s="23">
        <v>272967.2873060264</v>
      </c>
    </row>
    <row r="17">
      <c r="B17" s="10"/>
      <c r="C17" s="11" t="s">
        <v>51</v>
      </c>
      <c r="D17" s="12">
        <f t="shared" ref="D17:E17" si="2">-SUM(D11:D16)</f>
        <v>-5066122.969</v>
      </c>
      <c r="E17" s="12">
        <f t="shared" si="2"/>
        <v>-11327316.05</v>
      </c>
    </row>
    <row r="20">
      <c r="A20" s="6"/>
      <c r="B20" s="17" t="s">
        <v>52</v>
      </c>
      <c r="C20" s="16"/>
      <c r="D20" s="18">
        <f t="shared" ref="D20:E20" si="3">D7+D17</f>
        <v>-4651832.13</v>
      </c>
      <c r="E20" s="18">
        <f t="shared" si="3"/>
        <v>-11155619.71</v>
      </c>
    </row>
    <row r="23">
      <c r="A23" s="6"/>
      <c r="B23" s="6" t="s">
        <v>53</v>
      </c>
    </row>
    <row r="24">
      <c r="A24" s="1"/>
      <c r="B24" s="1" t="s">
        <v>54</v>
      </c>
      <c r="D24" s="7">
        <f>SUM('Parity Data'!G4:G10)</f>
        <v>7869100.554</v>
      </c>
      <c r="E24" s="7">
        <f>SUM('Parity Data'!G11:G16)</f>
        <v>5221989.806</v>
      </c>
    </row>
    <row r="25">
      <c r="A25" s="1"/>
      <c r="B25" s="1" t="s">
        <v>55</v>
      </c>
      <c r="D25" s="7">
        <f>SUM('Parity Data'!G23:G29)</f>
        <v>-4058464.774</v>
      </c>
      <c r="E25" s="7">
        <f>SUM('Parity Data'!G30:G35)</f>
        <v>-2506683.732</v>
      </c>
    </row>
    <row r="26">
      <c r="B26" s="10"/>
      <c r="C26" s="11" t="s">
        <v>56</v>
      </c>
      <c r="D26" s="12">
        <f t="shared" ref="D26:E26" si="4">SUM(D24:D25)</f>
        <v>3810635.78</v>
      </c>
      <c r="E26" s="12">
        <f t="shared" si="4"/>
        <v>2715306.074</v>
      </c>
    </row>
    <row r="27">
      <c r="A27" s="6"/>
      <c r="B27" s="6"/>
    </row>
    <row r="28">
      <c r="A28" s="6"/>
      <c r="B28" s="24" t="s">
        <v>57</v>
      </c>
      <c r="C28" s="20"/>
      <c r="D28" s="21">
        <f t="shared" ref="D28:E28" si="5">D20+D26</f>
        <v>-841196.3494</v>
      </c>
      <c r="E28" s="21">
        <f t="shared" si="5"/>
        <v>-8440313.641</v>
      </c>
    </row>
  </sheetData>
  <conditionalFormatting sqref="D1:E980">
    <cfRule type="cellIs" dxfId="0" priority="1" operator="less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16.71"/>
    <col customWidth="1" min="10" max="10" width="37.14"/>
    <col customWidth="1" min="21" max="22" width="18.71"/>
    <col customWidth="1" min="23" max="24" width="16.57"/>
    <col customWidth="1" min="25" max="25" width="19.14"/>
    <col customWidth="1" min="26" max="26" width="14.86"/>
    <col customWidth="1" min="42" max="42" width="19.43"/>
    <col customWidth="1" min="43" max="43" width="39.43"/>
  </cols>
  <sheetData>
    <row r="1">
      <c r="A1" s="25" t="s">
        <v>58</v>
      </c>
      <c r="F1" s="3"/>
      <c r="G1" s="7"/>
      <c r="I1" s="26"/>
      <c r="J1" s="26"/>
      <c r="K1" s="26" t="s">
        <v>59</v>
      </c>
      <c r="O1" s="27"/>
      <c r="P1" s="28"/>
      <c r="Q1" s="28"/>
      <c r="R1" s="28"/>
      <c r="S1" s="28"/>
      <c r="T1" s="29"/>
      <c r="AH1" s="1" t="s">
        <v>60</v>
      </c>
    </row>
    <row r="2">
      <c r="A2" s="9"/>
      <c r="B2" s="9" t="s">
        <v>61</v>
      </c>
      <c r="C2" s="9" t="s">
        <v>62</v>
      </c>
      <c r="E2" s="1" t="s">
        <v>63</v>
      </c>
      <c r="F2" s="3"/>
      <c r="G2" s="7"/>
      <c r="K2" s="9" t="s">
        <v>64</v>
      </c>
      <c r="L2" s="9" t="s">
        <v>65</v>
      </c>
      <c r="M2" s="9" t="s">
        <v>62</v>
      </c>
      <c r="O2" s="30"/>
      <c r="P2" s="9" t="s">
        <v>62</v>
      </c>
      <c r="Q2" s="9"/>
      <c r="R2" s="9"/>
      <c r="S2" s="9"/>
      <c r="T2" s="31"/>
      <c r="U2" s="1"/>
      <c r="V2" s="1" t="s">
        <v>66</v>
      </c>
      <c r="AB2" s="9" t="s">
        <v>65</v>
      </c>
      <c r="AC2" s="9" t="s">
        <v>67</v>
      </c>
      <c r="AD2" s="9"/>
      <c r="AP2" s="1" t="s">
        <v>69</v>
      </c>
      <c r="AU2" s="1" t="s">
        <v>69</v>
      </c>
    </row>
    <row r="3">
      <c r="A3" s="32" t="s">
        <v>70</v>
      </c>
      <c r="B3" s="33">
        <v>9767854.973536538</v>
      </c>
      <c r="C3" s="34">
        <v>2014687.723525936</v>
      </c>
      <c r="E3" s="32" t="s">
        <v>71</v>
      </c>
      <c r="F3" s="3" t="s">
        <v>65</v>
      </c>
      <c r="G3" s="7" t="s">
        <v>62</v>
      </c>
      <c r="K3" s="9" t="s">
        <v>46</v>
      </c>
      <c r="L3" s="33">
        <v>3.5114478642467156E7</v>
      </c>
      <c r="M3" s="34">
        <v>5270088.364358366</v>
      </c>
      <c r="O3" s="30"/>
      <c r="P3" s="9" t="s">
        <v>64</v>
      </c>
      <c r="Q3" s="9" t="s">
        <v>72</v>
      </c>
      <c r="R3" s="9" t="s">
        <v>73</v>
      </c>
      <c r="S3" s="9" t="s">
        <v>74</v>
      </c>
      <c r="T3" s="31"/>
      <c r="V3" s="9"/>
      <c r="W3" s="9" t="s">
        <v>67</v>
      </c>
      <c r="X3" s="9" t="s">
        <v>75</v>
      </c>
      <c r="Y3" s="9"/>
      <c r="Z3" s="9"/>
      <c r="AB3" s="9" t="s">
        <v>64</v>
      </c>
      <c r="AC3" s="9" t="s">
        <v>72</v>
      </c>
      <c r="AD3" s="9" t="s">
        <v>73</v>
      </c>
      <c r="AP3" s="9" t="s">
        <v>64</v>
      </c>
      <c r="AQ3" s="9" t="s">
        <v>79</v>
      </c>
      <c r="AR3" s="9" t="s">
        <v>65</v>
      </c>
      <c r="AS3" s="9" t="s">
        <v>62</v>
      </c>
    </row>
    <row r="4">
      <c r="A4" s="32" t="s">
        <v>76</v>
      </c>
      <c r="B4" s="33">
        <v>1.688219086636672E7</v>
      </c>
      <c r="C4" s="34">
        <v>3051435.245578105</v>
      </c>
      <c r="E4" s="32" t="s">
        <v>80</v>
      </c>
      <c r="F4" s="3">
        <v>1.142426853224613E7</v>
      </c>
      <c r="G4" s="7">
        <v>1493131.8373445536</v>
      </c>
      <c r="K4" s="9" t="s">
        <v>47</v>
      </c>
      <c r="L4" s="33">
        <v>1.5261618886884496E7</v>
      </c>
      <c r="M4" s="34">
        <v>2000496.55</v>
      </c>
      <c r="O4" s="30"/>
      <c r="P4" s="9" t="s">
        <v>81</v>
      </c>
      <c r="Q4" s="34">
        <v>1339857.3108517632</v>
      </c>
      <c r="R4" s="34">
        <v>4941690.7714749845</v>
      </c>
      <c r="S4" s="34">
        <v>6281548.08232675</v>
      </c>
      <c r="T4" s="31"/>
      <c r="V4" s="9"/>
      <c r="W4" s="9" t="s">
        <v>72</v>
      </c>
      <c r="X4" s="9"/>
      <c r="Y4" s="9" t="s">
        <v>73</v>
      </c>
      <c r="Z4" s="9"/>
      <c r="AB4" s="9" t="s">
        <v>81</v>
      </c>
      <c r="AC4" s="33">
        <v>7721865.677333966</v>
      </c>
      <c r="AD4" s="33">
        <v>3.6739259107090354E7</v>
      </c>
      <c r="AP4" s="9" t="s">
        <v>81</v>
      </c>
      <c r="AQ4" s="9" t="s">
        <v>82</v>
      </c>
      <c r="AR4" s="33">
        <v>1.0085878652187347E7</v>
      </c>
      <c r="AS4" s="34">
        <v>1463621.8</v>
      </c>
    </row>
    <row r="5">
      <c r="A5" s="32" t="s">
        <v>77</v>
      </c>
      <c r="B5" s="33">
        <v>3.0671137212064978E7</v>
      </c>
      <c r="C5" s="34">
        <v>3609180.6401166692</v>
      </c>
      <c r="E5" s="32" t="s">
        <v>83</v>
      </c>
      <c r="F5" s="3">
        <v>102923.0</v>
      </c>
      <c r="G5" s="7">
        <v>15062.479070879665</v>
      </c>
      <c r="K5" s="9" t="s">
        <v>49</v>
      </c>
      <c r="L5" s="33">
        <v>6635758.646851752</v>
      </c>
      <c r="M5" s="34">
        <v>999416.0282880001</v>
      </c>
      <c r="O5" s="30"/>
      <c r="P5" s="9" t="s">
        <v>46</v>
      </c>
      <c r="Q5" s="34">
        <v>2313476.9064423</v>
      </c>
      <c r="R5" s="34">
        <v>2956611.457916064</v>
      </c>
      <c r="S5" s="34">
        <v>5270088.364358366</v>
      </c>
      <c r="T5" s="31"/>
      <c r="V5" s="9" t="s">
        <v>64</v>
      </c>
      <c r="W5" s="9" t="s">
        <v>62</v>
      </c>
      <c r="X5" s="9" t="s">
        <v>65</v>
      </c>
      <c r="Y5" s="9" t="s">
        <v>62</v>
      </c>
      <c r="Z5" s="9" t="s">
        <v>65</v>
      </c>
      <c r="AB5" s="9" t="s">
        <v>46</v>
      </c>
      <c r="AC5" s="33">
        <v>1.1980760118584558E7</v>
      </c>
      <c r="AD5" s="33">
        <v>2.3133718523882594E7</v>
      </c>
      <c r="AP5" s="9"/>
      <c r="AQ5" s="9" t="s">
        <v>84</v>
      </c>
      <c r="AR5" s="33">
        <v>4881942.899836242</v>
      </c>
      <c r="AS5" s="34">
        <v>648390.654</v>
      </c>
    </row>
    <row r="6">
      <c r="A6" s="32" t="s">
        <v>78</v>
      </c>
      <c r="B6" s="33">
        <v>5.5915573534816176E7</v>
      </c>
      <c r="C6" s="34">
        <v>7718135.40594831</v>
      </c>
      <c r="E6" s="32" t="s">
        <v>85</v>
      </c>
      <c r="F6" s="3">
        <v>7.505951921463497E7</v>
      </c>
      <c r="G6" s="7">
        <v>9819121.729649547</v>
      </c>
      <c r="K6" s="9" t="s">
        <v>81</v>
      </c>
      <c r="L6" s="33">
        <v>4.44611247844244E7</v>
      </c>
      <c r="M6" s="34">
        <v>6281548.08232675</v>
      </c>
      <c r="O6" s="30"/>
      <c r="P6" s="9" t="s">
        <v>47</v>
      </c>
      <c r="Q6" s="9"/>
      <c r="R6" s="34">
        <v>2000496.55</v>
      </c>
      <c r="S6" s="34">
        <v>2000496.55</v>
      </c>
      <c r="T6" s="31"/>
      <c r="V6" s="9" t="s">
        <v>81</v>
      </c>
      <c r="W6" s="34">
        <v>1339857.3108517632</v>
      </c>
      <c r="X6" s="33">
        <v>7721865.677333966</v>
      </c>
      <c r="Y6" s="34">
        <v>4941690.7714749845</v>
      </c>
      <c r="Z6" s="33">
        <v>3.6739259107090354E7</v>
      </c>
      <c r="AB6" s="9" t="s">
        <v>47</v>
      </c>
      <c r="AC6" s="9"/>
      <c r="AD6" s="33">
        <v>1.5261618886884496E7</v>
      </c>
      <c r="AP6" s="9"/>
      <c r="AQ6" s="9" t="s">
        <v>86</v>
      </c>
      <c r="AR6" s="33">
        <v>4468792.519587632</v>
      </c>
      <c r="AS6" s="34">
        <v>566171.3797899997</v>
      </c>
    </row>
    <row r="7">
      <c r="A7" s="9" t="s">
        <v>74</v>
      </c>
      <c r="B7" s="33">
        <v>1.1323675658678426E8</v>
      </c>
      <c r="C7" s="34">
        <v>1.6393439015168993E7</v>
      </c>
      <c r="E7" s="9" t="s">
        <v>74</v>
      </c>
      <c r="F7" s="3">
        <v>8.65867107468809E7</v>
      </c>
      <c r="G7" s="7">
        <v>1.132731604606496E7</v>
      </c>
      <c r="K7" s="9" t="s">
        <v>50</v>
      </c>
      <c r="L7" s="33">
        <v>2593047.123329692</v>
      </c>
      <c r="M7" s="34">
        <v>359653.6496159949</v>
      </c>
      <c r="O7" s="30"/>
      <c r="P7" s="9" t="s">
        <v>48</v>
      </c>
      <c r="Q7" s="34">
        <v>777965.874</v>
      </c>
      <c r="R7" s="34">
        <v>704270.4665799001</v>
      </c>
      <c r="S7" s="34">
        <v>1482236.3405799</v>
      </c>
      <c r="T7" s="31"/>
      <c r="V7" s="9" t="s">
        <v>46</v>
      </c>
      <c r="W7" s="34">
        <v>2313476.9064423</v>
      </c>
      <c r="X7" s="33">
        <v>1.1980760118584558E7</v>
      </c>
      <c r="Y7" s="34">
        <v>2956611.457916064</v>
      </c>
      <c r="Z7" s="33">
        <v>2.3133718523882594E7</v>
      </c>
      <c r="AB7" s="9" t="s">
        <v>48</v>
      </c>
      <c r="AC7" s="33">
        <v>3643899.111500238</v>
      </c>
      <c r="AD7" s="33">
        <v>5526829.3913267</v>
      </c>
      <c r="AP7" s="9"/>
      <c r="AQ7" s="9" t="s">
        <v>87</v>
      </c>
      <c r="AR7" s="33">
        <v>4075101.7768012853</v>
      </c>
      <c r="AS7" s="34">
        <v>538706.49</v>
      </c>
    </row>
    <row r="8">
      <c r="F8" s="3"/>
      <c r="G8" s="7"/>
      <c r="K8" s="9" t="s">
        <v>48</v>
      </c>
      <c r="L8" s="33">
        <v>9170728.502826937</v>
      </c>
      <c r="M8" s="34">
        <v>1482236.3405799</v>
      </c>
      <c r="O8" s="30"/>
      <c r="P8" s="9" t="s">
        <v>49</v>
      </c>
      <c r="Q8" s="34">
        <v>548136.5155</v>
      </c>
      <c r="R8" s="34">
        <v>451279.5127880018</v>
      </c>
      <c r="S8" s="34">
        <v>999416.0282880001</v>
      </c>
      <c r="T8" s="31"/>
      <c r="V8" s="9" t="s">
        <v>47</v>
      </c>
      <c r="W8" s="9"/>
      <c r="X8" s="9"/>
      <c r="Y8" s="34">
        <v>2000496.55</v>
      </c>
      <c r="Z8" s="33">
        <v>1.5261618886884496E7</v>
      </c>
      <c r="AB8" s="9" t="s">
        <v>49</v>
      </c>
      <c r="AC8" s="33">
        <v>2837899.143828168</v>
      </c>
      <c r="AD8" s="33">
        <v>3797859.503023577</v>
      </c>
      <c r="AP8" s="9"/>
      <c r="AQ8" s="9" t="s">
        <v>88</v>
      </c>
      <c r="AR8" s="33">
        <v>3853701.0085143424</v>
      </c>
      <c r="AS8" s="34">
        <v>503646.71</v>
      </c>
    </row>
    <row r="9">
      <c r="F9" s="3"/>
      <c r="G9" s="7"/>
      <c r="K9" s="9" t="s">
        <v>74</v>
      </c>
      <c r="L9" s="33">
        <v>1.1323675658678426E8</v>
      </c>
      <c r="M9" s="34">
        <v>1.6393439015168993E7</v>
      </c>
      <c r="O9" s="30"/>
      <c r="P9" s="9" t="s">
        <v>50</v>
      </c>
      <c r="Q9" s="34">
        <v>86686.36230996835</v>
      </c>
      <c r="R9" s="34">
        <v>272967.2873060264</v>
      </c>
      <c r="S9" s="34">
        <v>359653.6496159949</v>
      </c>
      <c r="T9" s="31"/>
      <c r="V9" s="9" t="s">
        <v>48</v>
      </c>
      <c r="W9" s="34">
        <v>777965.874</v>
      </c>
      <c r="X9" s="33">
        <v>3643899.111500238</v>
      </c>
      <c r="Y9" s="34">
        <v>704270.4665799001</v>
      </c>
      <c r="Z9" s="33">
        <v>5526829.3913267</v>
      </c>
      <c r="AB9" s="9" t="s">
        <v>50</v>
      </c>
      <c r="AC9" s="33">
        <v>465621.7886563239</v>
      </c>
      <c r="AD9" s="33">
        <v>2127425.334673369</v>
      </c>
      <c r="AP9" s="9"/>
      <c r="AQ9" s="9" t="s">
        <v>89</v>
      </c>
      <c r="AR9" s="33">
        <v>3188360.389855078</v>
      </c>
      <c r="AS9" s="34">
        <v>442766.47400000005</v>
      </c>
    </row>
    <row r="10">
      <c r="F10" s="3"/>
      <c r="G10" s="7"/>
      <c r="O10" s="30"/>
      <c r="P10" s="9" t="s">
        <v>74</v>
      </c>
      <c r="Q10" s="34">
        <v>5066122.969104035</v>
      </c>
      <c r="R10" s="34">
        <v>1.132731604606496E7</v>
      </c>
      <c r="S10" s="34">
        <v>1.6393439015168993E7</v>
      </c>
      <c r="T10" s="31"/>
      <c r="V10" s="9" t="s">
        <v>49</v>
      </c>
      <c r="W10" s="34">
        <v>548136.5155</v>
      </c>
      <c r="X10" s="33">
        <v>2837899.143828168</v>
      </c>
      <c r="Y10" s="34">
        <v>451279.5127880018</v>
      </c>
      <c r="Z10" s="33">
        <v>3797859.503023577</v>
      </c>
      <c r="AB10" s="9" t="s">
        <v>74</v>
      </c>
      <c r="AC10" s="33">
        <v>2.6650045839903243E7</v>
      </c>
      <c r="AD10" s="33">
        <v>8.65867107468809E7</v>
      </c>
      <c r="AP10" s="9"/>
      <c r="AQ10" s="9" t="s">
        <v>91</v>
      </c>
      <c r="AR10" s="33">
        <v>2949956.8683099365</v>
      </c>
      <c r="AS10" s="34">
        <v>326506.82</v>
      </c>
    </row>
    <row r="11">
      <c r="F11" s="3"/>
      <c r="G11" s="7"/>
      <c r="O11" s="30"/>
      <c r="T11" s="31"/>
      <c r="V11" s="9" t="s">
        <v>50</v>
      </c>
      <c r="W11" s="34">
        <v>86686.36230996835</v>
      </c>
      <c r="X11" s="33">
        <v>465621.7886563239</v>
      </c>
      <c r="Y11" s="34">
        <v>272967.2873060264</v>
      </c>
      <c r="Z11" s="33">
        <v>2127425.334673369</v>
      </c>
      <c r="AP11" s="9"/>
      <c r="AQ11" s="9" t="s">
        <v>92</v>
      </c>
      <c r="AR11" s="33">
        <v>968021.4049769212</v>
      </c>
      <c r="AS11" s="34">
        <v>128438.22</v>
      </c>
    </row>
    <row r="12">
      <c r="F12" s="3"/>
      <c r="G12" s="7"/>
      <c r="O12" s="35"/>
      <c r="P12" s="36"/>
      <c r="Q12" s="36"/>
      <c r="R12" s="36"/>
      <c r="S12" s="36"/>
      <c r="T12" s="37"/>
      <c r="V12" s="9" t="s">
        <v>74</v>
      </c>
      <c r="W12" s="34">
        <v>5066122.969104035</v>
      </c>
      <c r="X12" s="33">
        <v>2.6650045839903243E7</v>
      </c>
      <c r="Y12" s="34">
        <v>1.132731604606496E7</v>
      </c>
      <c r="Z12" s="33">
        <v>8.65867107468809E7</v>
      </c>
      <c r="AP12" s="9"/>
      <c r="AQ12" s="9" t="s">
        <v>93</v>
      </c>
      <c r="AR12" s="33">
        <v>874044.3117422283</v>
      </c>
      <c r="AS12" s="34">
        <v>126502.79368499476</v>
      </c>
    </row>
    <row r="13">
      <c r="F13" s="3"/>
      <c r="G13" s="7"/>
      <c r="O13" s="27"/>
      <c r="P13" s="38"/>
      <c r="Q13" s="38"/>
      <c r="R13" s="38"/>
      <c r="S13" s="38"/>
      <c r="T13" s="39"/>
      <c r="AP13" s="9"/>
      <c r="AQ13" s="9" t="s">
        <v>94</v>
      </c>
      <c r="AR13" s="3">
        <v>837446.9980122624</v>
      </c>
      <c r="AS13" s="7">
        <v>121795.774</v>
      </c>
    </row>
    <row r="14">
      <c r="A14" s="1" t="s">
        <v>95</v>
      </c>
      <c r="E14" s="9"/>
      <c r="F14" s="3" t="s">
        <v>61</v>
      </c>
      <c r="G14" s="3"/>
      <c r="O14" s="30"/>
      <c r="P14" s="1" t="s">
        <v>96</v>
      </c>
      <c r="T14" s="31"/>
      <c r="AP14" s="9"/>
      <c r="AQ14" s="9" t="s">
        <v>97</v>
      </c>
      <c r="AR14" s="33">
        <v>508926.57249792205</v>
      </c>
      <c r="AS14" s="34">
        <v>67647.65599999999</v>
      </c>
    </row>
    <row r="15">
      <c r="A15" s="9"/>
      <c r="B15" s="9" t="s">
        <v>61</v>
      </c>
      <c r="C15" s="9" t="s">
        <v>62</v>
      </c>
      <c r="E15" s="32" t="s">
        <v>70</v>
      </c>
      <c r="F15" s="3">
        <v>9767854.973536538</v>
      </c>
      <c r="G15" s="3"/>
      <c r="O15" s="35"/>
      <c r="P15" s="36"/>
      <c r="Q15" s="36"/>
      <c r="R15" s="36"/>
      <c r="S15" s="36"/>
      <c r="T15" s="37"/>
      <c r="AP15" s="9"/>
      <c r="AQ15" s="9" t="s">
        <v>98</v>
      </c>
      <c r="AR15" s="33">
        <v>47085.70476913452</v>
      </c>
      <c r="AS15" s="34">
        <v>7496.0</v>
      </c>
    </row>
    <row r="16">
      <c r="A16" s="32" t="s">
        <v>99</v>
      </c>
      <c r="B16" s="33">
        <v>5000582.275268858</v>
      </c>
      <c r="C16" s="34">
        <v>928767.4475046343</v>
      </c>
      <c r="E16" s="32" t="s">
        <v>76</v>
      </c>
      <c r="F16" s="3">
        <v>1.688219086636672E7</v>
      </c>
      <c r="G16" s="3"/>
      <c r="Q16" s="1"/>
      <c r="R16" s="1"/>
      <c r="S16" s="1"/>
      <c r="T16" s="1"/>
      <c r="AP16" s="9" t="s">
        <v>100</v>
      </c>
      <c r="AQ16" s="9"/>
      <c r="AR16" s="33">
        <v>3.6739259107090354E7</v>
      </c>
      <c r="AS16" s="34">
        <v>4941690.7714749845</v>
      </c>
    </row>
    <row r="17">
      <c r="A17" s="32" t="s">
        <v>101</v>
      </c>
      <c r="B17" s="33">
        <v>2106068.866965194</v>
      </c>
      <c r="C17" s="34">
        <v>440412.13705012103</v>
      </c>
      <c r="E17" s="32" t="s">
        <v>77</v>
      </c>
      <c r="F17" s="3">
        <v>3.0671137212064978E7</v>
      </c>
      <c r="G17" s="3"/>
      <c r="AP17" s="9" t="s">
        <v>46</v>
      </c>
      <c r="AQ17" s="9" t="s">
        <v>102</v>
      </c>
      <c r="AR17" s="33">
        <v>5092911.609424671</v>
      </c>
      <c r="AS17" s="34">
        <v>689361.4834478797</v>
      </c>
    </row>
    <row r="18">
      <c r="A18" s="32" t="s">
        <v>103</v>
      </c>
      <c r="B18" s="33">
        <v>2661203.8313024826</v>
      </c>
      <c r="C18" s="34">
        <v>645508.1389711794</v>
      </c>
      <c r="E18" s="32" t="s">
        <v>78</v>
      </c>
      <c r="F18" s="3">
        <v>5.5915573534816176E7</v>
      </c>
      <c r="G18" s="3"/>
      <c r="AA18" s="40" t="s">
        <v>66</v>
      </c>
      <c r="AH18" s="40" t="s">
        <v>60</v>
      </c>
      <c r="AP18" s="9"/>
      <c r="AQ18" s="9" t="s">
        <v>104</v>
      </c>
      <c r="AR18" s="33">
        <v>4048918.496201515</v>
      </c>
      <c r="AS18" s="34">
        <v>515521.0</v>
      </c>
    </row>
    <row r="19">
      <c r="A19" s="32" t="s">
        <v>105</v>
      </c>
      <c r="B19" s="33">
        <v>5045501.867689958</v>
      </c>
      <c r="C19" s="34">
        <v>1216559.5439012083</v>
      </c>
      <c r="E19" s="9" t="s">
        <v>74</v>
      </c>
      <c r="F19" s="3">
        <v>1.1323675658678426E8</v>
      </c>
      <c r="G19" s="3"/>
      <c r="AP19" s="9"/>
      <c r="AQ19" s="9" t="s">
        <v>106</v>
      </c>
      <c r="AR19" s="33">
        <v>3849432.4957032204</v>
      </c>
      <c r="AS19" s="34">
        <v>485460.0</v>
      </c>
    </row>
    <row r="20">
      <c r="A20" s="32" t="s">
        <v>107</v>
      </c>
      <c r="B20" s="33">
        <v>4670831.445983178</v>
      </c>
      <c r="C20" s="34">
        <v>876730.2429790569</v>
      </c>
      <c r="F20" s="3"/>
      <c r="G20" s="3"/>
      <c r="I20" s="1"/>
      <c r="J20" s="1"/>
      <c r="AP20" s="9"/>
      <c r="AQ20" s="9" t="s">
        <v>108</v>
      </c>
      <c r="AR20" s="33">
        <v>2315442.6258865884</v>
      </c>
      <c r="AS20" s="34">
        <v>233591.5843712987</v>
      </c>
    </row>
    <row r="21">
      <c r="A21" s="32" t="s">
        <v>109</v>
      </c>
      <c r="B21" s="33">
        <v>7165857.552693585</v>
      </c>
      <c r="C21" s="34">
        <v>958145.4586978331</v>
      </c>
      <c r="F21" s="3"/>
      <c r="G21" s="3"/>
      <c r="AP21" s="9"/>
      <c r="AQ21" s="9" t="s">
        <v>110</v>
      </c>
      <c r="AR21" s="33">
        <v>1716208.6205453873</v>
      </c>
      <c r="AS21" s="34">
        <v>242877.0</v>
      </c>
    </row>
    <row r="22">
      <c r="A22" s="32" t="s">
        <v>111</v>
      </c>
      <c r="B22" s="33">
        <v>1.1360603816434093E7</v>
      </c>
      <c r="C22" s="34">
        <v>1539172.4832358942</v>
      </c>
      <c r="F22" s="3"/>
      <c r="G22" s="3"/>
      <c r="AP22" s="9"/>
      <c r="AQ22" s="9" t="s">
        <v>112</v>
      </c>
      <c r="AR22" s="33">
        <v>1672931.4761257172</v>
      </c>
      <c r="AS22" s="34">
        <v>220492.0</v>
      </c>
    </row>
    <row r="23">
      <c r="A23" s="32" t="s">
        <v>113</v>
      </c>
      <c r="B23" s="33">
        <v>6121646.420938581</v>
      </c>
      <c r="C23" s="34">
        <v>775099.644065604</v>
      </c>
      <c r="F23" s="3"/>
      <c r="G23" s="3"/>
      <c r="AP23" s="9"/>
      <c r="AQ23" s="9" t="s">
        <v>114</v>
      </c>
      <c r="AR23" s="33">
        <v>1627985.6001509714</v>
      </c>
      <c r="AS23" s="34">
        <v>227574.48669688552</v>
      </c>
    </row>
    <row r="24">
      <c r="A24" s="32" t="s">
        <v>115</v>
      </c>
      <c r="B24" s="33">
        <v>1.3188886974692285E7</v>
      </c>
      <c r="C24" s="34">
        <v>1294908.5128151693</v>
      </c>
      <c r="E24" s="9"/>
      <c r="F24" s="3" t="s">
        <v>62</v>
      </c>
      <c r="G24" s="3"/>
      <c r="AP24" s="9"/>
      <c r="AQ24" s="9" t="s">
        <v>116</v>
      </c>
      <c r="AR24" s="33">
        <v>1049817.1626900365</v>
      </c>
      <c r="AS24" s="34">
        <v>131636.50340000002</v>
      </c>
    </row>
    <row r="25">
      <c r="A25" s="32" t="s">
        <v>117</v>
      </c>
      <c r="B25" s="33">
        <v>2.841903815671249E7</v>
      </c>
      <c r="C25" s="34">
        <v>3785477.986522941</v>
      </c>
      <c r="E25" s="9" t="s">
        <v>72</v>
      </c>
      <c r="F25" s="3">
        <v>5066122.969104035</v>
      </c>
      <c r="G25" s="3"/>
      <c r="AP25" s="9"/>
      <c r="AQ25" s="9" t="s">
        <v>119</v>
      </c>
      <c r="AR25" s="33">
        <v>740093.3094560623</v>
      </c>
      <c r="AS25" s="34">
        <v>96365.9</v>
      </c>
    </row>
    <row r="26">
      <c r="A26" s="32" t="s">
        <v>120</v>
      </c>
      <c r="B26" s="33">
        <v>2.0570369479834564E7</v>
      </c>
      <c r="C26" s="34">
        <v>2874437.543301854</v>
      </c>
      <c r="E26" s="9" t="s">
        <v>73</v>
      </c>
      <c r="F26" s="7">
        <v>1.132731604606496E7</v>
      </c>
      <c r="G26" s="7"/>
      <c r="H26" s="7"/>
      <c r="I26" s="7"/>
      <c r="AP26" s="9"/>
      <c r="AQ26" s="9" t="s">
        <v>121</v>
      </c>
      <c r="AR26" s="33">
        <v>649658.7366023064</v>
      </c>
      <c r="AS26" s="34">
        <v>73190.5</v>
      </c>
    </row>
    <row r="27">
      <c r="A27" s="32" t="s">
        <v>122</v>
      </c>
      <c r="B27" s="33">
        <v>6926165.89826902</v>
      </c>
      <c r="C27" s="34">
        <v>1058219.8761235196</v>
      </c>
      <c r="E27" s="9" t="s">
        <v>74</v>
      </c>
      <c r="F27" s="7">
        <v>1.6393439015168993E7</v>
      </c>
      <c r="G27" s="7"/>
      <c r="H27" s="7"/>
      <c r="I27" s="7"/>
      <c r="AP27" s="9"/>
      <c r="AQ27" s="9" t="s">
        <v>124</v>
      </c>
      <c r="AR27" s="33">
        <v>214775.07469177246</v>
      </c>
      <c r="AS27" s="34">
        <v>21670.0</v>
      </c>
    </row>
    <row r="28">
      <c r="A28" s="9" t="s">
        <v>74</v>
      </c>
      <c r="B28" s="33">
        <v>1.1323675658678426E8</v>
      </c>
      <c r="C28" s="34">
        <v>1.6393439015168993E7</v>
      </c>
      <c r="F28" s="7"/>
      <c r="G28" s="7"/>
      <c r="H28" s="7"/>
      <c r="I28" s="7"/>
      <c r="AP28" s="9"/>
      <c r="AQ28" s="9" t="s">
        <v>125</v>
      </c>
      <c r="AR28" s="33">
        <v>85618.36586236954</v>
      </c>
      <c r="AS28" s="34">
        <v>11655.0</v>
      </c>
    </row>
    <row r="29">
      <c r="F29" s="3"/>
      <c r="G29" s="7"/>
      <c r="AP29" s="9"/>
      <c r="AQ29" s="9" t="s">
        <v>126</v>
      </c>
      <c r="AR29" s="33">
        <v>69924.95054197311</v>
      </c>
      <c r="AS29" s="34">
        <v>7216.0</v>
      </c>
    </row>
    <row r="30">
      <c r="F30" s="3"/>
      <c r="G30" s="7"/>
      <c r="AP30" s="9" t="s">
        <v>127</v>
      </c>
      <c r="AQ30" s="9"/>
      <c r="AR30" s="33">
        <v>2.3133718523882594E7</v>
      </c>
      <c r="AS30" s="34">
        <v>2956611.457916064</v>
      </c>
    </row>
    <row r="31">
      <c r="E31" s="9"/>
      <c r="F31" s="3" t="s">
        <v>61</v>
      </c>
      <c r="G31" s="7"/>
      <c r="AP31" s="9" t="s">
        <v>47</v>
      </c>
      <c r="AQ31" s="9" t="s">
        <v>119</v>
      </c>
      <c r="AR31" s="33">
        <v>1.5261618886884496E7</v>
      </c>
      <c r="AS31" s="34">
        <v>2000496.55</v>
      </c>
    </row>
    <row r="32">
      <c r="A32" s="25" t="s">
        <v>128</v>
      </c>
      <c r="B32" s="25"/>
      <c r="C32" s="25"/>
      <c r="E32" s="9" t="s">
        <v>72</v>
      </c>
      <c r="F32" s="3">
        <v>2.6650045839903243E7</v>
      </c>
      <c r="G32" s="7"/>
      <c r="AP32" s="9" t="s">
        <v>129</v>
      </c>
      <c r="AQ32" s="9"/>
      <c r="AR32" s="33">
        <v>1.5261618886884496E7</v>
      </c>
      <c r="AS32" s="34">
        <v>2000496.55</v>
      </c>
    </row>
    <row r="33">
      <c r="A33" s="25"/>
      <c r="B33" s="25"/>
      <c r="C33" s="25"/>
      <c r="E33" s="9" t="s">
        <v>73</v>
      </c>
      <c r="F33" s="3">
        <v>8.65867107468809E7</v>
      </c>
      <c r="G33" s="3"/>
      <c r="H33" s="3"/>
      <c r="I33" s="3"/>
      <c r="AP33" s="9" t="s">
        <v>48</v>
      </c>
      <c r="AQ33" s="9" t="s">
        <v>131</v>
      </c>
      <c r="AR33" s="33">
        <v>5047603.554357497</v>
      </c>
      <c r="AS33" s="34">
        <v>637611.8695799</v>
      </c>
    </row>
    <row r="34">
      <c r="A34" s="25" t="s">
        <v>68</v>
      </c>
      <c r="B34" s="25" t="s">
        <v>4</v>
      </c>
      <c r="C34" s="25" t="s">
        <v>3</v>
      </c>
      <c r="E34" s="9" t="s">
        <v>74</v>
      </c>
      <c r="F34" s="3">
        <v>1.1323675658678426E8</v>
      </c>
      <c r="G34" s="3"/>
      <c r="H34" s="3"/>
      <c r="I34" s="3"/>
      <c r="AP34" s="9"/>
      <c r="AQ34" s="9" t="s">
        <v>116</v>
      </c>
      <c r="AR34" s="33">
        <v>362582.6869749069</v>
      </c>
      <c r="AS34" s="34">
        <v>50817.27</v>
      </c>
    </row>
    <row r="35">
      <c r="A35" s="25" t="s">
        <v>132</v>
      </c>
      <c r="B35" s="41">
        <v>210263.0</v>
      </c>
      <c r="C35" s="42">
        <v>42104.0</v>
      </c>
      <c r="F35" s="3"/>
      <c r="G35" s="3"/>
      <c r="H35" s="3"/>
      <c r="I35" s="3"/>
      <c r="AP35" s="9"/>
      <c r="AQ35" s="9" t="s">
        <v>134</v>
      </c>
      <c r="AR35" s="33">
        <v>116643.14999429607</v>
      </c>
      <c r="AS35" s="34">
        <v>15841.327</v>
      </c>
    </row>
    <row r="36">
      <c r="A36" s="25" t="s">
        <v>135</v>
      </c>
      <c r="B36" s="41">
        <v>383144.0</v>
      </c>
      <c r="C36" s="42">
        <v>76361.0</v>
      </c>
      <c r="F36" s="3"/>
      <c r="G36" s="7"/>
      <c r="AP36" s="9" t="s">
        <v>136</v>
      </c>
      <c r="AQ36" s="9"/>
      <c r="AR36" s="33">
        <v>5526829.3913267</v>
      </c>
      <c r="AS36" s="34">
        <v>704270.4665799001</v>
      </c>
    </row>
    <row r="37">
      <c r="A37" s="25" t="s">
        <v>137</v>
      </c>
      <c r="B37" s="41">
        <v>402451.0</v>
      </c>
      <c r="C37" s="42">
        <v>14716.0</v>
      </c>
      <c r="E37" s="9" t="s">
        <v>65</v>
      </c>
      <c r="F37" s="3" t="s">
        <v>71</v>
      </c>
      <c r="G37" s="7"/>
      <c r="H37" s="9"/>
      <c r="I37" s="9"/>
      <c r="AP37" s="9" t="s">
        <v>49</v>
      </c>
      <c r="AQ37" s="9" t="s">
        <v>108</v>
      </c>
      <c r="AR37" s="33">
        <v>2489771.1595589393</v>
      </c>
      <c r="AS37" s="34">
        <v>262950.07227999246</v>
      </c>
    </row>
    <row r="38">
      <c r="A38" s="25" t="s">
        <v>138</v>
      </c>
      <c r="B38" s="41">
        <v>344245.0</v>
      </c>
      <c r="C38" s="42">
        <v>10725.0</v>
      </c>
      <c r="E38" s="9" t="s">
        <v>64</v>
      </c>
      <c r="F38" s="3" t="s">
        <v>80</v>
      </c>
      <c r="G38" s="7" t="s">
        <v>83</v>
      </c>
      <c r="H38" s="32" t="s">
        <v>85</v>
      </c>
      <c r="I38" s="9" t="s">
        <v>74</v>
      </c>
      <c r="AP38" s="9"/>
      <c r="AQ38" s="9" t="s">
        <v>104</v>
      </c>
      <c r="AR38" s="33">
        <v>331439.63108577725</v>
      </c>
      <c r="AS38" s="34">
        <v>45234.77</v>
      </c>
    </row>
    <row r="39">
      <c r="A39" s="25" t="s">
        <v>139</v>
      </c>
      <c r="B39" s="41">
        <v>684193.0</v>
      </c>
      <c r="C39" s="42">
        <v>29712.0</v>
      </c>
      <c r="E39" s="9" t="s">
        <v>46</v>
      </c>
      <c r="F39" s="3">
        <v>1681293.0382635116</v>
      </c>
      <c r="G39" s="7">
        <v>102923.0</v>
      </c>
      <c r="H39" s="33">
        <v>2.1349502485619083E7</v>
      </c>
      <c r="I39" s="33">
        <v>2.3133718523882594E7</v>
      </c>
      <c r="AP39" s="9"/>
      <c r="AQ39" s="9" t="s">
        <v>140</v>
      </c>
      <c r="AR39" s="33">
        <v>320856.0064405442</v>
      </c>
      <c r="AS39" s="34">
        <v>49225.52635353133</v>
      </c>
    </row>
    <row r="40">
      <c r="A40" s="25" t="s">
        <v>141</v>
      </c>
      <c r="B40" s="41">
        <v>513468.0</v>
      </c>
      <c r="C40" s="42">
        <v>14917.0</v>
      </c>
      <c r="E40" s="9" t="s">
        <v>47</v>
      </c>
      <c r="F40" s="3"/>
      <c r="G40" s="7"/>
      <c r="H40" s="33">
        <v>1.5261618886884496E7</v>
      </c>
      <c r="I40" s="33">
        <v>1.5261618886884496E7</v>
      </c>
      <c r="AP40" s="9"/>
      <c r="AQ40" s="9" t="s">
        <v>110</v>
      </c>
      <c r="AR40" s="33">
        <v>268782.4251406717</v>
      </c>
      <c r="AS40" s="34">
        <v>38719.35</v>
      </c>
    </row>
    <row r="41">
      <c r="A41" s="25" t="s">
        <v>143</v>
      </c>
      <c r="B41" s="41">
        <v>786262.0</v>
      </c>
      <c r="C41" s="42">
        <v>43020.0</v>
      </c>
      <c r="E41" s="9" t="s">
        <v>49</v>
      </c>
      <c r="F41" s="3">
        <v>400183.7270826343</v>
      </c>
      <c r="G41" s="7"/>
      <c r="H41" s="33">
        <v>3397675.7759409505</v>
      </c>
      <c r="I41" s="33">
        <v>3797859.503023577</v>
      </c>
      <c r="AP41" s="9"/>
      <c r="AQ41" s="9" t="s">
        <v>144</v>
      </c>
      <c r="AR41" s="3">
        <v>214329.40572643283</v>
      </c>
      <c r="AS41" s="7">
        <v>31886.95</v>
      </c>
    </row>
    <row r="42">
      <c r="A42" s="25" t="s">
        <v>145</v>
      </c>
      <c r="B42" s="41">
        <v>2250122.0</v>
      </c>
      <c r="C42" s="42">
        <v>238891.0</v>
      </c>
      <c r="E42" s="9" t="s">
        <v>81</v>
      </c>
      <c r="F42" s="3">
        <v>9075239.709320813</v>
      </c>
      <c r="G42" s="7"/>
      <c r="H42" s="33">
        <v>2.7664019397769514E7</v>
      </c>
      <c r="I42" s="33">
        <v>3.6739259107090354E7</v>
      </c>
      <c r="AP42" s="9"/>
      <c r="AQ42" s="9" t="s">
        <v>146</v>
      </c>
      <c r="AR42" s="33">
        <v>172680.8750712194</v>
      </c>
      <c r="AS42" s="34">
        <v>23262.8441544774</v>
      </c>
    </row>
    <row r="43">
      <c r="A43" s="25" t="s">
        <v>147</v>
      </c>
      <c r="B43" s="41">
        <v>4519942.0</v>
      </c>
      <c r="C43" s="42">
        <v>578069.0</v>
      </c>
      <c r="E43" s="9" t="s">
        <v>50</v>
      </c>
      <c r="F43" s="3">
        <v>267552.0575791543</v>
      </c>
      <c r="G43" s="7"/>
      <c r="H43" s="33">
        <v>1859873.2770942135</v>
      </c>
      <c r="I43" s="33">
        <v>2127425.334673369</v>
      </c>
      <c r="AP43" s="9" t="s">
        <v>148</v>
      </c>
      <c r="AQ43" s="9"/>
      <c r="AR43" s="33">
        <v>3797859.503023577</v>
      </c>
      <c r="AS43" s="34">
        <v>451279.5127880018</v>
      </c>
    </row>
    <row r="44">
      <c r="A44" s="25" t="s">
        <v>149</v>
      </c>
      <c r="B44" s="41">
        <v>4319123.0</v>
      </c>
      <c r="C44" s="42">
        <v>862280.0</v>
      </c>
      <c r="E44" s="9" t="s">
        <v>48</v>
      </c>
      <c r="F44" s="3"/>
      <c r="G44" s="7"/>
      <c r="H44" s="33">
        <v>5526829.3913267</v>
      </c>
      <c r="I44" s="33">
        <v>5526829.3913267</v>
      </c>
      <c r="AP44" s="9" t="s">
        <v>50</v>
      </c>
      <c r="AQ44" s="9" t="s">
        <v>102</v>
      </c>
      <c r="AR44" s="33">
        <v>748101.7241879387</v>
      </c>
      <c r="AS44" s="34">
        <v>71833.868</v>
      </c>
    </row>
    <row r="45">
      <c r="A45" s="25" t="s">
        <v>150</v>
      </c>
      <c r="B45" s="41">
        <v>8259578.0</v>
      </c>
      <c r="C45" s="42">
        <v>1348718.0</v>
      </c>
      <c r="E45" s="9" t="s">
        <v>74</v>
      </c>
      <c r="F45" s="3">
        <v>1.142426853224613E7</v>
      </c>
      <c r="G45" s="7">
        <v>102923.0</v>
      </c>
      <c r="H45" s="33">
        <v>7.505951921463497E7</v>
      </c>
      <c r="I45" s="33">
        <v>8.65867107468809E7</v>
      </c>
      <c r="AP45" s="9"/>
      <c r="AQ45" s="9" t="s">
        <v>151</v>
      </c>
      <c r="AR45" s="33">
        <v>367052.7576508522</v>
      </c>
      <c r="AS45" s="34">
        <v>60431.0</v>
      </c>
    </row>
    <row r="46">
      <c r="A46" s="25" t="s">
        <v>152</v>
      </c>
      <c r="B46" s="41">
        <v>3367107.0</v>
      </c>
      <c r="C46" s="42">
        <v>613683.0</v>
      </c>
      <c r="F46" s="3"/>
      <c r="G46" s="7"/>
      <c r="AP46" s="9"/>
      <c r="AQ46" s="9" t="s">
        <v>108</v>
      </c>
      <c r="AR46" s="33">
        <v>323094.1894454956</v>
      </c>
      <c r="AS46" s="34">
        <v>47748.0</v>
      </c>
    </row>
    <row r="47">
      <c r="A47" s="25" t="s">
        <v>70</v>
      </c>
      <c r="B47" s="41">
        <v>7269114.0</v>
      </c>
      <c r="C47" s="42">
        <v>1480611.0</v>
      </c>
      <c r="F47" s="3"/>
      <c r="G47" s="7"/>
      <c r="AP47" s="9"/>
      <c r="AQ47" s="9" t="s">
        <v>50</v>
      </c>
      <c r="AR47" s="33">
        <v>309484.1151332855</v>
      </c>
      <c r="AS47" s="34">
        <v>40840.0</v>
      </c>
    </row>
    <row r="48">
      <c r="A48" s="25" t="s">
        <v>76</v>
      </c>
      <c r="B48" s="41">
        <v>1.4605485E7</v>
      </c>
      <c r="C48" s="42">
        <v>2749074.0</v>
      </c>
      <c r="F48" s="3"/>
      <c r="G48" s="7"/>
      <c r="AP48" s="9"/>
      <c r="AQ48" s="9" t="s">
        <v>157</v>
      </c>
      <c r="AR48" s="3">
        <v>267552.0575791543</v>
      </c>
      <c r="AS48" s="7">
        <v>36971.91930602619</v>
      </c>
    </row>
    <row r="49">
      <c r="A49" s="25" t="s">
        <v>74</v>
      </c>
      <c r="B49" s="41">
        <v>4.7914498E7</v>
      </c>
      <c r="C49" s="42">
        <v>8102881.0</v>
      </c>
      <c r="F49" s="3"/>
      <c r="G49" s="7"/>
      <c r="AP49" s="9"/>
      <c r="AQ49" s="9" t="s">
        <v>93</v>
      </c>
      <c r="AR49" s="33">
        <v>74243.94844293594</v>
      </c>
      <c r="AS49" s="34">
        <v>9507.0</v>
      </c>
    </row>
    <row r="50">
      <c r="F50" s="3"/>
      <c r="G50" s="7"/>
      <c r="AP50" s="9"/>
      <c r="AQ50" s="9" t="s">
        <v>121</v>
      </c>
      <c r="AR50" s="33">
        <v>37652.19421386719</v>
      </c>
      <c r="AS50" s="34">
        <v>5600.0</v>
      </c>
    </row>
    <row r="51">
      <c r="F51" s="3"/>
      <c r="G51" s="7"/>
      <c r="AP51" s="9"/>
      <c r="AQ51" s="9" t="s">
        <v>161</v>
      </c>
      <c r="AR51" s="33">
        <v>244.34801983833313</v>
      </c>
      <c r="AS51" s="34">
        <v>35.5</v>
      </c>
    </row>
    <row r="52">
      <c r="F52" s="3"/>
      <c r="G52" s="7"/>
      <c r="AP52" s="9" t="s">
        <v>163</v>
      </c>
      <c r="AQ52" s="9"/>
      <c r="AR52" s="33">
        <v>2127425.334673369</v>
      </c>
      <c r="AS52" s="34">
        <v>272967.2873060264</v>
      </c>
    </row>
    <row r="53">
      <c r="F53" s="3"/>
      <c r="G53" s="7"/>
      <c r="AP53" s="9" t="s">
        <v>74</v>
      </c>
      <c r="AQ53" s="9"/>
      <c r="AR53" s="33">
        <v>8.65867107468809E7</v>
      </c>
      <c r="AS53" s="34">
        <v>1.132731604606496E7</v>
      </c>
    </row>
    <row r="54">
      <c r="F54" s="3"/>
      <c r="G54" s="7"/>
    </row>
    <row r="55">
      <c r="F55" s="3"/>
      <c r="G55" s="7"/>
    </row>
    <row r="56">
      <c r="F56" s="3"/>
      <c r="G56" s="7"/>
    </row>
    <row r="57">
      <c r="F57" s="3"/>
      <c r="G57" s="7"/>
    </row>
    <row r="58">
      <c r="F58" s="3"/>
      <c r="G58" s="7"/>
    </row>
    <row r="59">
      <c r="F59" s="3"/>
      <c r="G59" s="7"/>
    </row>
    <row r="60">
      <c r="F60" s="3"/>
      <c r="G60" s="7"/>
    </row>
    <row r="61">
      <c r="F61" s="3"/>
      <c r="G61" s="7"/>
    </row>
    <row r="62">
      <c r="F62" s="3"/>
      <c r="G62" s="7"/>
    </row>
    <row r="63">
      <c r="F63" s="3"/>
      <c r="G63" s="7"/>
    </row>
    <row r="64">
      <c r="F64" s="3"/>
      <c r="G64" s="7"/>
    </row>
    <row r="65">
      <c r="F65" s="3"/>
      <c r="G65" s="7"/>
    </row>
    <row r="66">
      <c r="F66" s="3"/>
      <c r="G66" s="7"/>
    </row>
    <row r="67">
      <c r="F67" s="3"/>
      <c r="G67" s="7"/>
    </row>
    <row r="68">
      <c r="F68" s="3"/>
      <c r="G68" s="7"/>
    </row>
    <row r="69">
      <c r="F69" s="3"/>
      <c r="G69" s="7"/>
    </row>
    <row r="70">
      <c r="F70" s="3"/>
      <c r="G70" s="7"/>
    </row>
    <row r="71">
      <c r="F71" s="3"/>
      <c r="G71" s="7"/>
    </row>
    <row r="72">
      <c r="F72" s="3"/>
      <c r="G72" s="7"/>
      <c r="AP72" s="9" t="s">
        <v>64</v>
      </c>
      <c r="AQ72" s="9" t="s">
        <v>79</v>
      </c>
      <c r="AR72" s="9" t="s">
        <v>65</v>
      </c>
      <c r="AS72" s="9" t="s">
        <v>62</v>
      </c>
    </row>
    <row r="73">
      <c r="F73" s="3"/>
      <c r="G73" s="7"/>
      <c r="AP73" s="9" t="s">
        <v>81</v>
      </c>
      <c r="AQ73" s="9" t="s">
        <v>82</v>
      </c>
      <c r="AR73" s="33">
        <v>1.0085878652187347E7</v>
      </c>
      <c r="AS73" s="34">
        <v>1463621.8</v>
      </c>
    </row>
    <row r="74">
      <c r="F74" s="3"/>
      <c r="G74" s="7"/>
      <c r="AP74" s="9"/>
      <c r="AQ74" s="9" t="s">
        <v>84</v>
      </c>
      <c r="AR74" s="33">
        <v>4881942.899836242</v>
      </c>
      <c r="AS74" s="34">
        <v>648390.654</v>
      </c>
    </row>
    <row r="75">
      <c r="F75" s="3"/>
      <c r="G75" s="7"/>
      <c r="AP75" s="9"/>
      <c r="AQ75" s="9" t="s">
        <v>86</v>
      </c>
      <c r="AR75" s="33">
        <v>4468792.519587632</v>
      </c>
      <c r="AS75" s="34">
        <v>566171.3797899997</v>
      </c>
    </row>
    <row r="76">
      <c r="F76" s="3"/>
      <c r="G76" s="7"/>
      <c r="AP76" s="9"/>
      <c r="AQ76" s="9" t="s">
        <v>87</v>
      </c>
      <c r="AR76" s="33">
        <v>4075101.7768012853</v>
      </c>
      <c r="AS76" s="34">
        <v>538706.49</v>
      </c>
    </row>
    <row r="77">
      <c r="F77" s="3"/>
      <c r="G77" s="7"/>
      <c r="AP77" s="9"/>
      <c r="AQ77" s="9" t="s">
        <v>88</v>
      </c>
      <c r="AR77" s="33">
        <v>3853701.0085143424</v>
      </c>
      <c r="AS77" s="34">
        <v>503646.71</v>
      </c>
    </row>
    <row r="78">
      <c r="F78" s="3"/>
      <c r="G78" s="7"/>
      <c r="AP78" s="9"/>
      <c r="AQ78" s="9" t="s">
        <v>89</v>
      </c>
      <c r="AR78" s="33">
        <v>3188360.389855078</v>
      </c>
      <c r="AS78" s="34">
        <v>442766.47400000005</v>
      </c>
    </row>
    <row r="79">
      <c r="F79" s="3"/>
      <c r="G79" s="7"/>
      <c r="AP79" s="9"/>
      <c r="AQ79" s="9" t="s">
        <v>91</v>
      </c>
      <c r="AR79" s="33">
        <v>2949956.8683099365</v>
      </c>
      <c r="AS79" s="34">
        <v>326506.82</v>
      </c>
    </row>
    <row r="80">
      <c r="F80" s="3"/>
      <c r="G80" s="7"/>
      <c r="AP80" s="9"/>
      <c r="AQ80" s="9" t="s">
        <v>92</v>
      </c>
      <c r="AR80" s="33">
        <v>968021.4049769212</v>
      </c>
      <c r="AS80" s="34">
        <v>128438.22</v>
      </c>
    </row>
    <row r="81">
      <c r="F81" s="3"/>
      <c r="G81" s="7"/>
      <c r="AP81" s="9"/>
      <c r="AQ81" s="9" t="s">
        <v>93</v>
      </c>
      <c r="AR81" s="33">
        <v>874044.3117422283</v>
      </c>
      <c r="AS81" s="34">
        <v>126502.79368499476</v>
      </c>
    </row>
    <row r="82">
      <c r="F82" s="3"/>
      <c r="G82" s="7"/>
      <c r="AP82" s="9"/>
      <c r="AQ82" s="9" t="s">
        <v>94</v>
      </c>
      <c r="AR82" s="3">
        <v>837446.9980122624</v>
      </c>
      <c r="AS82" s="7">
        <v>121795.774</v>
      </c>
    </row>
    <row r="83">
      <c r="F83" s="3"/>
      <c r="G83" s="7"/>
      <c r="AP83" s="9"/>
      <c r="AQ83" s="9" t="s">
        <v>97</v>
      </c>
      <c r="AR83" s="33">
        <v>508926.57249792205</v>
      </c>
      <c r="AS83" s="34">
        <v>67647.65599999999</v>
      </c>
    </row>
    <row r="84">
      <c r="F84" s="3"/>
      <c r="G84" s="7"/>
      <c r="AP84" s="9"/>
      <c r="AQ84" s="9" t="s">
        <v>98</v>
      </c>
      <c r="AR84" s="33">
        <v>47085.70476913452</v>
      </c>
      <c r="AS84" s="34">
        <v>7496.0</v>
      </c>
    </row>
    <row r="85">
      <c r="F85" s="3"/>
      <c r="G85" s="7"/>
      <c r="AP85" s="9" t="s">
        <v>74</v>
      </c>
      <c r="AQ85" s="9"/>
      <c r="AR85" s="33">
        <v>3.6739259107090354E7</v>
      </c>
      <c r="AS85" s="34">
        <v>4941690.7714749845</v>
      </c>
    </row>
    <row r="86">
      <c r="F86" s="3"/>
      <c r="G86" s="7"/>
    </row>
    <row r="87">
      <c r="F87" s="3"/>
      <c r="G87" s="7"/>
    </row>
    <row r="88">
      <c r="F88" s="3"/>
      <c r="G88" s="7"/>
    </row>
    <row r="89">
      <c r="F89" s="3"/>
      <c r="G89" s="7"/>
    </row>
    <row r="90">
      <c r="F90" s="3"/>
      <c r="G90" s="7"/>
      <c r="AP90" s="9" t="s">
        <v>64</v>
      </c>
      <c r="AQ90" s="9" t="s">
        <v>79</v>
      </c>
      <c r="AR90" s="9" t="s">
        <v>65</v>
      </c>
      <c r="AS90" s="9" t="s">
        <v>62</v>
      </c>
    </row>
    <row r="91">
      <c r="F91" s="3"/>
      <c r="G91" s="7"/>
      <c r="AP91" s="9" t="s">
        <v>81</v>
      </c>
      <c r="AQ91" s="9" t="s">
        <v>86</v>
      </c>
      <c r="AR91" s="33">
        <v>4468792.519587632</v>
      </c>
      <c r="AS91" s="34">
        <v>566171.3797899997</v>
      </c>
    </row>
    <row r="92">
      <c r="F92" s="3"/>
      <c r="G92" s="7"/>
      <c r="AP92" s="9"/>
      <c r="AQ92" s="9" t="s">
        <v>91</v>
      </c>
      <c r="AR92" s="33">
        <v>2949956.8683099365</v>
      </c>
      <c r="AS92" s="34">
        <v>326506.82</v>
      </c>
    </row>
    <row r="93">
      <c r="F93" s="3"/>
      <c r="G93" s="7"/>
      <c r="AP93" s="9"/>
      <c r="AQ93" s="9" t="s">
        <v>97</v>
      </c>
      <c r="AR93" s="33">
        <v>508926.57249792205</v>
      </c>
      <c r="AS93" s="34">
        <v>67647.65599999999</v>
      </c>
    </row>
    <row r="94">
      <c r="F94" s="3"/>
      <c r="G94" s="7"/>
      <c r="AP94" s="9" t="s">
        <v>74</v>
      </c>
      <c r="AQ94" s="9"/>
      <c r="AR94" s="33">
        <v>7927675.960395492</v>
      </c>
      <c r="AS94" s="34">
        <v>960325.8557900005</v>
      </c>
    </row>
    <row r="95">
      <c r="F95" s="3"/>
      <c r="G95" s="7"/>
    </row>
    <row r="96">
      <c r="F96" s="3"/>
      <c r="G96" s="7"/>
    </row>
    <row r="97">
      <c r="F97" s="3"/>
      <c r="G97" s="7"/>
      <c r="AP97" s="9" t="s">
        <v>64</v>
      </c>
      <c r="AQ97" s="9" t="s">
        <v>79</v>
      </c>
      <c r="AR97" s="9" t="s">
        <v>65</v>
      </c>
      <c r="AS97" s="9" t="s">
        <v>62</v>
      </c>
    </row>
    <row r="98">
      <c r="F98" s="3"/>
      <c r="G98" s="7"/>
      <c r="AP98" s="9" t="s">
        <v>81</v>
      </c>
      <c r="AQ98" s="9" t="s">
        <v>82</v>
      </c>
      <c r="AR98" s="33">
        <v>1.0085878652187347E7</v>
      </c>
      <c r="AS98" s="34">
        <v>1463621.8</v>
      </c>
    </row>
    <row r="99">
      <c r="F99" s="3"/>
      <c r="G99" s="7"/>
      <c r="AP99" s="9"/>
      <c r="AQ99" s="9" t="s">
        <v>84</v>
      </c>
      <c r="AR99" s="33">
        <v>4881942.899836242</v>
      </c>
      <c r="AS99" s="34">
        <v>648390.654</v>
      </c>
    </row>
    <row r="100">
      <c r="F100" s="3"/>
      <c r="G100" s="7"/>
      <c r="AP100" s="9"/>
      <c r="AQ100" s="9" t="s">
        <v>87</v>
      </c>
      <c r="AR100" s="33">
        <v>4075101.7768012853</v>
      </c>
      <c r="AS100" s="34">
        <v>538706.49</v>
      </c>
    </row>
    <row r="101">
      <c r="F101" s="3"/>
      <c r="G101" s="7"/>
      <c r="AP101" s="9"/>
      <c r="AQ101" s="9" t="s">
        <v>92</v>
      </c>
      <c r="AR101" s="33">
        <v>968021.4049769212</v>
      </c>
      <c r="AS101" s="34">
        <v>128438.22</v>
      </c>
    </row>
    <row r="102">
      <c r="F102" s="3"/>
      <c r="G102" s="7"/>
      <c r="AP102" s="9"/>
      <c r="AQ102" s="9" t="s">
        <v>94</v>
      </c>
      <c r="AR102" s="3">
        <v>837446.9980122624</v>
      </c>
      <c r="AS102" s="7">
        <v>121795.774</v>
      </c>
    </row>
    <row r="103">
      <c r="F103" s="3"/>
      <c r="G103" s="7"/>
      <c r="AP103" s="9"/>
      <c r="AQ103" s="9" t="s">
        <v>98</v>
      </c>
      <c r="AR103" s="33">
        <v>47085.70476913452</v>
      </c>
      <c r="AS103" s="34">
        <v>7496.0</v>
      </c>
    </row>
    <row r="104">
      <c r="F104" s="3"/>
      <c r="G104" s="7"/>
      <c r="AP104" s="9" t="s">
        <v>74</v>
      </c>
      <c r="AQ104" s="9"/>
      <c r="AR104" s="33">
        <v>2.0895477436583202E7</v>
      </c>
      <c r="AS104" s="34">
        <v>2908448.9379999996</v>
      </c>
    </row>
    <row r="105">
      <c r="F105" s="3"/>
      <c r="G105" s="7"/>
    </row>
    <row r="106">
      <c r="F106" s="3"/>
      <c r="G106" s="7"/>
      <c r="AP106" s="9" t="s">
        <v>64</v>
      </c>
      <c r="AQ106" s="9" t="s">
        <v>79</v>
      </c>
      <c r="AR106" s="9" t="s">
        <v>65</v>
      </c>
      <c r="AS106" s="9" t="s">
        <v>62</v>
      </c>
    </row>
    <row r="107">
      <c r="F107" s="3"/>
      <c r="G107" s="7"/>
      <c r="AP107" s="9" t="s">
        <v>46</v>
      </c>
      <c r="AQ107" s="9" t="s">
        <v>102</v>
      </c>
      <c r="AR107" s="33">
        <v>5092911.609424671</v>
      </c>
      <c r="AS107" s="34">
        <v>689361.4834478797</v>
      </c>
    </row>
    <row r="108">
      <c r="F108" s="3"/>
      <c r="G108" s="7"/>
      <c r="AP108" s="9"/>
      <c r="AQ108" s="9" t="s">
        <v>104</v>
      </c>
      <c r="AR108" s="33">
        <v>4048918.496201515</v>
      </c>
      <c r="AS108" s="34">
        <v>515521.0</v>
      </c>
    </row>
    <row r="109">
      <c r="F109" s="3"/>
      <c r="G109" s="7"/>
      <c r="AP109" s="9"/>
      <c r="AQ109" s="9" t="s">
        <v>106</v>
      </c>
      <c r="AR109" s="33">
        <v>3849432.4957032204</v>
      </c>
      <c r="AS109" s="34">
        <v>485460.0</v>
      </c>
    </row>
    <row r="110">
      <c r="F110" s="3"/>
      <c r="G110" s="7"/>
      <c r="AP110" s="9"/>
      <c r="AQ110" s="9" t="s">
        <v>108</v>
      </c>
      <c r="AR110" s="33">
        <v>2315442.6258865884</v>
      </c>
      <c r="AS110" s="34">
        <v>233591.5843712987</v>
      </c>
    </row>
    <row r="111">
      <c r="F111" s="3"/>
      <c r="G111" s="7"/>
      <c r="AP111" s="9"/>
      <c r="AQ111" s="9" t="s">
        <v>110</v>
      </c>
      <c r="AR111" s="33">
        <v>1716208.6205453873</v>
      </c>
      <c r="AS111" s="34">
        <v>242877.0</v>
      </c>
    </row>
    <row r="112">
      <c r="F112" s="3"/>
      <c r="G112" s="7"/>
      <c r="AP112" s="9"/>
      <c r="AQ112" s="9" t="s">
        <v>112</v>
      </c>
      <c r="AR112" s="33">
        <v>1672931.4761257172</v>
      </c>
      <c r="AS112" s="34">
        <v>220492.0</v>
      </c>
    </row>
    <row r="113">
      <c r="F113" s="3"/>
      <c r="G113" s="7"/>
      <c r="AP113" s="9"/>
      <c r="AQ113" s="9" t="s">
        <v>114</v>
      </c>
      <c r="AR113" s="33">
        <v>1627985.6001509714</v>
      </c>
      <c r="AS113" s="34">
        <v>227574.48669688552</v>
      </c>
    </row>
    <row r="114">
      <c r="F114" s="3"/>
      <c r="G114" s="7"/>
      <c r="AP114" s="9"/>
      <c r="AQ114" s="9" t="s">
        <v>116</v>
      </c>
      <c r="AR114" s="33">
        <v>1049817.1626900365</v>
      </c>
      <c r="AS114" s="34">
        <v>131636.50340000002</v>
      </c>
    </row>
    <row r="115">
      <c r="F115" s="3"/>
      <c r="G115" s="7"/>
      <c r="AP115" s="9"/>
      <c r="AQ115" s="9" t="s">
        <v>119</v>
      </c>
      <c r="AR115" s="33">
        <v>740093.3094560623</v>
      </c>
      <c r="AS115" s="34">
        <v>96365.9</v>
      </c>
    </row>
    <row r="116">
      <c r="F116" s="3"/>
      <c r="G116" s="7"/>
      <c r="AP116" s="9"/>
      <c r="AQ116" s="9" t="s">
        <v>121</v>
      </c>
      <c r="AR116" s="33">
        <v>649658.7366023064</v>
      </c>
      <c r="AS116" s="34">
        <v>73190.5</v>
      </c>
    </row>
    <row r="117">
      <c r="F117" s="3"/>
      <c r="G117" s="7"/>
      <c r="AP117" s="9"/>
      <c r="AQ117" s="9" t="s">
        <v>124</v>
      </c>
      <c r="AR117" s="33">
        <v>214775.07469177246</v>
      </c>
      <c r="AS117" s="34">
        <v>21670.0</v>
      </c>
    </row>
    <row r="118">
      <c r="F118" s="3"/>
      <c r="G118" s="7"/>
      <c r="AP118" s="9"/>
      <c r="AQ118" s="9" t="s">
        <v>125</v>
      </c>
      <c r="AR118" s="33">
        <v>85618.36586236954</v>
      </c>
      <c r="AS118" s="34">
        <v>11655.0</v>
      </c>
    </row>
    <row r="119">
      <c r="F119" s="3"/>
      <c r="G119" s="7"/>
      <c r="AP119" s="9"/>
      <c r="AQ119" s="9" t="s">
        <v>126</v>
      </c>
      <c r="AR119" s="33">
        <v>69924.95054197311</v>
      </c>
      <c r="AS119" s="34">
        <v>7216.0</v>
      </c>
    </row>
    <row r="120">
      <c r="F120" s="3"/>
      <c r="G120" s="7"/>
      <c r="AP120" s="9" t="s">
        <v>74</v>
      </c>
      <c r="AQ120" s="9"/>
      <c r="AR120" s="33">
        <v>2.3133718523882594E7</v>
      </c>
      <c r="AS120" s="34">
        <v>2956611.457916064</v>
      </c>
    </row>
    <row r="121">
      <c r="F121" s="3"/>
      <c r="G121" s="7"/>
    </row>
    <row r="122">
      <c r="F122" s="3"/>
      <c r="G122" s="7"/>
    </row>
    <row r="123">
      <c r="F123" s="3"/>
      <c r="G123" s="7"/>
    </row>
    <row r="124">
      <c r="F124" s="3"/>
      <c r="G124" s="7"/>
      <c r="AP124" s="9" t="s">
        <v>64</v>
      </c>
      <c r="AQ124" s="9" t="s">
        <v>79</v>
      </c>
      <c r="AR124" s="9" t="s">
        <v>65</v>
      </c>
      <c r="AS124" s="9" t="s">
        <v>62</v>
      </c>
    </row>
    <row r="125">
      <c r="F125" s="3"/>
      <c r="G125" s="7"/>
      <c r="AP125" s="9" t="s">
        <v>47</v>
      </c>
      <c r="AQ125" s="9" t="s">
        <v>119</v>
      </c>
      <c r="AR125" s="33">
        <v>1.5261618886884496E7</v>
      </c>
      <c r="AS125" s="34">
        <v>2000496.55</v>
      </c>
    </row>
    <row r="126">
      <c r="F126" s="3"/>
      <c r="G126" s="7"/>
      <c r="AP126" s="9" t="s">
        <v>74</v>
      </c>
      <c r="AQ126" s="9"/>
      <c r="AR126" s="33">
        <v>1.5261618886884496E7</v>
      </c>
      <c r="AS126" s="34">
        <v>2000496.55</v>
      </c>
    </row>
    <row r="127">
      <c r="F127" s="3"/>
      <c r="G127" s="7"/>
    </row>
    <row r="128">
      <c r="F128" s="3"/>
      <c r="G128" s="7"/>
    </row>
    <row r="129">
      <c r="F129" s="3"/>
      <c r="G129" s="7"/>
      <c r="AP129" s="9" t="s">
        <v>64</v>
      </c>
      <c r="AQ129" s="9" t="s">
        <v>79</v>
      </c>
      <c r="AR129" s="9" t="s">
        <v>65</v>
      </c>
      <c r="AS129" s="9" t="s">
        <v>62</v>
      </c>
    </row>
    <row r="130">
      <c r="F130" s="3"/>
      <c r="G130" s="7"/>
      <c r="AP130" s="9" t="s">
        <v>48</v>
      </c>
      <c r="AQ130" s="9" t="s">
        <v>131</v>
      </c>
      <c r="AR130" s="33">
        <v>5047603.554357497</v>
      </c>
      <c r="AS130" s="34">
        <v>637611.8695799</v>
      </c>
    </row>
    <row r="131">
      <c r="F131" s="3"/>
      <c r="G131" s="7"/>
      <c r="AP131" s="9"/>
      <c r="AQ131" s="9" t="s">
        <v>116</v>
      </c>
      <c r="AR131" s="33">
        <v>362582.6869749069</v>
      </c>
      <c r="AS131" s="34">
        <v>50817.27</v>
      </c>
    </row>
    <row r="132">
      <c r="F132" s="3"/>
      <c r="G132" s="7"/>
      <c r="AP132" s="9"/>
      <c r="AQ132" s="9" t="s">
        <v>134</v>
      </c>
      <c r="AR132" s="33">
        <v>116643.14999429607</v>
      </c>
      <c r="AS132" s="34">
        <v>15841.327</v>
      </c>
    </row>
    <row r="133">
      <c r="F133" s="3"/>
      <c r="G133" s="7"/>
      <c r="AP133" s="9" t="s">
        <v>74</v>
      </c>
      <c r="AQ133" s="9"/>
      <c r="AR133" s="33">
        <v>5526829.3913267</v>
      </c>
      <c r="AS133" s="34">
        <v>704270.4665799001</v>
      </c>
    </row>
    <row r="134">
      <c r="F134" s="3"/>
      <c r="G134" s="7"/>
    </row>
    <row r="135">
      <c r="F135" s="3"/>
      <c r="G135" s="7"/>
    </row>
    <row r="136">
      <c r="F136" s="3"/>
      <c r="G136" s="7"/>
    </row>
    <row r="137">
      <c r="F137" s="3"/>
      <c r="G137" s="7"/>
    </row>
    <row r="138">
      <c r="F138" s="3"/>
      <c r="G138" s="7"/>
      <c r="AP138" s="9" t="s">
        <v>64</v>
      </c>
      <c r="AQ138" s="9" t="s">
        <v>79</v>
      </c>
      <c r="AR138" s="9" t="s">
        <v>65</v>
      </c>
      <c r="AS138" s="9" t="s">
        <v>62</v>
      </c>
    </row>
    <row r="139">
      <c r="F139" s="3"/>
      <c r="G139" s="7"/>
      <c r="AP139" s="9" t="s">
        <v>49</v>
      </c>
      <c r="AQ139" s="9" t="s">
        <v>108</v>
      </c>
      <c r="AR139" s="33">
        <v>2489771.1595589393</v>
      </c>
      <c r="AS139" s="34">
        <v>262950.07227999246</v>
      </c>
    </row>
    <row r="140">
      <c r="F140" s="3"/>
      <c r="G140" s="7"/>
      <c r="AP140" s="9"/>
      <c r="AQ140" s="9" t="s">
        <v>104</v>
      </c>
      <c r="AR140" s="33">
        <v>331439.63108577725</v>
      </c>
      <c r="AS140" s="34">
        <v>45234.77</v>
      </c>
    </row>
    <row r="141">
      <c r="F141" s="3"/>
      <c r="G141" s="7"/>
      <c r="AP141" s="9"/>
      <c r="AQ141" s="9" t="s">
        <v>140</v>
      </c>
      <c r="AR141" s="33">
        <v>320856.0064405442</v>
      </c>
      <c r="AS141" s="34">
        <v>49225.52635353133</v>
      </c>
    </row>
    <row r="142">
      <c r="F142" s="3"/>
      <c r="G142" s="7"/>
      <c r="AP142" s="9"/>
      <c r="AQ142" s="9" t="s">
        <v>110</v>
      </c>
      <c r="AR142" s="33">
        <v>268782.4251406717</v>
      </c>
      <c r="AS142" s="34">
        <v>38719.35</v>
      </c>
    </row>
    <row r="143">
      <c r="F143" s="3"/>
      <c r="G143" s="7"/>
      <c r="AP143" s="9"/>
      <c r="AQ143" s="9" t="s">
        <v>144</v>
      </c>
      <c r="AR143" s="3">
        <v>214329.40572643283</v>
      </c>
      <c r="AS143" s="7">
        <v>31886.95</v>
      </c>
    </row>
    <row r="144">
      <c r="F144" s="3"/>
      <c r="G144" s="7"/>
      <c r="AP144" s="9"/>
      <c r="AQ144" s="9" t="s">
        <v>146</v>
      </c>
      <c r="AR144" s="33">
        <v>172680.8750712194</v>
      </c>
      <c r="AS144" s="34">
        <v>23262.8441544774</v>
      </c>
    </row>
    <row r="145">
      <c r="F145" s="3"/>
      <c r="G145" s="7"/>
      <c r="AP145" s="9" t="s">
        <v>74</v>
      </c>
      <c r="AQ145" s="9"/>
      <c r="AR145" s="33">
        <v>3797859.503023577</v>
      </c>
      <c r="AS145" s="34">
        <v>451279.5127880018</v>
      </c>
    </row>
    <row r="146">
      <c r="F146" s="3"/>
      <c r="G146" s="7"/>
    </row>
    <row r="147">
      <c r="F147" s="3"/>
      <c r="G147" s="7"/>
    </row>
    <row r="148">
      <c r="F148" s="3"/>
      <c r="G148" s="7"/>
    </row>
    <row r="149">
      <c r="F149" s="3"/>
      <c r="G149" s="7"/>
    </row>
    <row r="150">
      <c r="F150" s="3"/>
      <c r="G150" s="7"/>
      <c r="AP150" s="9" t="s">
        <v>64</v>
      </c>
      <c r="AQ150" s="9" t="s">
        <v>79</v>
      </c>
      <c r="AR150" s="9" t="s">
        <v>65</v>
      </c>
      <c r="AS150" s="9" t="s">
        <v>62</v>
      </c>
    </row>
    <row r="151">
      <c r="F151" s="3"/>
      <c r="G151" s="7"/>
      <c r="AP151" s="9" t="s">
        <v>50</v>
      </c>
      <c r="AQ151" s="9" t="s">
        <v>102</v>
      </c>
      <c r="AR151" s="33">
        <v>748101.7241879387</v>
      </c>
      <c r="AS151" s="34">
        <v>71833.868</v>
      </c>
    </row>
    <row r="152">
      <c r="F152" s="3"/>
      <c r="G152" s="7"/>
      <c r="AP152" s="9"/>
      <c r="AQ152" s="9" t="s">
        <v>151</v>
      </c>
      <c r="AR152" s="33">
        <v>367052.7576508522</v>
      </c>
      <c r="AS152" s="34">
        <v>60431.0</v>
      </c>
    </row>
    <row r="153">
      <c r="F153" s="3"/>
      <c r="G153" s="7"/>
      <c r="AP153" s="9"/>
      <c r="AQ153" s="9" t="s">
        <v>108</v>
      </c>
      <c r="AR153" s="33">
        <v>323094.1894454956</v>
      </c>
      <c r="AS153" s="34">
        <v>47748.0</v>
      </c>
    </row>
    <row r="154">
      <c r="F154" s="3"/>
      <c r="G154" s="7"/>
      <c r="AP154" s="9"/>
      <c r="AQ154" s="9" t="s">
        <v>50</v>
      </c>
      <c r="AR154" s="33">
        <v>309484.1151332855</v>
      </c>
      <c r="AS154" s="34">
        <v>40840.0</v>
      </c>
    </row>
    <row r="155">
      <c r="F155" s="3"/>
      <c r="G155" s="7"/>
      <c r="AP155" s="9"/>
      <c r="AQ155" s="9" t="s">
        <v>157</v>
      </c>
      <c r="AR155" s="3">
        <v>267552.0575791543</v>
      </c>
      <c r="AS155" s="7">
        <v>36971.91930602619</v>
      </c>
    </row>
    <row r="156">
      <c r="F156" s="3"/>
      <c r="G156" s="7"/>
      <c r="AP156" s="9"/>
      <c r="AQ156" s="9" t="s">
        <v>93</v>
      </c>
      <c r="AR156" s="33">
        <v>74243.94844293594</v>
      </c>
      <c r="AS156" s="34">
        <v>9507.0</v>
      </c>
    </row>
    <row r="157">
      <c r="F157" s="3"/>
      <c r="G157" s="7"/>
      <c r="AP157" s="9"/>
      <c r="AQ157" s="9" t="s">
        <v>121</v>
      </c>
      <c r="AR157" s="33">
        <v>37652.19421386719</v>
      </c>
      <c r="AS157" s="34">
        <v>5600.0</v>
      </c>
    </row>
    <row r="158">
      <c r="F158" s="3"/>
      <c r="G158" s="7"/>
      <c r="AP158" s="9"/>
      <c r="AQ158" s="9" t="s">
        <v>161</v>
      </c>
      <c r="AR158" s="33">
        <v>244.34801983833313</v>
      </c>
      <c r="AS158" s="34">
        <v>35.5</v>
      </c>
    </row>
    <row r="159">
      <c r="F159" s="3"/>
      <c r="G159" s="7"/>
      <c r="AP159" s="9" t="s">
        <v>74</v>
      </c>
      <c r="AQ159" s="9"/>
      <c r="AR159" s="33">
        <v>2127425.334673369</v>
      </c>
      <c r="AS159" s="34">
        <v>272967.2873060264</v>
      </c>
    </row>
    <row r="160">
      <c r="F160" s="3"/>
      <c r="G160" s="7"/>
    </row>
    <row r="161">
      <c r="F161" s="3"/>
      <c r="G161" s="7"/>
    </row>
    <row r="162">
      <c r="F162" s="3"/>
      <c r="G162" s="7"/>
    </row>
    <row r="163">
      <c r="F163" s="3"/>
      <c r="G163" s="7"/>
    </row>
    <row r="164">
      <c r="F164" s="3"/>
      <c r="G164" s="7"/>
    </row>
    <row r="165">
      <c r="F165" s="3"/>
      <c r="G165" s="7"/>
    </row>
    <row r="166">
      <c r="F166" s="3"/>
      <c r="G166" s="7"/>
    </row>
    <row r="167">
      <c r="F167" s="3"/>
      <c r="G167" s="7"/>
    </row>
    <row r="168">
      <c r="F168" s="3"/>
      <c r="G168" s="7"/>
    </row>
    <row r="169">
      <c r="F169" s="3"/>
      <c r="G169" s="7"/>
    </row>
    <row r="170">
      <c r="F170" s="3"/>
      <c r="G170" s="7"/>
    </row>
    <row r="171">
      <c r="F171" s="3"/>
      <c r="G171" s="7"/>
    </row>
    <row r="172">
      <c r="F172" s="3"/>
      <c r="G172" s="7"/>
    </row>
    <row r="173">
      <c r="F173" s="3"/>
      <c r="G173" s="7"/>
    </row>
    <row r="174">
      <c r="F174" s="3"/>
      <c r="G174" s="7"/>
    </row>
    <row r="175">
      <c r="F175" s="3"/>
      <c r="G175" s="7"/>
    </row>
    <row r="176">
      <c r="F176" s="3"/>
      <c r="G176" s="7"/>
    </row>
    <row r="177">
      <c r="F177" s="3"/>
      <c r="G177" s="7"/>
    </row>
    <row r="178">
      <c r="F178" s="3"/>
      <c r="G178" s="7"/>
    </row>
    <row r="179">
      <c r="F179" s="3"/>
      <c r="G179" s="7"/>
    </row>
    <row r="180">
      <c r="F180" s="3"/>
      <c r="G180" s="7"/>
    </row>
    <row r="181">
      <c r="F181" s="3"/>
      <c r="G181" s="7"/>
    </row>
    <row r="182">
      <c r="F182" s="3"/>
      <c r="G182" s="7"/>
    </row>
    <row r="183">
      <c r="F183" s="3"/>
      <c r="G183" s="7"/>
    </row>
    <row r="184">
      <c r="F184" s="3"/>
      <c r="G184" s="7"/>
    </row>
    <row r="185">
      <c r="F185" s="3"/>
      <c r="G185" s="7"/>
    </row>
    <row r="186">
      <c r="F186" s="3"/>
      <c r="G186" s="7"/>
    </row>
    <row r="187">
      <c r="F187" s="3"/>
      <c r="G187" s="7"/>
    </row>
    <row r="188">
      <c r="F188" s="3"/>
      <c r="G188" s="7"/>
    </row>
    <row r="189">
      <c r="F189" s="3"/>
      <c r="G189" s="7"/>
    </row>
    <row r="190">
      <c r="F190" s="3"/>
      <c r="G190" s="7"/>
    </row>
    <row r="191">
      <c r="F191" s="3"/>
      <c r="G191" s="7"/>
    </row>
    <row r="192">
      <c r="F192" s="3"/>
      <c r="G192" s="7"/>
    </row>
    <row r="193">
      <c r="F193" s="3"/>
      <c r="G193" s="7"/>
    </row>
    <row r="194">
      <c r="F194" s="3"/>
      <c r="G194" s="7"/>
    </row>
    <row r="195">
      <c r="F195" s="3"/>
      <c r="G195" s="7"/>
    </row>
    <row r="196">
      <c r="F196" s="3"/>
      <c r="G196" s="7"/>
    </row>
    <row r="197">
      <c r="F197" s="3"/>
      <c r="G197" s="7"/>
    </row>
    <row r="198">
      <c r="F198" s="3"/>
      <c r="G198" s="7"/>
    </row>
    <row r="199">
      <c r="F199" s="3"/>
      <c r="G199" s="7"/>
    </row>
    <row r="200">
      <c r="F200" s="3"/>
      <c r="G200" s="7"/>
    </row>
    <row r="201">
      <c r="F201" s="3"/>
      <c r="G201" s="7"/>
    </row>
    <row r="202">
      <c r="F202" s="3"/>
      <c r="G202" s="7"/>
    </row>
    <row r="203">
      <c r="F203" s="3"/>
      <c r="G203" s="7"/>
    </row>
    <row r="204">
      <c r="F204" s="3"/>
      <c r="G204" s="7"/>
    </row>
    <row r="205">
      <c r="F205" s="3"/>
      <c r="G205" s="7"/>
    </row>
    <row r="206">
      <c r="F206" s="3"/>
      <c r="G206" s="7"/>
    </row>
    <row r="207">
      <c r="F207" s="3"/>
      <c r="G207" s="7"/>
    </row>
    <row r="208">
      <c r="F208" s="3"/>
      <c r="G208" s="7"/>
    </row>
    <row r="209">
      <c r="F209" s="3"/>
      <c r="G209" s="7"/>
    </row>
    <row r="210">
      <c r="F210" s="3"/>
      <c r="G210" s="7"/>
    </row>
    <row r="211">
      <c r="F211" s="3"/>
      <c r="G211" s="7"/>
    </row>
    <row r="212">
      <c r="F212" s="3"/>
      <c r="G212" s="7"/>
    </row>
    <row r="213">
      <c r="F213" s="3"/>
      <c r="G213" s="7"/>
    </row>
    <row r="214">
      <c r="F214" s="3"/>
      <c r="G214" s="7"/>
    </row>
    <row r="215">
      <c r="F215" s="3"/>
      <c r="G215" s="7"/>
    </row>
    <row r="216">
      <c r="F216" s="3"/>
      <c r="G216" s="7"/>
    </row>
    <row r="217">
      <c r="F217" s="3"/>
      <c r="G217" s="7"/>
    </row>
    <row r="218">
      <c r="F218" s="3"/>
      <c r="G218" s="7"/>
    </row>
    <row r="219">
      <c r="F219" s="3"/>
      <c r="G219" s="7"/>
    </row>
    <row r="220">
      <c r="F220" s="3"/>
      <c r="G220" s="7"/>
    </row>
    <row r="221">
      <c r="F221" s="3"/>
      <c r="G221" s="7"/>
    </row>
    <row r="222">
      <c r="F222" s="3"/>
      <c r="G222" s="7"/>
    </row>
    <row r="223">
      <c r="F223" s="3"/>
      <c r="G223" s="7"/>
    </row>
    <row r="224">
      <c r="F224" s="3"/>
      <c r="G224" s="7"/>
    </row>
    <row r="225">
      <c r="F225" s="3"/>
      <c r="G225" s="7"/>
    </row>
    <row r="226">
      <c r="F226" s="3"/>
      <c r="G226" s="7"/>
    </row>
    <row r="227">
      <c r="F227" s="3"/>
      <c r="G227" s="7"/>
    </row>
    <row r="228">
      <c r="F228" s="3"/>
      <c r="G228" s="7"/>
    </row>
    <row r="229">
      <c r="F229" s="3"/>
      <c r="G229" s="7"/>
    </row>
    <row r="230">
      <c r="F230" s="3"/>
      <c r="G230" s="7"/>
    </row>
    <row r="231">
      <c r="F231" s="3"/>
      <c r="G231" s="7"/>
    </row>
    <row r="232">
      <c r="F232" s="3"/>
      <c r="G232" s="7"/>
    </row>
    <row r="233">
      <c r="F233" s="3"/>
      <c r="G233" s="7"/>
    </row>
    <row r="234">
      <c r="F234" s="3"/>
      <c r="G234" s="7"/>
    </row>
    <row r="235">
      <c r="F235" s="3"/>
      <c r="G235" s="7"/>
    </row>
    <row r="236">
      <c r="F236" s="3"/>
      <c r="G236" s="7"/>
    </row>
    <row r="237">
      <c r="F237" s="3"/>
      <c r="G237" s="7"/>
    </row>
    <row r="238">
      <c r="F238" s="3"/>
      <c r="G238" s="7"/>
    </row>
    <row r="239">
      <c r="F239" s="3"/>
      <c r="G239" s="7"/>
    </row>
    <row r="240">
      <c r="F240" s="3"/>
      <c r="G240" s="7"/>
    </row>
    <row r="241">
      <c r="F241" s="3"/>
      <c r="G241" s="7"/>
    </row>
    <row r="242">
      <c r="F242" s="3"/>
      <c r="G242" s="7"/>
    </row>
    <row r="243">
      <c r="F243" s="3"/>
      <c r="G243" s="7"/>
    </row>
    <row r="244">
      <c r="F244" s="3"/>
      <c r="G244" s="7"/>
    </row>
    <row r="245">
      <c r="F245" s="3"/>
      <c r="G245" s="7"/>
    </row>
    <row r="246">
      <c r="F246" s="3"/>
      <c r="G246" s="7"/>
    </row>
    <row r="247">
      <c r="F247" s="3"/>
      <c r="G247" s="7"/>
    </row>
    <row r="248">
      <c r="F248" s="3"/>
      <c r="G248" s="7"/>
    </row>
    <row r="249">
      <c r="F249" s="3"/>
      <c r="G249" s="7"/>
    </row>
    <row r="250">
      <c r="F250" s="3"/>
      <c r="G250" s="7"/>
    </row>
    <row r="251">
      <c r="F251" s="3"/>
      <c r="G251" s="7"/>
    </row>
    <row r="252">
      <c r="F252" s="3"/>
      <c r="G252" s="7"/>
    </row>
    <row r="253">
      <c r="F253" s="3"/>
      <c r="G253" s="7"/>
    </row>
    <row r="254">
      <c r="F254" s="3"/>
      <c r="G254" s="7"/>
    </row>
    <row r="255">
      <c r="F255" s="3"/>
      <c r="G255" s="7"/>
    </row>
    <row r="256">
      <c r="F256" s="3"/>
      <c r="G256" s="7"/>
    </row>
    <row r="257">
      <c r="F257" s="3"/>
      <c r="G257" s="7"/>
    </row>
    <row r="258">
      <c r="F258" s="3"/>
      <c r="G258" s="7"/>
    </row>
    <row r="259">
      <c r="F259" s="3"/>
      <c r="G259" s="7"/>
    </row>
    <row r="260">
      <c r="F260" s="3"/>
      <c r="G260" s="7"/>
    </row>
    <row r="261">
      <c r="F261" s="3"/>
      <c r="G261" s="7"/>
    </row>
    <row r="262">
      <c r="F262" s="3"/>
      <c r="G262" s="7"/>
    </row>
    <row r="263">
      <c r="F263" s="3"/>
      <c r="G263" s="7"/>
    </row>
    <row r="264">
      <c r="F264" s="3"/>
      <c r="G264" s="7"/>
    </row>
    <row r="265">
      <c r="F265" s="3"/>
      <c r="G265" s="7"/>
    </row>
    <row r="266">
      <c r="F266" s="3"/>
      <c r="G266" s="7"/>
    </row>
    <row r="267">
      <c r="F267" s="3"/>
      <c r="G267" s="7"/>
    </row>
    <row r="268">
      <c r="F268" s="3"/>
      <c r="G268" s="7"/>
    </row>
    <row r="269">
      <c r="F269" s="3"/>
      <c r="G269" s="7"/>
    </row>
    <row r="270">
      <c r="F270" s="3"/>
      <c r="G270" s="7"/>
    </row>
    <row r="271">
      <c r="F271" s="3"/>
      <c r="G271" s="7"/>
    </row>
    <row r="272">
      <c r="F272" s="3"/>
      <c r="G272" s="7"/>
    </row>
    <row r="273">
      <c r="F273" s="3"/>
      <c r="G273" s="7"/>
    </row>
    <row r="274">
      <c r="F274" s="3"/>
      <c r="G274" s="7"/>
    </row>
    <row r="275">
      <c r="F275" s="3"/>
      <c r="G275" s="7"/>
    </row>
    <row r="276">
      <c r="F276" s="3"/>
      <c r="G276" s="7"/>
    </row>
    <row r="277">
      <c r="F277" s="3"/>
      <c r="G277" s="7"/>
    </row>
    <row r="278">
      <c r="F278" s="3"/>
      <c r="G278" s="7"/>
    </row>
    <row r="279">
      <c r="F279" s="3"/>
      <c r="G279" s="7"/>
    </row>
    <row r="280">
      <c r="F280" s="3"/>
      <c r="G280" s="7"/>
    </row>
    <row r="281">
      <c r="F281" s="3"/>
      <c r="G281" s="7"/>
    </row>
    <row r="282">
      <c r="F282" s="3"/>
      <c r="G282" s="7"/>
    </row>
    <row r="283">
      <c r="F283" s="3"/>
      <c r="G283" s="7"/>
    </row>
    <row r="284">
      <c r="F284" s="3"/>
      <c r="G284" s="7"/>
    </row>
    <row r="285">
      <c r="F285" s="3"/>
      <c r="G285" s="7"/>
    </row>
    <row r="286">
      <c r="F286" s="3"/>
      <c r="G286" s="7"/>
    </row>
    <row r="287">
      <c r="F287" s="3"/>
      <c r="G287" s="7"/>
    </row>
    <row r="288">
      <c r="F288" s="3"/>
      <c r="G288" s="7"/>
    </row>
    <row r="289">
      <c r="F289" s="3"/>
      <c r="G289" s="7"/>
    </row>
    <row r="290">
      <c r="F290" s="3"/>
      <c r="G290" s="7"/>
    </row>
    <row r="291">
      <c r="F291" s="3"/>
      <c r="G291" s="7"/>
    </row>
    <row r="292">
      <c r="F292" s="3"/>
      <c r="G292" s="7"/>
    </row>
    <row r="293">
      <c r="F293" s="3"/>
      <c r="G293" s="7"/>
    </row>
    <row r="294">
      <c r="F294" s="3"/>
      <c r="G294" s="7"/>
    </row>
    <row r="295">
      <c r="F295" s="3"/>
      <c r="G295" s="7"/>
    </row>
    <row r="296">
      <c r="F296" s="3"/>
      <c r="G296" s="7"/>
    </row>
    <row r="297">
      <c r="F297" s="3"/>
      <c r="G297" s="7"/>
    </row>
    <row r="298">
      <c r="F298" s="3"/>
      <c r="G298" s="7"/>
    </row>
    <row r="299">
      <c r="F299" s="3"/>
      <c r="G299" s="7"/>
    </row>
    <row r="300">
      <c r="F300" s="3"/>
      <c r="G300" s="7"/>
    </row>
    <row r="301">
      <c r="F301" s="3"/>
      <c r="G301" s="7"/>
    </row>
    <row r="302">
      <c r="F302" s="3"/>
      <c r="G302" s="7"/>
    </row>
    <row r="303">
      <c r="F303" s="3"/>
      <c r="G303" s="7"/>
    </row>
    <row r="304">
      <c r="F304" s="3"/>
      <c r="G304" s="7"/>
    </row>
    <row r="305">
      <c r="F305" s="3"/>
      <c r="G305" s="7"/>
    </row>
    <row r="306">
      <c r="F306" s="3"/>
      <c r="G306" s="7"/>
    </row>
    <row r="307">
      <c r="F307" s="3"/>
      <c r="G307" s="7"/>
    </row>
    <row r="308">
      <c r="F308" s="3"/>
      <c r="G308" s="7"/>
    </row>
    <row r="309">
      <c r="F309" s="3"/>
      <c r="G309" s="7"/>
    </row>
    <row r="310">
      <c r="F310" s="3"/>
      <c r="G310" s="7"/>
    </row>
    <row r="311">
      <c r="F311" s="3"/>
      <c r="G311" s="7"/>
    </row>
    <row r="312">
      <c r="F312" s="3"/>
      <c r="G312" s="7"/>
    </row>
    <row r="313">
      <c r="F313" s="3"/>
      <c r="G313" s="7"/>
    </row>
    <row r="314">
      <c r="F314" s="3"/>
      <c r="G314" s="7"/>
    </row>
    <row r="315">
      <c r="F315" s="3"/>
      <c r="G315" s="7"/>
    </row>
    <row r="316">
      <c r="F316" s="3"/>
      <c r="G316" s="7"/>
    </row>
    <row r="317">
      <c r="F317" s="3"/>
      <c r="G317" s="7"/>
    </row>
    <row r="318">
      <c r="F318" s="3"/>
      <c r="G318" s="7"/>
    </row>
    <row r="319">
      <c r="F319" s="3"/>
      <c r="G319" s="7"/>
    </row>
    <row r="320">
      <c r="F320" s="3"/>
      <c r="G320" s="7"/>
    </row>
    <row r="321">
      <c r="F321" s="3"/>
      <c r="G321" s="7"/>
    </row>
    <row r="322">
      <c r="F322" s="3"/>
      <c r="G322" s="7"/>
    </row>
    <row r="323">
      <c r="F323" s="3"/>
      <c r="G323" s="7"/>
    </row>
    <row r="324">
      <c r="F324" s="3"/>
      <c r="G324" s="7"/>
    </row>
    <row r="325">
      <c r="F325" s="3"/>
      <c r="G325" s="7"/>
    </row>
    <row r="326">
      <c r="F326" s="3"/>
      <c r="G326" s="7"/>
    </row>
    <row r="327">
      <c r="F327" s="3"/>
      <c r="G327" s="7"/>
    </row>
    <row r="328">
      <c r="F328" s="3"/>
      <c r="G328" s="7"/>
    </row>
    <row r="329">
      <c r="F329" s="3"/>
      <c r="G329" s="7"/>
    </row>
    <row r="330">
      <c r="F330" s="3"/>
      <c r="G330" s="7"/>
    </row>
    <row r="331">
      <c r="F331" s="3"/>
      <c r="G331" s="7"/>
    </row>
    <row r="332">
      <c r="F332" s="3"/>
      <c r="G332" s="7"/>
    </row>
    <row r="333">
      <c r="F333" s="3"/>
      <c r="G333" s="7"/>
    </row>
    <row r="334">
      <c r="F334" s="3"/>
      <c r="G334" s="7"/>
    </row>
    <row r="335">
      <c r="F335" s="3"/>
      <c r="G335" s="7"/>
    </row>
    <row r="336">
      <c r="F336" s="3"/>
      <c r="G336" s="7"/>
    </row>
    <row r="337">
      <c r="F337" s="3"/>
      <c r="G337" s="7"/>
    </row>
    <row r="338">
      <c r="F338" s="3"/>
      <c r="G338" s="7"/>
    </row>
    <row r="339">
      <c r="F339" s="3"/>
      <c r="G339" s="7"/>
    </row>
    <row r="340">
      <c r="F340" s="3"/>
      <c r="G340" s="7"/>
    </row>
    <row r="341">
      <c r="F341" s="3"/>
      <c r="G341" s="7"/>
    </row>
    <row r="342">
      <c r="F342" s="3"/>
      <c r="G342" s="7"/>
    </row>
    <row r="343">
      <c r="F343" s="3"/>
      <c r="G343" s="7"/>
    </row>
    <row r="344">
      <c r="F344" s="3"/>
      <c r="G344" s="7"/>
    </row>
    <row r="345">
      <c r="F345" s="3"/>
      <c r="G345" s="7"/>
    </row>
    <row r="346">
      <c r="F346" s="3"/>
      <c r="G346" s="7"/>
    </row>
    <row r="347">
      <c r="F347" s="3"/>
      <c r="G347" s="7"/>
    </row>
    <row r="348">
      <c r="F348" s="3"/>
      <c r="G348" s="7"/>
    </row>
    <row r="349">
      <c r="F349" s="3"/>
      <c r="G349" s="7"/>
    </row>
    <row r="350">
      <c r="F350" s="3"/>
      <c r="G350" s="7"/>
    </row>
    <row r="351">
      <c r="F351" s="3"/>
      <c r="G351" s="7"/>
    </row>
    <row r="352">
      <c r="F352" s="3"/>
      <c r="G352" s="7"/>
    </row>
    <row r="353">
      <c r="F353" s="3"/>
      <c r="G353" s="7"/>
    </row>
    <row r="354">
      <c r="F354" s="3"/>
      <c r="G354" s="7"/>
    </row>
    <row r="355">
      <c r="F355" s="3"/>
      <c r="G355" s="7"/>
    </row>
    <row r="356">
      <c r="F356" s="3"/>
      <c r="G356" s="7"/>
    </row>
    <row r="357">
      <c r="F357" s="3"/>
      <c r="G357" s="7"/>
    </row>
    <row r="358">
      <c r="F358" s="3"/>
      <c r="G358" s="7"/>
    </row>
    <row r="359">
      <c r="F359" s="3"/>
      <c r="G359" s="7"/>
    </row>
    <row r="360">
      <c r="F360" s="3"/>
      <c r="G360" s="7"/>
    </row>
    <row r="361">
      <c r="F361" s="3"/>
      <c r="G361" s="7"/>
    </row>
    <row r="362">
      <c r="F362" s="3"/>
      <c r="G362" s="7"/>
    </row>
    <row r="363">
      <c r="F363" s="3"/>
      <c r="G363" s="7"/>
    </row>
    <row r="364">
      <c r="F364" s="3"/>
      <c r="G364" s="7"/>
    </row>
    <row r="365">
      <c r="F365" s="3"/>
      <c r="G365" s="7"/>
    </row>
    <row r="366">
      <c r="F366" s="3"/>
      <c r="G366" s="7"/>
    </row>
    <row r="367">
      <c r="F367" s="3"/>
      <c r="G367" s="7"/>
    </row>
    <row r="368">
      <c r="F368" s="3"/>
      <c r="G368" s="7"/>
    </row>
    <row r="369">
      <c r="F369" s="3"/>
      <c r="G369" s="7"/>
    </row>
    <row r="370">
      <c r="F370" s="3"/>
      <c r="G370" s="7"/>
    </row>
    <row r="371">
      <c r="F371" s="3"/>
      <c r="G371" s="7"/>
    </row>
    <row r="372">
      <c r="F372" s="3"/>
      <c r="G372" s="7"/>
    </row>
    <row r="373">
      <c r="F373" s="3"/>
      <c r="G373" s="7"/>
    </row>
    <row r="374">
      <c r="F374" s="3"/>
      <c r="G374" s="7"/>
    </row>
    <row r="375">
      <c r="F375" s="3"/>
      <c r="G375" s="7"/>
    </row>
    <row r="376">
      <c r="F376" s="3"/>
      <c r="G376" s="7"/>
    </row>
    <row r="377">
      <c r="F377" s="3"/>
      <c r="G377" s="7"/>
    </row>
    <row r="378">
      <c r="F378" s="3"/>
      <c r="G378" s="7"/>
    </row>
    <row r="379">
      <c r="F379" s="3"/>
      <c r="G379" s="7"/>
    </row>
    <row r="380">
      <c r="F380" s="3"/>
      <c r="G380" s="7"/>
    </row>
    <row r="381">
      <c r="F381" s="3"/>
      <c r="G381" s="7"/>
    </row>
    <row r="382">
      <c r="F382" s="3"/>
      <c r="G382" s="7"/>
    </row>
    <row r="383">
      <c r="F383" s="3"/>
      <c r="G383" s="7"/>
    </row>
    <row r="384">
      <c r="F384" s="3"/>
      <c r="G384" s="7"/>
    </row>
    <row r="385">
      <c r="F385" s="3"/>
      <c r="G385" s="7"/>
    </row>
    <row r="386">
      <c r="F386" s="3"/>
      <c r="G386" s="7"/>
    </row>
    <row r="387">
      <c r="F387" s="3"/>
      <c r="G387" s="7"/>
    </row>
    <row r="388">
      <c r="F388" s="3"/>
      <c r="G388" s="7"/>
    </row>
    <row r="389">
      <c r="F389" s="3"/>
      <c r="G389" s="7"/>
    </row>
    <row r="390">
      <c r="F390" s="3"/>
      <c r="G390" s="7"/>
    </row>
    <row r="391">
      <c r="F391" s="3"/>
      <c r="G391" s="7"/>
    </row>
    <row r="392">
      <c r="F392" s="3"/>
      <c r="G392" s="7"/>
    </row>
    <row r="393">
      <c r="F393" s="3"/>
      <c r="G393" s="7"/>
    </row>
    <row r="394">
      <c r="F394" s="3"/>
      <c r="G394" s="7"/>
    </row>
    <row r="395">
      <c r="F395" s="3"/>
      <c r="G395" s="7"/>
    </row>
    <row r="396">
      <c r="F396" s="3"/>
      <c r="G396" s="7"/>
    </row>
    <row r="397">
      <c r="F397" s="3"/>
      <c r="G397" s="7"/>
    </row>
    <row r="398">
      <c r="F398" s="3"/>
      <c r="G398" s="7"/>
    </row>
    <row r="399">
      <c r="F399" s="3"/>
      <c r="G399" s="7"/>
    </row>
    <row r="400">
      <c r="F400" s="3"/>
      <c r="G400" s="7"/>
    </row>
    <row r="401">
      <c r="F401" s="3"/>
      <c r="G401" s="7"/>
    </row>
    <row r="402">
      <c r="F402" s="3"/>
      <c r="G402" s="7"/>
    </row>
    <row r="403">
      <c r="F403" s="3"/>
      <c r="G403" s="7"/>
    </row>
    <row r="404">
      <c r="F404" s="3"/>
      <c r="G404" s="7"/>
    </row>
    <row r="405">
      <c r="F405" s="3"/>
      <c r="G405" s="7"/>
    </row>
    <row r="406">
      <c r="F406" s="3"/>
      <c r="G406" s="7"/>
    </row>
    <row r="407">
      <c r="F407" s="3"/>
      <c r="G407" s="7"/>
    </row>
    <row r="408">
      <c r="F408" s="3"/>
      <c r="G408" s="7"/>
    </row>
    <row r="409">
      <c r="F409" s="3"/>
      <c r="G409" s="7"/>
    </row>
    <row r="410">
      <c r="F410" s="3"/>
      <c r="G410" s="7"/>
    </row>
    <row r="411">
      <c r="F411" s="3"/>
      <c r="G411" s="7"/>
    </row>
    <row r="412">
      <c r="F412" s="3"/>
      <c r="G412" s="7"/>
    </row>
    <row r="413">
      <c r="F413" s="3"/>
      <c r="G413" s="7"/>
    </row>
    <row r="414">
      <c r="F414" s="3"/>
      <c r="G414" s="7"/>
    </row>
    <row r="415">
      <c r="F415" s="3"/>
      <c r="G415" s="7"/>
    </row>
    <row r="416">
      <c r="F416" s="3"/>
      <c r="G416" s="7"/>
    </row>
    <row r="417">
      <c r="F417" s="3"/>
      <c r="G417" s="7"/>
    </row>
    <row r="418">
      <c r="F418" s="3"/>
      <c r="G418" s="7"/>
    </row>
    <row r="419">
      <c r="F419" s="3"/>
      <c r="G419" s="7"/>
    </row>
    <row r="420">
      <c r="F420" s="3"/>
      <c r="G420" s="7"/>
    </row>
    <row r="421">
      <c r="F421" s="3"/>
      <c r="G421" s="7"/>
    </row>
    <row r="422">
      <c r="F422" s="3"/>
      <c r="G422" s="7"/>
    </row>
    <row r="423">
      <c r="F423" s="3"/>
      <c r="G423" s="7"/>
    </row>
    <row r="424">
      <c r="F424" s="3"/>
      <c r="G424" s="7"/>
    </row>
    <row r="425">
      <c r="F425" s="3"/>
      <c r="G425" s="7"/>
    </row>
    <row r="426">
      <c r="F426" s="3"/>
      <c r="G426" s="7"/>
    </row>
    <row r="427">
      <c r="F427" s="3"/>
      <c r="G427" s="7"/>
    </row>
    <row r="428">
      <c r="F428" s="3"/>
      <c r="G428" s="7"/>
    </row>
    <row r="429">
      <c r="F429" s="3"/>
      <c r="G429" s="7"/>
    </row>
    <row r="430">
      <c r="F430" s="3"/>
      <c r="G430" s="7"/>
    </row>
    <row r="431">
      <c r="F431" s="3"/>
      <c r="G431" s="7"/>
    </row>
    <row r="432">
      <c r="F432" s="3"/>
      <c r="G432" s="7"/>
    </row>
    <row r="433">
      <c r="F433" s="3"/>
      <c r="G433" s="7"/>
    </row>
    <row r="434">
      <c r="F434" s="3"/>
      <c r="G434" s="7"/>
    </row>
    <row r="435">
      <c r="F435" s="3"/>
      <c r="G435" s="7"/>
    </row>
    <row r="436">
      <c r="F436" s="3"/>
      <c r="G436" s="7"/>
    </row>
    <row r="437">
      <c r="F437" s="3"/>
      <c r="G437" s="7"/>
    </row>
    <row r="438">
      <c r="F438" s="3"/>
      <c r="G438" s="7"/>
    </row>
    <row r="439">
      <c r="F439" s="3"/>
      <c r="G439" s="7"/>
    </row>
    <row r="440">
      <c r="F440" s="3"/>
      <c r="G440" s="7"/>
    </row>
    <row r="441">
      <c r="F441" s="3"/>
      <c r="G441" s="7"/>
    </row>
    <row r="442">
      <c r="F442" s="3"/>
      <c r="G442" s="7"/>
    </row>
    <row r="443">
      <c r="F443" s="3"/>
      <c r="G443" s="7"/>
    </row>
    <row r="444">
      <c r="F444" s="3"/>
      <c r="G444" s="7"/>
    </row>
    <row r="445">
      <c r="F445" s="3"/>
      <c r="G445" s="7"/>
    </row>
    <row r="446">
      <c r="F446" s="3"/>
      <c r="G446" s="7"/>
    </row>
    <row r="447">
      <c r="F447" s="3"/>
      <c r="G447" s="7"/>
    </row>
    <row r="448">
      <c r="F448" s="3"/>
      <c r="G448" s="7"/>
    </row>
    <row r="449">
      <c r="F449" s="3"/>
      <c r="G449" s="7"/>
    </row>
    <row r="450">
      <c r="F450" s="3"/>
      <c r="G450" s="7"/>
    </row>
    <row r="451">
      <c r="F451" s="3"/>
      <c r="G451" s="7"/>
    </row>
    <row r="452">
      <c r="F452" s="3"/>
      <c r="G452" s="7"/>
    </row>
    <row r="453">
      <c r="F453" s="3"/>
      <c r="G453" s="7"/>
    </row>
    <row r="454">
      <c r="F454" s="3"/>
      <c r="G454" s="7"/>
    </row>
    <row r="455">
      <c r="F455" s="3"/>
      <c r="G455" s="7"/>
    </row>
    <row r="456">
      <c r="F456" s="3"/>
      <c r="G456" s="7"/>
    </row>
    <row r="457">
      <c r="F457" s="3"/>
      <c r="G457" s="7"/>
    </row>
    <row r="458">
      <c r="F458" s="3"/>
      <c r="G458" s="7"/>
    </row>
    <row r="459">
      <c r="F459" s="3"/>
      <c r="G459" s="7"/>
    </row>
    <row r="460">
      <c r="F460" s="3"/>
      <c r="G460" s="7"/>
    </row>
    <row r="461">
      <c r="F461" s="3"/>
      <c r="G461" s="7"/>
    </row>
    <row r="462">
      <c r="F462" s="3"/>
      <c r="G462" s="7"/>
    </row>
    <row r="463">
      <c r="F463" s="3"/>
      <c r="G463" s="7"/>
    </row>
    <row r="464">
      <c r="F464" s="3"/>
      <c r="G464" s="7"/>
    </row>
    <row r="465">
      <c r="F465" s="3"/>
      <c r="G465" s="7"/>
    </row>
    <row r="466">
      <c r="F466" s="3"/>
      <c r="G466" s="7"/>
    </row>
    <row r="467">
      <c r="F467" s="3"/>
      <c r="G467" s="7"/>
    </row>
    <row r="468">
      <c r="F468" s="3"/>
      <c r="G468" s="7"/>
    </row>
    <row r="469">
      <c r="F469" s="3"/>
      <c r="G469" s="7"/>
    </row>
    <row r="470">
      <c r="F470" s="3"/>
      <c r="G470" s="7"/>
    </row>
    <row r="471">
      <c r="F471" s="3"/>
      <c r="G471" s="7"/>
    </row>
    <row r="472">
      <c r="F472" s="3"/>
      <c r="G472" s="7"/>
    </row>
    <row r="473">
      <c r="F473" s="3"/>
      <c r="G473" s="7"/>
    </row>
    <row r="474">
      <c r="F474" s="3"/>
      <c r="G474" s="7"/>
    </row>
    <row r="475">
      <c r="F475" s="3"/>
      <c r="G475" s="7"/>
    </row>
    <row r="476">
      <c r="F476" s="3"/>
      <c r="G476" s="7"/>
    </row>
    <row r="477">
      <c r="F477" s="3"/>
      <c r="G477" s="7"/>
    </row>
    <row r="478">
      <c r="F478" s="3"/>
      <c r="G478" s="7"/>
    </row>
    <row r="479">
      <c r="F479" s="3"/>
      <c r="G479" s="7"/>
    </row>
    <row r="480">
      <c r="F480" s="3"/>
      <c r="G480" s="7"/>
    </row>
    <row r="481">
      <c r="F481" s="3"/>
      <c r="G481" s="7"/>
    </row>
    <row r="482">
      <c r="F482" s="3"/>
      <c r="G482" s="7"/>
    </row>
    <row r="483">
      <c r="F483" s="3"/>
      <c r="G483" s="7"/>
    </row>
    <row r="484">
      <c r="F484" s="3"/>
      <c r="G484" s="7"/>
    </row>
    <row r="485">
      <c r="F485" s="3"/>
      <c r="G485" s="7"/>
    </row>
    <row r="486">
      <c r="F486" s="3"/>
      <c r="G486" s="7"/>
    </row>
    <row r="487">
      <c r="F487" s="3"/>
      <c r="G487" s="7"/>
    </row>
    <row r="488">
      <c r="F488" s="3"/>
      <c r="G488" s="7"/>
    </row>
    <row r="489">
      <c r="F489" s="3"/>
      <c r="G489" s="7"/>
    </row>
    <row r="490">
      <c r="F490" s="3"/>
      <c r="G490" s="7"/>
    </row>
    <row r="491">
      <c r="F491" s="3"/>
      <c r="G491" s="7"/>
    </row>
    <row r="492">
      <c r="F492" s="3"/>
      <c r="G492" s="7"/>
    </row>
    <row r="493">
      <c r="F493" s="3"/>
      <c r="G493" s="7"/>
    </row>
    <row r="494">
      <c r="F494" s="3"/>
      <c r="G494" s="7"/>
    </row>
    <row r="495">
      <c r="F495" s="3"/>
      <c r="G495" s="7"/>
    </row>
    <row r="496">
      <c r="F496" s="3"/>
      <c r="G496" s="7"/>
    </row>
    <row r="497">
      <c r="F497" s="3"/>
      <c r="G497" s="7"/>
    </row>
    <row r="498">
      <c r="F498" s="3"/>
      <c r="G498" s="7"/>
    </row>
    <row r="499">
      <c r="F499" s="3"/>
      <c r="G499" s="7"/>
    </row>
    <row r="500">
      <c r="F500" s="3"/>
      <c r="G500" s="7"/>
    </row>
    <row r="501">
      <c r="F501" s="3"/>
      <c r="G501" s="7"/>
    </row>
    <row r="502">
      <c r="F502" s="3"/>
      <c r="G502" s="7"/>
    </row>
    <row r="503">
      <c r="F503" s="3"/>
      <c r="G503" s="7"/>
    </row>
    <row r="504">
      <c r="F504" s="3"/>
      <c r="G504" s="7"/>
    </row>
    <row r="505">
      <c r="F505" s="3"/>
      <c r="G505" s="7"/>
    </row>
    <row r="506">
      <c r="F506" s="3"/>
      <c r="G506" s="7"/>
    </row>
    <row r="507">
      <c r="F507" s="3"/>
      <c r="G507" s="7"/>
    </row>
    <row r="508">
      <c r="F508" s="3"/>
      <c r="G508" s="7"/>
    </row>
    <row r="509">
      <c r="F509" s="3"/>
      <c r="G509" s="7"/>
    </row>
    <row r="510">
      <c r="F510" s="3"/>
      <c r="G510" s="7"/>
    </row>
    <row r="511">
      <c r="F511" s="3"/>
      <c r="G511" s="7"/>
    </row>
    <row r="512">
      <c r="F512" s="3"/>
      <c r="G512" s="7"/>
    </row>
    <row r="513">
      <c r="F513" s="3"/>
      <c r="G513" s="7"/>
    </row>
    <row r="514">
      <c r="F514" s="3"/>
      <c r="G514" s="7"/>
    </row>
    <row r="515">
      <c r="F515" s="3"/>
      <c r="G515" s="7"/>
    </row>
    <row r="516">
      <c r="F516" s="3"/>
      <c r="G516" s="7"/>
    </row>
    <row r="517">
      <c r="F517" s="3"/>
      <c r="G517" s="7"/>
    </row>
    <row r="518">
      <c r="F518" s="3"/>
      <c r="G518" s="7"/>
    </row>
    <row r="519">
      <c r="F519" s="3"/>
      <c r="G519" s="7"/>
    </row>
    <row r="520">
      <c r="F520" s="3"/>
      <c r="G520" s="7"/>
    </row>
    <row r="521">
      <c r="F521" s="3"/>
      <c r="G521" s="7"/>
    </row>
    <row r="522">
      <c r="F522" s="3"/>
      <c r="G522" s="7"/>
    </row>
    <row r="523">
      <c r="F523" s="3"/>
      <c r="G523" s="7"/>
    </row>
    <row r="524">
      <c r="F524" s="3"/>
      <c r="G524" s="7"/>
    </row>
    <row r="525">
      <c r="F525" s="3"/>
      <c r="G525" s="7"/>
    </row>
    <row r="526">
      <c r="F526" s="3"/>
      <c r="G526" s="7"/>
    </row>
    <row r="527">
      <c r="F527" s="3"/>
      <c r="G527" s="7"/>
    </row>
    <row r="528">
      <c r="F528" s="3"/>
      <c r="G528" s="7"/>
    </row>
    <row r="529">
      <c r="F529" s="3"/>
      <c r="G529" s="7"/>
    </row>
    <row r="530">
      <c r="F530" s="3"/>
      <c r="G530" s="7"/>
    </row>
    <row r="531">
      <c r="F531" s="3"/>
      <c r="G531" s="7"/>
    </row>
    <row r="532">
      <c r="F532" s="3"/>
      <c r="G532" s="7"/>
    </row>
    <row r="533">
      <c r="F533" s="3"/>
      <c r="G533" s="7"/>
    </row>
    <row r="534">
      <c r="F534" s="3"/>
      <c r="G534" s="7"/>
    </row>
    <row r="535">
      <c r="F535" s="3"/>
      <c r="G535" s="7"/>
    </row>
    <row r="536">
      <c r="F536" s="3"/>
      <c r="G536" s="7"/>
    </row>
    <row r="537">
      <c r="F537" s="3"/>
      <c r="G537" s="7"/>
    </row>
    <row r="538">
      <c r="F538" s="3"/>
      <c r="G538" s="7"/>
    </row>
    <row r="539">
      <c r="F539" s="3"/>
      <c r="G539" s="7"/>
    </row>
    <row r="540">
      <c r="F540" s="3"/>
      <c r="G540" s="7"/>
    </row>
    <row r="541">
      <c r="F541" s="3"/>
      <c r="G541" s="7"/>
    </row>
    <row r="542">
      <c r="F542" s="3"/>
      <c r="G542" s="7"/>
    </row>
    <row r="543">
      <c r="F543" s="3"/>
      <c r="G543" s="7"/>
    </row>
    <row r="544">
      <c r="F544" s="3"/>
      <c r="G544" s="7"/>
    </row>
    <row r="545">
      <c r="F545" s="3"/>
      <c r="G545" s="7"/>
    </row>
    <row r="546">
      <c r="F546" s="3"/>
      <c r="G546" s="7"/>
    </row>
    <row r="547">
      <c r="F547" s="3"/>
      <c r="G547" s="7"/>
    </row>
    <row r="548">
      <c r="F548" s="3"/>
      <c r="G548" s="7"/>
    </row>
    <row r="549">
      <c r="F549" s="3"/>
      <c r="G549" s="7"/>
    </row>
    <row r="550">
      <c r="F550" s="3"/>
      <c r="G550" s="7"/>
    </row>
    <row r="551">
      <c r="F551" s="3"/>
      <c r="G551" s="7"/>
    </row>
    <row r="552">
      <c r="F552" s="3"/>
      <c r="G552" s="7"/>
    </row>
    <row r="553">
      <c r="F553" s="3"/>
      <c r="G553" s="7"/>
    </row>
    <row r="554">
      <c r="F554" s="3"/>
      <c r="G554" s="7"/>
    </row>
    <row r="555">
      <c r="F555" s="3"/>
      <c r="G555" s="7"/>
    </row>
    <row r="556">
      <c r="F556" s="3"/>
      <c r="G556" s="7"/>
    </row>
    <row r="557">
      <c r="F557" s="3"/>
      <c r="G557" s="7"/>
    </row>
    <row r="558">
      <c r="F558" s="3"/>
      <c r="G558" s="7"/>
    </row>
    <row r="559">
      <c r="F559" s="3"/>
      <c r="G559" s="7"/>
    </row>
    <row r="560">
      <c r="F560" s="3"/>
      <c r="G560" s="7"/>
    </row>
    <row r="561">
      <c r="F561" s="3"/>
      <c r="G561" s="7"/>
    </row>
    <row r="562">
      <c r="F562" s="3"/>
      <c r="G562" s="7"/>
    </row>
    <row r="563">
      <c r="F563" s="3"/>
      <c r="G563" s="7"/>
    </row>
    <row r="564">
      <c r="F564" s="3"/>
      <c r="G564" s="7"/>
    </row>
    <row r="565">
      <c r="F565" s="3"/>
      <c r="G565" s="7"/>
    </row>
    <row r="566">
      <c r="F566" s="3"/>
      <c r="G566" s="7"/>
    </row>
    <row r="567">
      <c r="F567" s="3"/>
      <c r="G567" s="7"/>
    </row>
    <row r="568">
      <c r="F568" s="3"/>
      <c r="G568" s="7"/>
    </row>
    <row r="569">
      <c r="F569" s="3"/>
      <c r="G569" s="7"/>
    </row>
    <row r="570">
      <c r="F570" s="3"/>
      <c r="G570" s="7"/>
    </row>
    <row r="571">
      <c r="F571" s="3"/>
      <c r="G571" s="7"/>
    </row>
    <row r="572">
      <c r="F572" s="3"/>
      <c r="G572" s="7"/>
    </row>
    <row r="573">
      <c r="F573" s="3"/>
      <c r="G573" s="7"/>
    </row>
    <row r="574">
      <c r="F574" s="3"/>
      <c r="G574" s="7"/>
    </row>
    <row r="575">
      <c r="F575" s="3"/>
      <c r="G575" s="7"/>
    </row>
    <row r="576">
      <c r="F576" s="3"/>
      <c r="G576" s="7"/>
    </row>
    <row r="577">
      <c r="F577" s="3"/>
      <c r="G577" s="7"/>
    </row>
    <row r="578">
      <c r="F578" s="3"/>
      <c r="G578" s="7"/>
    </row>
    <row r="579">
      <c r="F579" s="3"/>
      <c r="G579" s="7"/>
    </row>
    <row r="580">
      <c r="F580" s="3"/>
      <c r="G580" s="7"/>
    </row>
    <row r="581">
      <c r="F581" s="3"/>
      <c r="G581" s="7"/>
    </row>
    <row r="582">
      <c r="F582" s="3"/>
      <c r="G582" s="7"/>
    </row>
    <row r="583">
      <c r="F583" s="3"/>
      <c r="G583" s="7"/>
    </row>
    <row r="584">
      <c r="F584" s="3"/>
      <c r="G584" s="7"/>
    </row>
    <row r="585">
      <c r="F585" s="3"/>
      <c r="G585" s="7"/>
    </row>
    <row r="586">
      <c r="F586" s="3"/>
      <c r="G586" s="7"/>
    </row>
    <row r="587">
      <c r="F587" s="3"/>
      <c r="G587" s="7"/>
    </row>
    <row r="588">
      <c r="F588" s="3"/>
      <c r="G588" s="7"/>
    </row>
    <row r="589">
      <c r="F589" s="3"/>
      <c r="G589" s="7"/>
    </row>
    <row r="590">
      <c r="F590" s="3"/>
      <c r="G590" s="7"/>
    </row>
    <row r="591">
      <c r="F591" s="3"/>
      <c r="G591" s="7"/>
    </row>
    <row r="592">
      <c r="F592" s="3"/>
      <c r="G592" s="7"/>
    </row>
    <row r="593">
      <c r="F593" s="3"/>
      <c r="G593" s="7"/>
    </row>
    <row r="594">
      <c r="F594" s="3"/>
      <c r="G594" s="7"/>
    </row>
    <row r="595">
      <c r="F595" s="3"/>
      <c r="G595" s="7"/>
    </row>
    <row r="596">
      <c r="F596" s="3"/>
      <c r="G596" s="7"/>
    </row>
    <row r="597">
      <c r="F597" s="3"/>
      <c r="G597" s="7"/>
    </row>
    <row r="598">
      <c r="F598" s="3"/>
      <c r="G598" s="7"/>
    </row>
    <row r="599">
      <c r="F599" s="3"/>
      <c r="G599" s="7"/>
    </row>
    <row r="600">
      <c r="F600" s="3"/>
      <c r="G600" s="7"/>
    </row>
    <row r="601">
      <c r="F601" s="3"/>
      <c r="G601" s="7"/>
    </row>
    <row r="602">
      <c r="F602" s="3"/>
      <c r="G602" s="7"/>
    </row>
    <row r="603">
      <c r="F603" s="3"/>
      <c r="G603" s="7"/>
    </row>
    <row r="604">
      <c r="F604" s="3"/>
      <c r="G604" s="7"/>
    </row>
    <row r="605">
      <c r="F605" s="3"/>
      <c r="G605" s="7"/>
    </row>
    <row r="606">
      <c r="F606" s="3"/>
      <c r="G606" s="7"/>
    </row>
    <row r="607">
      <c r="F607" s="3"/>
      <c r="G607" s="7"/>
    </row>
    <row r="608">
      <c r="F608" s="3"/>
      <c r="G608" s="7"/>
    </row>
    <row r="609">
      <c r="F609" s="3"/>
      <c r="G609" s="7"/>
    </row>
    <row r="610">
      <c r="F610" s="3"/>
      <c r="G610" s="7"/>
    </row>
    <row r="611">
      <c r="F611" s="3"/>
      <c r="G611" s="7"/>
    </row>
    <row r="612">
      <c r="F612" s="3"/>
      <c r="G612" s="7"/>
    </row>
    <row r="613">
      <c r="F613" s="3"/>
      <c r="G613" s="7"/>
    </row>
    <row r="614">
      <c r="F614" s="3"/>
      <c r="G614" s="7"/>
    </row>
    <row r="615">
      <c r="F615" s="3"/>
      <c r="G615" s="7"/>
    </row>
    <row r="616">
      <c r="F616" s="3"/>
      <c r="G616" s="7"/>
    </row>
    <row r="617">
      <c r="F617" s="3"/>
      <c r="G617" s="7"/>
    </row>
    <row r="618">
      <c r="F618" s="3"/>
      <c r="G618" s="7"/>
    </row>
    <row r="619">
      <c r="F619" s="3"/>
      <c r="G619" s="7"/>
    </row>
    <row r="620">
      <c r="F620" s="3"/>
      <c r="G620" s="7"/>
    </row>
    <row r="621">
      <c r="F621" s="3"/>
      <c r="G621" s="7"/>
    </row>
    <row r="622">
      <c r="F622" s="3"/>
      <c r="G622" s="7"/>
    </row>
    <row r="623">
      <c r="F623" s="3"/>
      <c r="G623" s="7"/>
    </row>
    <row r="624">
      <c r="F624" s="3"/>
      <c r="G624" s="7"/>
    </row>
    <row r="625">
      <c r="F625" s="3"/>
      <c r="G625" s="7"/>
    </row>
    <row r="626">
      <c r="F626" s="3"/>
      <c r="G626" s="7"/>
    </row>
    <row r="627">
      <c r="F627" s="3"/>
      <c r="G627" s="7"/>
    </row>
    <row r="628">
      <c r="F628" s="3"/>
      <c r="G628" s="7"/>
    </row>
    <row r="629">
      <c r="F629" s="3"/>
      <c r="G629" s="7"/>
    </row>
    <row r="630">
      <c r="F630" s="3"/>
      <c r="G630" s="7"/>
    </row>
    <row r="631">
      <c r="F631" s="3"/>
      <c r="G631" s="7"/>
    </row>
    <row r="632">
      <c r="F632" s="3"/>
      <c r="G632" s="7"/>
    </row>
    <row r="633">
      <c r="F633" s="3"/>
      <c r="G633" s="7"/>
    </row>
    <row r="634">
      <c r="F634" s="3"/>
      <c r="G634" s="7"/>
    </row>
    <row r="635">
      <c r="F635" s="3"/>
      <c r="G635" s="7"/>
    </row>
    <row r="636">
      <c r="F636" s="3"/>
      <c r="G636" s="7"/>
    </row>
    <row r="637">
      <c r="F637" s="3"/>
      <c r="G637" s="7"/>
    </row>
    <row r="638">
      <c r="F638" s="3"/>
      <c r="G638" s="7"/>
    </row>
    <row r="639">
      <c r="F639" s="3"/>
      <c r="G639" s="7"/>
    </row>
    <row r="640">
      <c r="F640" s="3"/>
      <c r="G640" s="7"/>
    </row>
    <row r="641">
      <c r="F641" s="3"/>
      <c r="G641" s="7"/>
    </row>
    <row r="642">
      <c r="F642" s="3"/>
      <c r="G642" s="7"/>
    </row>
    <row r="643">
      <c r="F643" s="3"/>
      <c r="G643" s="7"/>
    </row>
    <row r="644">
      <c r="F644" s="3"/>
      <c r="G644" s="7"/>
    </row>
    <row r="645">
      <c r="F645" s="3"/>
      <c r="G645" s="7"/>
    </row>
    <row r="646">
      <c r="F646" s="3"/>
      <c r="G646" s="7"/>
    </row>
    <row r="647">
      <c r="F647" s="3"/>
      <c r="G647" s="7"/>
    </row>
    <row r="648">
      <c r="F648" s="3"/>
      <c r="G648" s="7"/>
    </row>
    <row r="649">
      <c r="F649" s="3"/>
      <c r="G649" s="7"/>
    </row>
    <row r="650">
      <c r="F650" s="3"/>
      <c r="G650" s="7"/>
    </row>
    <row r="651">
      <c r="F651" s="3"/>
      <c r="G651" s="7"/>
    </row>
    <row r="652">
      <c r="F652" s="3"/>
      <c r="G652" s="7"/>
    </row>
    <row r="653">
      <c r="F653" s="3"/>
      <c r="G653" s="7"/>
    </row>
    <row r="654">
      <c r="F654" s="3"/>
      <c r="G654" s="7"/>
    </row>
    <row r="655">
      <c r="F655" s="3"/>
      <c r="G655" s="7"/>
    </row>
    <row r="656">
      <c r="F656" s="3"/>
      <c r="G656" s="7"/>
    </row>
    <row r="657">
      <c r="F657" s="3"/>
      <c r="G657" s="7"/>
    </row>
    <row r="658">
      <c r="F658" s="3"/>
      <c r="G658" s="7"/>
    </row>
    <row r="659">
      <c r="F659" s="3"/>
      <c r="G659" s="7"/>
    </row>
    <row r="660">
      <c r="F660" s="3"/>
      <c r="G660" s="7"/>
    </row>
    <row r="661">
      <c r="F661" s="3"/>
      <c r="G661" s="7"/>
    </row>
    <row r="662">
      <c r="F662" s="3"/>
      <c r="G662" s="7"/>
    </row>
    <row r="663">
      <c r="F663" s="3"/>
      <c r="G663" s="7"/>
    </row>
    <row r="664">
      <c r="F664" s="3"/>
      <c r="G664" s="7"/>
    </row>
    <row r="665">
      <c r="F665" s="3"/>
      <c r="G665" s="7"/>
    </row>
    <row r="666">
      <c r="F666" s="3"/>
      <c r="G666" s="7"/>
    </row>
    <row r="667">
      <c r="F667" s="3"/>
      <c r="G667" s="7"/>
    </row>
    <row r="668">
      <c r="F668" s="3"/>
      <c r="G668" s="7"/>
    </row>
    <row r="669">
      <c r="F669" s="3"/>
      <c r="G669" s="7"/>
    </row>
    <row r="670">
      <c r="F670" s="3"/>
      <c r="G670" s="7"/>
    </row>
    <row r="671">
      <c r="F671" s="3"/>
      <c r="G671" s="7"/>
    </row>
    <row r="672">
      <c r="F672" s="3"/>
      <c r="G672" s="7"/>
    </row>
    <row r="673">
      <c r="F673" s="3"/>
      <c r="G673" s="7"/>
    </row>
    <row r="674">
      <c r="F674" s="3"/>
      <c r="G674" s="7"/>
    </row>
    <row r="675">
      <c r="F675" s="3"/>
      <c r="G675" s="7"/>
    </row>
    <row r="676">
      <c r="F676" s="3"/>
      <c r="G676" s="7"/>
    </row>
    <row r="677">
      <c r="F677" s="3"/>
      <c r="G677" s="7"/>
    </row>
    <row r="678">
      <c r="F678" s="3"/>
      <c r="G678" s="7"/>
    </row>
    <row r="679">
      <c r="F679" s="3"/>
      <c r="G679" s="7"/>
    </row>
    <row r="680">
      <c r="F680" s="3"/>
      <c r="G680" s="7"/>
    </row>
    <row r="681">
      <c r="F681" s="3"/>
      <c r="G681" s="7"/>
    </row>
    <row r="682">
      <c r="F682" s="3"/>
      <c r="G682" s="7"/>
    </row>
    <row r="683">
      <c r="F683" s="3"/>
      <c r="G683" s="7"/>
    </row>
    <row r="684">
      <c r="F684" s="3"/>
      <c r="G684" s="7"/>
    </row>
    <row r="685">
      <c r="F685" s="3"/>
      <c r="G685" s="7"/>
    </row>
    <row r="686">
      <c r="F686" s="3"/>
      <c r="G686" s="7"/>
    </row>
    <row r="687">
      <c r="F687" s="3"/>
      <c r="G687" s="7"/>
    </row>
    <row r="688">
      <c r="F688" s="3"/>
      <c r="G688" s="7"/>
    </row>
    <row r="689">
      <c r="F689" s="3"/>
      <c r="G689" s="7"/>
    </row>
    <row r="690">
      <c r="F690" s="3"/>
      <c r="G690" s="7"/>
    </row>
    <row r="691">
      <c r="F691" s="3"/>
      <c r="G691" s="7"/>
    </row>
    <row r="692">
      <c r="F692" s="3"/>
      <c r="G692" s="7"/>
    </row>
    <row r="693">
      <c r="F693" s="3"/>
      <c r="G693" s="7"/>
    </row>
    <row r="694">
      <c r="F694" s="3"/>
      <c r="G694" s="7"/>
    </row>
    <row r="695">
      <c r="F695" s="3"/>
      <c r="G695" s="7"/>
    </row>
    <row r="696">
      <c r="F696" s="3"/>
      <c r="G696" s="7"/>
    </row>
    <row r="697">
      <c r="F697" s="3"/>
      <c r="G697" s="7"/>
    </row>
    <row r="698">
      <c r="F698" s="3"/>
      <c r="G698" s="7"/>
    </row>
    <row r="699">
      <c r="F699" s="3"/>
      <c r="G699" s="7"/>
    </row>
    <row r="700">
      <c r="F700" s="3"/>
      <c r="G700" s="7"/>
    </row>
    <row r="701">
      <c r="F701" s="3"/>
      <c r="G701" s="7"/>
    </row>
    <row r="702">
      <c r="F702" s="3"/>
      <c r="G702" s="7"/>
    </row>
    <row r="703">
      <c r="F703" s="3"/>
      <c r="G703" s="7"/>
    </row>
    <row r="704">
      <c r="F704" s="3"/>
      <c r="G704" s="7"/>
    </row>
    <row r="705">
      <c r="F705" s="3"/>
      <c r="G705" s="7"/>
    </row>
    <row r="706">
      <c r="F706" s="3"/>
      <c r="G706" s="7"/>
    </row>
    <row r="707">
      <c r="F707" s="3"/>
      <c r="G707" s="7"/>
    </row>
    <row r="708">
      <c r="F708" s="3"/>
      <c r="G708" s="7"/>
    </row>
    <row r="709">
      <c r="F709" s="3"/>
      <c r="G709" s="7"/>
    </row>
    <row r="710">
      <c r="F710" s="3"/>
      <c r="G710" s="7"/>
    </row>
    <row r="711">
      <c r="F711" s="3"/>
      <c r="G711" s="7"/>
    </row>
    <row r="712">
      <c r="F712" s="3"/>
      <c r="G712" s="7"/>
    </row>
    <row r="713">
      <c r="F713" s="3"/>
      <c r="G713" s="7"/>
    </row>
    <row r="714">
      <c r="F714" s="3"/>
      <c r="G714" s="7"/>
    </row>
    <row r="715">
      <c r="F715" s="3"/>
      <c r="G715" s="7"/>
    </row>
    <row r="716">
      <c r="F716" s="3"/>
      <c r="G716" s="7"/>
    </row>
    <row r="717">
      <c r="F717" s="3"/>
      <c r="G717" s="7"/>
    </row>
    <row r="718">
      <c r="F718" s="3"/>
      <c r="G718" s="7"/>
    </row>
    <row r="719">
      <c r="F719" s="3"/>
      <c r="G719" s="7"/>
    </row>
    <row r="720">
      <c r="F720" s="3"/>
      <c r="G720" s="7"/>
    </row>
    <row r="721">
      <c r="F721" s="3"/>
      <c r="G721" s="7"/>
    </row>
    <row r="722">
      <c r="F722" s="3"/>
      <c r="G722" s="7"/>
    </row>
    <row r="723">
      <c r="F723" s="3"/>
      <c r="G723" s="7"/>
    </row>
    <row r="724">
      <c r="F724" s="3"/>
      <c r="G724" s="7"/>
    </row>
    <row r="725">
      <c r="F725" s="3"/>
      <c r="G725" s="7"/>
    </row>
    <row r="726">
      <c r="F726" s="3"/>
      <c r="G726" s="7"/>
    </row>
    <row r="727">
      <c r="F727" s="3"/>
      <c r="G727" s="7"/>
    </row>
    <row r="728">
      <c r="F728" s="3"/>
      <c r="G728" s="7"/>
    </row>
    <row r="729">
      <c r="F729" s="3"/>
      <c r="G729" s="7"/>
    </row>
    <row r="730">
      <c r="F730" s="3"/>
      <c r="G730" s="7"/>
    </row>
    <row r="731">
      <c r="F731" s="3"/>
      <c r="G731" s="7"/>
    </row>
    <row r="732">
      <c r="F732" s="3"/>
      <c r="G732" s="7"/>
    </row>
    <row r="733">
      <c r="F733" s="3"/>
      <c r="G733" s="7"/>
    </row>
    <row r="734">
      <c r="F734" s="3"/>
      <c r="G734" s="7"/>
    </row>
    <row r="735">
      <c r="F735" s="3"/>
      <c r="G735" s="7"/>
    </row>
    <row r="736">
      <c r="F736" s="3"/>
      <c r="G736" s="7"/>
    </row>
    <row r="737">
      <c r="F737" s="3"/>
      <c r="G737" s="7"/>
    </row>
    <row r="738">
      <c r="F738" s="3"/>
      <c r="G738" s="7"/>
    </row>
    <row r="739">
      <c r="F739" s="3"/>
      <c r="G739" s="7"/>
    </row>
    <row r="740">
      <c r="F740" s="3"/>
      <c r="G740" s="7"/>
    </row>
    <row r="741">
      <c r="F741" s="3"/>
      <c r="G741" s="7"/>
    </row>
    <row r="742">
      <c r="F742" s="3"/>
      <c r="G742" s="7"/>
    </row>
    <row r="743">
      <c r="F743" s="3"/>
      <c r="G743" s="7"/>
    </row>
    <row r="744">
      <c r="F744" s="3"/>
      <c r="G744" s="7"/>
    </row>
    <row r="745">
      <c r="F745" s="3"/>
      <c r="G745" s="7"/>
    </row>
    <row r="746">
      <c r="F746" s="3"/>
      <c r="G746" s="7"/>
    </row>
    <row r="747">
      <c r="F747" s="3"/>
      <c r="G747" s="7"/>
    </row>
    <row r="748">
      <c r="F748" s="3"/>
      <c r="G748" s="7"/>
    </row>
    <row r="749">
      <c r="F749" s="3"/>
      <c r="G749" s="7"/>
    </row>
    <row r="750">
      <c r="F750" s="3"/>
      <c r="G750" s="7"/>
    </row>
    <row r="751">
      <c r="F751" s="3"/>
      <c r="G751" s="7"/>
    </row>
    <row r="752">
      <c r="F752" s="3"/>
      <c r="G752" s="7"/>
    </row>
    <row r="753">
      <c r="F753" s="3"/>
      <c r="G753" s="7"/>
    </row>
    <row r="754">
      <c r="F754" s="3"/>
      <c r="G754" s="7"/>
    </row>
    <row r="755">
      <c r="F755" s="3"/>
      <c r="G755" s="7"/>
    </row>
    <row r="756">
      <c r="F756" s="3"/>
      <c r="G756" s="7"/>
    </row>
    <row r="757">
      <c r="F757" s="3"/>
      <c r="G757" s="7"/>
    </row>
    <row r="758">
      <c r="F758" s="3"/>
      <c r="G758" s="7"/>
    </row>
    <row r="759">
      <c r="F759" s="3"/>
      <c r="G759" s="7"/>
    </row>
    <row r="760">
      <c r="F760" s="3"/>
      <c r="G760" s="7"/>
    </row>
    <row r="761">
      <c r="F761" s="3"/>
      <c r="G761" s="7"/>
    </row>
    <row r="762">
      <c r="F762" s="3"/>
      <c r="G762" s="7"/>
    </row>
    <row r="763">
      <c r="F763" s="3"/>
      <c r="G763" s="7"/>
    </row>
    <row r="764">
      <c r="F764" s="3"/>
      <c r="G764" s="7"/>
    </row>
    <row r="765">
      <c r="F765" s="3"/>
      <c r="G765" s="7"/>
    </row>
    <row r="766">
      <c r="F766" s="3"/>
      <c r="G766" s="7"/>
    </row>
    <row r="767">
      <c r="F767" s="3"/>
      <c r="G767" s="7"/>
    </row>
    <row r="768">
      <c r="F768" s="3"/>
      <c r="G768" s="7"/>
    </row>
    <row r="769">
      <c r="F769" s="3"/>
      <c r="G769" s="7"/>
    </row>
    <row r="770">
      <c r="F770" s="3"/>
      <c r="G770" s="7"/>
    </row>
    <row r="771">
      <c r="F771" s="3"/>
      <c r="G771" s="7"/>
    </row>
    <row r="772">
      <c r="F772" s="3"/>
      <c r="G772" s="7"/>
    </row>
    <row r="773">
      <c r="F773" s="3"/>
      <c r="G773" s="7"/>
    </row>
    <row r="774">
      <c r="F774" s="3"/>
      <c r="G774" s="7"/>
    </row>
    <row r="775">
      <c r="F775" s="3"/>
      <c r="G775" s="7"/>
    </row>
    <row r="776">
      <c r="F776" s="3"/>
      <c r="G776" s="7"/>
    </row>
    <row r="777">
      <c r="F777" s="3"/>
      <c r="G777" s="7"/>
    </row>
    <row r="778">
      <c r="F778" s="3"/>
      <c r="G778" s="7"/>
    </row>
    <row r="779">
      <c r="F779" s="3"/>
      <c r="G779" s="7"/>
    </row>
    <row r="780">
      <c r="F780" s="3"/>
      <c r="G780" s="7"/>
    </row>
    <row r="781">
      <c r="F781" s="3"/>
      <c r="G781" s="7"/>
    </row>
    <row r="782">
      <c r="F782" s="3"/>
      <c r="G782" s="7"/>
    </row>
    <row r="783">
      <c r="F783" s="3"/>
      <c r="G783" s="7"/>
    </row>
    <row r="784">
      <c r="F784" s="3"/>
      <c r="G784" s="7"/>
    </row>
    <row r="785">
      <c r="F785" s="3"/>
      <c r="G785" s="7"/>
    </row>
    <row r="786">
      <c r="F786" s="3"/>
      <c r="G786" s="7"/>
    </row>
    <row r="787">
      <c r="F787" s="3"/>
      <c r="G787" s="7"/>
    </row>
    <row r="788">
      <c r="F788" s="3"/>
      <c r="G788" s="7"/>
    </row>
    <row r="789">
      <c r="F789" s="3"/>
      <c r="G789" s="7"/>
    </row>
    <row r="790">
      <c r="F790" s="3"/>
      <c r="G790" s="7"/>
    </row>
    <row r="791">
      <c r="F791" s="3"/>
      <c r="G791" s="7"/>
    </row>
    <row r="792">
      <c r="F792" s="3"/>
      <c r="G792" s="7"/>
    </row>
    <row r="793">
      <c r="F793" s="3"/>
      <c r="G793" s="7"/>
    </row>
    <row r="794">
      <c r="F794" s="3"/>
      <c r="G794" s="7"/>
    </row>
    <row r="795">
      <c r="F795" s="3"/>
      <c r="G795" s="7"/>
    </row>
    <row r="796">
      <c r="F796" s="3"/>
      <c r="G796" s="7"/>
    </row>
    <row r="797">
      <c r="F797" s="3"/>
      <c r="G797" s="7"/>
    </row>
    <row r="798">
      <c r="F798" s="3"/>
      <c r="G798" s="7"/>
    </row>
    <row r="799">
      <c r="F799" s="3"/>
      <c r="G799" s="7"/>
    </row>
    <row r="800">
      <c r="F800" s="3"/>
      <c r="G800" s="7"/>
    </row>
    <row r="801">
      <c r="F801" s="3"/>
      <c r="G801" s="7"/>
    </row>
    <row r="802">
      <c r="F802" s="3"/>
      <c r="G802" s="7"/>
    </row>
    <row r="803">
      <c r="F803" s="3"/>
      <c r="G803" s="7"/>
    </row>
    <row r="804">
      <c r="F804" s="3"/>
      <c r="G804" s="7"/>
    </row>
    <row r="805">
      <c r="F805" s="3"/>
      <c r="G805" s="7"/>
    </row>
    <row r="806">
      <c r="F806" s="3"/>
      <c r="G806" s="7"/>
    </row>
    <row r="807">
      <c r="F807" s="3"/>
      <c r="G807" s="7"/>
    </row>
    <row r="808">
      <c r="F808" s="3"/>
      <c r="G808" s="7"/>
    </row>
    <row r="809">
      <c r="F809" s="3"/>
      <c r="G809" s="7"/>
    </row>
    <row r="810">
      <c r="F810" s="3"/>
      <c r="G810" s="7"/>
    </row>
    <row r="811">
      <c r="F811" s="3"/>
      <c r="G811" s="7"/>
    </row>
    <row r="812">
      <c r="F812" s="3"/>
      <c r="G812" s="7"/>
    </row>
    <row r="813">
      <c r="F813" s="3"/>
      <c r="G813" s="7"/>
    </row>
    <row r="814">
      <c r="F814" s="3"/>
      <c r="G814" s="7"/>
    </row>
    <row r="815">
      <c r="F815" s="3"/>
      <c r="G815" s="7"/>
    </row>
    <row r="816">
      <c r="F816" s="3"/>
      <c r="G816" s="7"/>
    </row>
    <row r="817">
      <c r="F817" s="3"/>
      <c r="G817" s="7"/>
    </row>
    <row r="818">
      <c r="F818" s="3"/>
      <c r="G818" s="7"/>
    </row>
    <row r="819">
      <c r="F819" s="3"/>
      <c r="G819" s="7"/>
    </row>
    <row r="820">
      <c r="F820" s="3"/>
      <c r="G820" s="7"/>
    </row>
    <row r="821">
      <c r="F821" s="3"/>
      <c r="G821" s="7"/>
    </row>
    <row r="822">
      <c r="F822" s="3"/>
      <c r="G822" s="7"/>
    </row>
    <row r="823">
      <c r="F823" s="3"/>
      <c r="G823" s="7"/>
    </row>
    <row r="824">
      <c r="F824" s="3"/>
      <c r="G824" s="7"/>
    </row>
    <row r="825">
      <c r="F825" s="3"/>
      <c r="G825" s="7"/>
    </row>
    <row r="826">
      <c r="F826" s="3"/>
      <c r="G826" s="7"/>
    </row>
    <row r="827">
      <c r="F827" s="3"/>
      <c r="G827" s="7"/>
    </row>
    <row r="828">
      <c r="F828" s="3"/>
      <c r="G828" s="7"/>
    </row>
    <row r="829">
      <c r="F829" s="3"/>
      <c r="G829" s="7"/>
    </row>
    <row r="830">
      <c r="F830" s="3"/>
      <c r="G830" s="7"/>
    </row>
    <row r="831">
      <c r="F831" s="3"/>
      <c r="G831" s="7"/>
    </row>
    <row r="832">
      <c r="F832" s="3"/>
      <c r="G832" s="7"/>
    </row>
    <row r="833">
      <c r="F833" s="3"/>
      <c r="G833" s="7"/>
    </row>
    <row r="834">
      <c r="F834" s="3"/>
      <c r="G834" s="7"/>
    </row>
    <row r="835">
      <c r="F835" s="3"/>
      <c r="G835" s="7"/>
    </row>
    <row r="836">
      <c r="F836" s="3"/>
      <c r="G836" s="7"/>
    </row>
    <row r="837">
      <c r="F837" s="3"/>
      <c r="G837" s="7"/>
    </row>
    <row r="838">
      <c r="F838" s="3"/>
      <c r="G838" s="7"/>
    </row>
    <row r="839">
      <c r="F839" s="3"/>
      <c r="G839" s="7"/>
    </row>
    <row r="840">
      <c r="F840" s="3"/>
      <c r="G840" s="7"/>
    </row>
    <row r="841">
      <c r="F841" s="3"/>
      <c r="G841" s="7"/>
    </row>
    <row r="842">
      <c r="F842" s="3"/>
      <c r="G842" s="7"/>
    </row>
    <row r="843">
      <c r="F843" s="3"/>
      <c r="G843" s="7"/>
    </row>
    <row r="844">
      <c r="F844" s="3"/>
      <c r="G844" s="7"/>
    </row>
    <row r="845">
      <c r="F845" s="3"/>
      <c r="G845" s="7"/>
    </row>
    <row r="846">
      <c r="F846" s="3"/>
      <c r="G846" s="7"/>
    </row>
    <row r="847">
      <c r="F847" s="3"/>
      <c r="G847" s="7"/>
    </row>
    <row r="848">
      <c r="F848" s="3"/>
      <c r="G848" s="7"/>
    </row>
    <row r="849">
      <c r="F849" s="3"/>
      <c r="G849" s="7"/>
    </row>
    <row r="850">
      <c r="F850" s="3"/>
      <c r="G850" s="7"/>
    </row>
    <row r="851">
      <c r="F851" s="3"/>
      <c r="G851" s="7"/>
    </row>
    <row r="852">
      <c r="F852" s="3"/>
      <c r="G852" s="7"/>
    </row>
    <row r="853">
      <c r="F853" s="3"/>
      <c r="G853" s="7"/>
    </row>
    <row r="854">
      <c r="F854" s="3"/>
      <c r="G854" s="7"/>
    </row>
    <row r="855">
      <c r="F855" s="3"/>
      <c r="G855" s="7"/>
    </row>
    <row r="856">
      <c r="F856" s="3"/>
      <c r="G856" s="7"/>
    </row>
    <row r="857">
      <c r="F857" s="3"/>
      <c r="G857" s="7"/>
    </row>
    <row r="858">
      <c r="F858" s="3"/>
      <c r="G858" s="7"/>
    </row>
    <row r="859">
      <c r="F859" s="3"/>
      <c r="G859" s="7"/>
    </row>
    <row r="860">
      <c r="F860" s="3"/>
      <c r="G860" s="7"/>
    </row>
    <row r="861">
      <c r="F861" s="3"/>
      <c r="G861" s="7"/>
    </row>
    <row r="862">
      <c r="F862" s="3"/>
      <c r="G862" s="7"/>
    </row>
    <row r="863">
      <c r="F863" s="3"/>
      <c r="G863" s="7"/>
    </row>
    <row r="864">
      <c r="F864" s="3"/>
      <c r="G864" s="7"/>
    </row>
    <row r="865">
      <c r="F865" s="3"/>
      <c r="G865" s="7"/>
    </row>
    <row r="866">
      <c r="F866" s="3"/>
      <c r="G866" s="7"/>
    </row>
    <row r="867">
      <c r="F867" s="3"/>
      <c r="G867" s="7"/>
    </row>
    <row r="868">
      <c r="F868" s="3"/>
      <c r="G868" s="7"/>
    </row>
    <row r="869">
      <c r="F869" s="3"/>
      <c r="G869" s="7"/>
    </row>
    <row r="870">
      <c r="F870" s="3"/>
      <c r="G870" s="7"/>
    </row>
    <row r="871">
      <c r="F871" s="3"/>
      <c r="G871" s="7"/>
    </row>
    <row r="872">
      <c r="F872" s="3"/>
      <c r="G872" s="7"/>
    </row>
    <row r="873">
      <c r="F873" s="3"/>
      <c r="G873" s="7"/>
    </row>
    <row r="874">
      <c r="F874" s="3"/>
      <c r="G874" s="7"/>
    </row>
    <row r="875">
      <c r="F875" s="3"/>
      <c r="G875" s="7"/>
    </row>
    <row r="876">
      <c r="F876" s="3"/>
      <c r="G876" s="7"/>
    </row>
    <row r="877">
      <c r="F877" s="3"/>
      <c r="G877" s="7"/>
    </row>
    <row r="878">
      <c r="F878" s="3"/>
      <c r="G878" s="7"/>
    </row>
    <row r="879">
      <c r="F879" s="3"/>
      <c r="G879" s="7"/>
    </row>
    <row r="880">
      <c r="F880" s="3"/>
      <c r="G880" s="7"/>
    </row>
    <row r="881">
      <c r="F881" s="3"/>
      <c r="G881" s="7"/>
    </row>
    <row r="882">
      <c r="F882" s="3"/>
      <c r="G882" s="7"/>
    </row>
    <row r="883">
      <c r="F883" s="3"/>
      <c r="G883" s="7"/>
    </row>
    <row r="884">
      <c r="F884" s="3"/>
      <c r="G884" s="7"/>
    </row>
    <row r="885">
      <c r="F885" s="3"/>
      <c r="G885" s="7"/>
    </row>
    <row r="886">
      <c r="F886" s="3"/>
      <c r="G886" s="7"/>
    </row>
    <row r="887">
      <c r="F887" s="3"/>
      <c r="G887" s="7"/>
    </row>
    <row r="888">
      <c r="F888" s="3"/>
      <c r="G888" s="7"/>
    </row>
    <row r="889">
      <c r="F889" s="3"/>
      <c r="G889" s="7"/>
    </row>
    <row r="890">
      <c r="F890" s="3"/>
      <c r="G890" s="7"/>
    </row>
    <row r="891">
      <c r="F891" s="3"/>
      <c r="G891" s="7"/>
    </row>
    <row r="892">
      <c r="F892" s="3"/>
      <c r="G892" s="7"/>
    </row>
    <row r="893">
      <c r="F893" s="3"/>
      <c r="G893" s="7"/>
    </row>
    <row r="894">
      <c r="F894" s="3"/>
      <c r="G894" s="7"/>
    </row>
    <row r="895">
      <c r="F895" s="3"/>
      <c r="G895" s="7"/>
    </row>
    <row r="896">
      <c r="F896" s="3"/>
      <c r="G896" s="7"/>
    </row>
    <row r="897">
      <c r="F897" s="3"/>
      <c r="G897" s="7"/>
    </row>
    <row r="898">
      <c r="F898" s="3"/>
      <c r="G898" s="7"/>
    </row>
    <row r="899">
      <c r="F899" s="3"/>
      <c r="G899" s="7"/>
    </row>
    <row r="900">
      <c r="F900" s="3"/>
      <c r="G900" s="7"/>
    </row>
    <row r="901">
      <c r="F901" s="3"/>
      <c r="G901" s="7"/>
    </row>
    <row r="902">
      <c r="F902" s="3"/>
      <c r="G902" s="7"/>
    </row>
    <row r="903">
      <c r="F903" s="3"/>
      <c r="G903" s="7"/>
    </row>
    <row r="904">
      <c r="F904" s="3"/>
      <c r="G904" s="7"/>
    </row>
    <row r="905">
      <c r="F905" s="3"/>
      <c r="G905" s="7"/>
    </row>
    <row r="906">
      <c r="F906" s="3"/>
      <c r="G906" s="7"/>
    </row>
    <row r="907">
      <c r="F907" s="3"/>
      <c r="G907" s="7"/>
    </row>
    <row r="908">
      <c r="F908" s="3"/>
      <c r="G908" s="7"/>
    </row>
    <row r="909">
      <c r="F909" s="3"/>
      <c r="G909" s="7"/>
    </row>
    <row r="910">
      <c r="F910" s="3"/>
      <c r="G910" s="7"/>
    </row>
    <row r="911">
      <c r="F911" s="3"/>
      <c r="G911" s="7"/>
    </row>
    <row r="912">
      <c r="F912" s="3"/>
      <c r="G912" s="7"/>
    </row>
    <row r="913">
      <c r="F913" s="3"/>
      <c r="G913" s="7"/>
    </row>
    <row r="914">
      <c r="F914" s="3"/>
      <c r="G914" s="7"/>
    </row>
    <row r="915">
      <c r="F915" s="3"/>
      <c r="G915" s="7"/>
    </row>
    <row r="916">
      <c r="F916" s="3"/>
      <c r="G916" s="7"/>
    </row>
    <row r="917">
      <c r="F917" s="3"/>
      <c r="G917" s="7"/>
    </row>
    <row r="918">
      <c r="F918" s="3"/>
      <c r="G918" s="7"/>
    </row>
    <row r="919">
      <c r="F919" s="3"/>
      <c r="G919" s="7"/>
    </row>
    <row r="920">
      <c r="F920" s="3"/>
      <c r="G920" s="7"/>
    </row>
    <row r="921">
      <c r="F921" s="3"/>
      <c r="G921" s="7"/>
    </row>
    <row r="922">
      <c r="F922" s="3"/>
      <c r="G922" s="7"/>
    </row>
    <row r="923">
      <c r="F923" s="3"/>
      <c r="G923" s="7"/>
    </row>
    <row r="924">
      <c r="F924" s="3"/>
      <c r="G924" s="7"/>
    </row>
    <row r="925">
      <c r="F925" s="3"/>
      <c r="G925" s="7"/>
    </row>
    <row r="926">
      <c r="F926" s="3"/>
      <c r="G926" s="7"/>
    </row>
    <row r="927">
      <c r="F927" s="3"/>
      <c r="G927" s="7"/>
    </row>
    <row r="928">
      <c r="F928" s="3"/>
      <c r="G928" s="7"/>
    </row>
    <row r="929">
      <c r="F929" s="3"/>
      <c r="G929" s="7"/>
    </row>
    <row r="930">
      <c r="F930" s="3"/>
      <c r="G930" s="7"/>
    </row>
    <row r="931">
      <c r="F931" s="3"/>
      <c r="G931" s="7"/>
    </row>
    <row r="932">
      <c r="F932" s="3"/>
      <c r="G932" s="7"/>
    </row>
    <row r="933">
      <c r="F933" s="3"/>
      <c r="G933" s="7"/>
    </row>
    <row r="934">
      <c r="F934" s="3"/>
      <c r="G934" s="7"/>
    </row>
    <row r="935">
      <c r="F935" s="3"/>
      <c r="G935" s="7"/>
    </row>
    <row r="936">
      <c r="F936" s="3"/>
      <c r="G936" s="7"/>
    </row>
    <row r="937">
      <c r="F937" s="3"/>
      <c r="G937" s="7"/>
    </row>
    <row r="938">
      <c r="F938" s="3"/>
      <c r="G938" s="7"/>
    </row>
    <row r="939">
      <c r="F939" s="3"/>
      <c r="G939" s="7"/>
    </row>
    <row r="940">
      <c r="F940" s="3"/>
      <c r="G940" s="7"/>
    </row>
    <row r="941">
      <c r="F941" s="3"/>
      <c r="G941" s="7"/>
    </row>
    <row r="942">
      <c r="F942" s="3"/>
      <c r="G942" s="7"/>
    </row>
    <row r="943">
      <c r="F943" s="3"/>
      <c r="G943" s="7"/>
    </row>
    <row r="944">
      <c r="F944" s="3"/>
      <c r="G944" s="7"/>
    </row>
    <row r="945">
      <c r="F945" s="3"/>
      <c r="G945" s="7"/>
    </row>
    <row r="946">
      <c r="F946" s="3"/>
      <c r="G946" s="7"/>
    </row>
    <row r="947">
      <c r="F947" s="3"/>
      <c r="G947" s="7"/>
    </row>
    <row r="948">
      <c r="F948" s="3"/>
      <c r="G948" s="7"/>
    </row>
    <row r="949">
      <c r="F949" s="3"/>
      <c r="G949" s="7"/>
    </row>
    <row r="950">
      <c r="F950" s="3"/>
      <c r="G950" s="7"/>
    </row>
    <row r="951">
      <c r="F951" s="3"/>
      <c r="G951" s="7"/>
    </row>
    <row r="952">
      <c r="F952" s="3"/>
      <c r="G952" s="7"/>
    </row>
    <row r="953">
      <c r="F953" s="3"/>
      <c r="G953" s="7"/>
    </row>
    <row r="954">
      <c r="F954" s="3"/>
      <c r="G954" s="7"/>
    </row>
    <row r="955">
      <c r="F955" s="3"/>
      <c r="G955" s="7"/>
    </row>
    <row r="956">
      <c r="F956" s="3"/>
      <c r="G956" s="7"/>
    </row>
    <row r="957">
      <c r="F957" s="3"/>
      <c r="G957" s="7"/>
    </row>
    <row r="958">
      <c r="F958" s="3"/>
      <c r="G958" s="7"/>
    </row>
    <row r="959">
      <c r="F959" s="3"/>
      <c r="G959" s="7"/>
    </row>
    <row r="960">
      <c r="F960" s="3"/>
      <c r="G960" s="7"/>
    </row>
    <row r="961">
      <c r="F961" s="3"/>
      <c r="G961" s="7"/>
    </row>
    <row r="962">
      <c r="F962" s="3"/>
      <c r="G962" s="7"/>
    </row>
    <row r="963">
      <c r="F963" s="3"/>
      <c r="G963" s="7"/>
    </row>
    <row r="964">
      <c r="F964" s="3"/>
      <c r="G964" s="7"/>
    </row>
    <row r="965">
      <c r="F965" s="3"/>
      <c r="G965" s="7"/>
    </row>
    <row r="966">
      <c r="F966" s="3"/>
      <c r="G966" s="7"/>
    </row>
    <row r="967">
      <c r="F967" s="3"/>
      <c r="G967" s="7"/>
    </row>
    <row r="968">
      <c r="F968" s="3"/>
      <c r="G968" s="7"/>
    </row>
    <row r="969">
      <c r="F969" s="3"/>
      <c r="G969" s="7"/>
    </row>
    <row r="970">
      <c r="F970" s="3"/>
      <c r="G970" s="7"/>
    </row>
    <row r="971">
      <c r="F971" s="3"/>
      <c r="G971" s="7"/>
    </row>
    <row r="972">
      <c r="F972" s="3"/>
      <c r="G972" s="7"/>
    </row>
    <row r="973">
      <c r="F973" s="3"/>
      <c r="G973" s="7"/>
    </row>
    <row r="974">
      <c r="F974" s="3"/>
      <c r="G974" s="7"/>
    </row>
    <row r="975">
      <c r="F975" s="3"/>
      <c r="G975" s="7"/>
    </row>
    <row r="976">
      <c r="F976" s="3"/>
      <c r="G976" s="7"/>
    </row>
    <row r="977">
      <c r="F977" s="3"/>
      <c r="G977" s="7"/>
    </row>
    <row r="978">
      <c r="F978" s="3"/>
      <c r="G978" s="7"/>
    </row>
    <row r="979">
      <c r="F979" s="3"/>
      <c r="G979" s="7"/>
    </row>
    <row r="980">
      <c r="F980" s="3"/>
      <c r="G980" s="7"/>
    </row>
    <row r="981">
      <c r="F981" s="3"/>
      <c r="G981" s="7"/>
    </row>
    <row r="982">
      <c r="F982" s="3"/>
      <c r="G982" s="7"/>
    </row>
    <row r="983">
      <c r="F983" s="3"/>
      <c r="G983" s="7"/>
    </row>
    <row r="984">
      <c r="F984" s="3"/>
      <c r="G984" s="7"/>
    </row>
    <row r="985">
      <c r="F985" s="3"/>
      <c r="G985" s="7"/>
    </row>
    <row r="986">
      <c r="F986" s="3"/>
      <c r="G986" s="7"/>
    </row>
    <row r="987">
      <c r="F987" s="3"/>
      <c r="G987" s="7"/>
    </row>
    <row r="988">
      <c r="F988" s="3"/>
      <c r="G988" s="7"/>
    </row>
    <row r="989">
      <c r="F989" s="3"/>
      <c r="G989" s="7"/>
    </row>
    <row r="990">
      <c r="F990" s="3"/>
      <c r="G990" s="7"/>
    </row>
    <row r="991">
      <c r="F991" s="3"/>
      <c r="G991" s="7"/>
    </row>
    <row r="992">
      <c r="F992" s="3"/>
      <c r="G992" s="7"/>
    </row>
    <row r="993">
      <c r="F993" s="3"/>
      <c r="G993" s="7"/>
    </row>
    <row r="994">
      <c r="F994" s="3"/>
      <c r="G994" s="7"/>
    </row>
    <row r="995">
      <c r="F995" s="3"/>
      <c r="G995" s="7"/>
    </row>
    <row r="996">
      <c r="F996" s="3"/>
      <c r="G996" s="7"/>
    </row>
    <row r="997">
      <c r="F997" s="3"/>
      <c r="G997" s="7"/>
    </row>
    <row r="998">
      <c r="F998" s="3"/>
      <c r="G998" s="7"/>
    </row>
    <row r="999">
      <c r="F999" s="3"/>
      <c r="G999" s="7"/>
    </row>
    <row r="1000">
      <c r="F1000" s="3"/>
      <c r="G1000" s="7"/>
    </row>
    <row r="1001">
      <c r="F1001" s="3"/>
      <c r="G1001" s="7"/>
    </row>
    <row r="1002">
      <c r="F1002" s="3"/>
      <c r="G1002" s="7"/>
    </row>
    <row r="1003">
      <c r="F1003" s="3"/>
      <c r="G1003" s="7"/>
    </row>
    <row r="1004">
      <c r="F1004" s="3"/>
      <c r="G1004" s="7"/>
    </row>
    <row r="1005">
      <c r="F1005" s="3"/>
      <c r="G1005" s="7"/>
    </row>
    <row r="1006">
      <c r="F1006" s="3"/>
      <c r="G1006" s="7"/>
    </row>
    <row r="1007">
      <c r="F1007" s="3"/>
      <c r="G1007" s="7"/>
    </row>
    <row r="1008">
      <c r="F1008" s="3"/>
      <c r="G1008" s="7"/>
    </row>
    <row r="1009">
      <c r="F1009" s="3"/>
      <c r="G1009" s="7"/>
    </row>
    <row r="1010">
      <c r="F1010" s="3"/>
      <c r="G1010" s="7"/>
    </row>
    <row r="1011">
      <c r="F1011" s="3"/>
      <c r="G1011" s="7"/>
    </row>
    <row r="1012">
      <c r="F1012" s="3"/>
      <c r="G1012" s="7"/>
    </row>
    <row r="1013">
      <c r="F1013" s="3"/>
      <c r="G1013" s="7"/>
    </row>
    <row r="1014">
      <c r="F1014" s="3"/>
      <c r="G1014" s="7"/>
    </row>
    <row r="1015">
      <c r="F1015" s="3"/>
      <c r="G1015" s="7"/>
    </row>
    <row r="1016">
      <c r="F1016" s="3"/>
      <c r="G1016" s="7"/>
    </row>
    <row r="1017">
      <c r="F1017" s="3"/>
      <c r="G1017" s="7"/>
    </row>
    <row r="1018">
      <c r="F1018" s="3"/>
      <c r="G1018" s="7"/>
    </row>
    <row r="1019">
      <c r="F1019" s="3"/>
      <c r="G1019" s="7"/>
    </row>
    <row r="1020">
      <c r="F1020" s="3"/>
      <c r="G1020" s="7"/>
    </row>
    <row r="1021">
      <c r="F1021" s="3"/>
      <c r="G1021" s="7"/>
    </row>
    <row r="1022">
      <c r="F1022" s="3"/>
      <c r="G1022" s="7"/>
    </row>
    <row r="1023">
      <c r="F1023" s="3"/>
      <c r="G1023" s="7"/>
    </row>
    <row r="1024">
      <c r="F1024" s="3"/>
      <c r="G1024" s="7"/>
    </row>
    <row r="1025">
      <c r="F1025" s="3"/>
      <c r="G1025" s="7"/>
    </row>
    <row r="1026">
      <c r="F1026" s="3"/>
      <c r="G1026" s="7"/>
    </row>
    <row r="1027">
      <c r="F1027" s="3"/>
      <c r="G1027" s="7"/>
    </row>
    <row r="1028">
      <c r="F1028" s="3"/>
      <c r="G1028" s="7"/>
    </row>
    <row r="1029">
      <c r="F1029" s="3"/>
      <c r="G1029" s="7"/>
    </row>
    <row r="1030">
      <c r="F1030" s="3"/>
      <c r="G1030" s="7"/>
    </row>
    <row r="1031">
      <c r="F1031" s="3"/>
      <c r="G1031" s="7"/>
    </row>
    <row r="1032">
      <c r="F1032" s="3"/>
      <c r="G1032" s="7"/>
    </row>
    <row r="1033">
      <c r="F1033" s="3"/>
      <c r="G1033" s="7"/>
    </row>
    <row r="1034">
      <c r="F1034" s="3"/>
      <c r="G1034" s="7"/>
    </row>
    <row r="1035">
      <c r="F1035" s="3"/>
      <c r="G1035" s="7"/>
    </row>
    <row r="1036">
      <c r="F1036" s="3"/>
      <c r="G1036" s="7"/>
    </row>
    <row r="1037">
      <c r="F1037" s="3"/>
      <c r="G1037" s="7"/>
    </row>
    <row r="1038">
      <c r="F1038" s="3"/>
      <c r="G1038" s="7"/>
    </row>
    <row r="1039">
      <c r="F1039" s="3"/>
      <c r="G1039" s="7"/>
    </row>
    <row r="1040">
      <c r="F1040" s="3"/>
      <c r="G1040" s="7"/>
    </row>
    <row r="1041">
      <c r="F1041" s="3"/>
      <c r="G1041" s="7"/>
    </row>
    <row r="1042">
      <c r="F1042" s="3"/>
      <c r="G1042" s="7"/>
    </row>
    <row r="1043">
      <c r="F1043" s="3"/>
      <c r="G1043" s="7"/>
    </row>
    <row r="1044">
      <c r="F1044" s="3"/>
      <c r="G1044" s="7"/>
    </row>
    <row r="1045">
      <c r="F1045" s="3"/>
      <c r="G1045" s="7"/>
    </row>
    <row r="1046">
      <c r="F1046" s="3"/>
      <c r="G1046" s="7"/>
    </row>
    <row r="1047">
      <c r="F1047" s="3"/>
      <c r="G1047" s="7"/>
    </row>
    <row r="1048">
      <c r="F1048" s="3"/>
      <c r="G1048" s="7"/>
    </row>
    <row r="1049">
      <c r="F1049" s="3"/>
      <c r="G1049" s="7"/>
    </row>
    <row r="1050">
      <c r="F1050" s="3"/>
      <c r="G1050" s="7"/>
    </row>
    <row r="1051">
      <c r="F1051" s="3"/>
      <c r="G1051" s="7"/>
    </row>
    <row r="1052">
      <c r="F1052" s="3"/>
      <c r="G1052" s="7"/>
    </row>
    <row r="1053">
      <c r="F1053" s="3"/>
      <c r="G1053" s="7"/>
    </row>
    <row r="1054">
      <c r="F1054" s="3"/>
      <c r="G1054" s="7"/>
    </row>
    <row r="1055">
      <c r="F1055" s="3"/>
      <c r="G1055" s="7"/>
    </row>
    <row r="1056">
      <c r="F1056" s="3"/>
      <c r="G1056" s="7"/>
    </row>
    <row r="1057">
      <c r="F1057" s="3"/>
      <c r="G1057" s="7"/>
    </row>
    <row r="1058">
      <c r="F1058" s="3"/>
      <c r="G1058" s="7"/>
    </row>
    <row r="1059">
      <c r="F1059" s="3"/>
      <c r="G1059" s="7"/>
    </row>
    <row r="1060">
      <c r="F1060" s="3"/>
      <c r="G1060" s="7"/>
    </row>
    <row r="1061">
      <c r="F1061" s="3"/>
      <c r="G1061" s="7"/>
    </row>
    <row r="1062">
      <c r="F1062" s="3"/>
      <c r="G1062" s="7"/>
    </row>
    <row r="1063">
      <c r="F1063" s="3"/>
      <c r="G1063" s="7"/>
    </row>
    <row r="1064">
      <c r="F1064" s="3"/>
      <c r="G1064" s="7"/>
    </row>
    <row r="1065">
      <c r="F1065" s="3"/>
      <c r="G1065" s="7"/>
    </row>
    <row r="1066">
      <c r="F1066" s="3"/>
      <c r="G1066" s="7"/>
    </row>
    <row r="1067">
      <c r="F1067" s="3"/>
      <c r="G1067" s="7"/>
    </row>
    <row r="1068">
      <c r="F1068" s="3"/>
      <c r="G1068" s="7"/>
    </row>
    <row r="1069">
      <c r="F1069" s="3"/>
      <c r="G1069" s="7"/>
    </row>
    <row r="1070">
      <c r="F1070" s="3"/>
      <c r="G1070" s="7"/>
    </row>
    <row r="1071">
      <c r="F1071" s="3"/>
      <c r="G1071" s="7"/>
    </row>
    <row r="1072">
      <c r="F1072" s="3"/>
      <c r="G1072" s="7"/>
    </row>
    <row r="1073">
      <c r="F1073" s="3"/>
      <c r="G1073" s="7"/>
    </row>
    <row r="1074">
      <c r="F1074" s="3"/>
      <c r="G1074" s="7"/>
    </row>
    <row r="1075">
      <c r="F1075" s="3"/>
      <c r="G1075" s="7"/>
    </row>
    <row r="1076">
      <c r="F1076" s="3"/>
      <c r="G1076" s="7"/>
    </row>
    <row r="1077">
      <c r="F1077" s="3"/>
      <c r="G1077" s="7"/>
    </row>
    <row r="1078">
      <c r="F1078" s="3"/>
      <c r="G1078" s="7"/>
    </row>
    <row r="1079">
      <c r="F1079" s="3"/>
      <c r="G1079" s="7"/>
    </row>
    <row r="1080">
      <c r="F1080" s="3"/>
      <c r="G1080" s="7"/>
    </row>
    <row r="1081">
      <c r="F1081" s="3"/>
      <c r="G1081" s="7"/>
    </row>
    <row r="1082">
      <c r="F1082" s="3"/>
      <c r="G1082" s="7"/>
    </row>
    <row r="1083">
      <c r="F1083" s="3"/>
      <c r="G1083" s="7"/>
    </row>
    <row r="1084">
      <c r="F1084" s="3"/>
      <c r="G1084" s="7"/>
    </row>
    <row r="1085">
      <c r="F1085" s="3"/>
      <c r="G1085" s="7"/>
    </row>
    <row r="1086">
      <c r="F1086" s="3"/>
      <c r="G1086" s="7"/>
    </row>
    <row r="1087">
      <c r="F1087" s="3"/>
      <c r="G1087" s="7"/>
    </row>
    <row r="1088">
      <c r="F1088" s="3"/>
      <c r="G1088" s="7"/>
    </row>
    <row r="1089">
      <c r="F1089" s="3"/>
      <c r="G1089" s="7"/>
    </row>
    <row r="1090">
      <c r="F1090" s="3"/>
      <c r="G1090" s="7"/>
    </row>
    <row r="1091">
      <c r="F1091" s="3"/>
      <c r="G1091" s="7"/>
    </row>
    <row r="1092">
      <c r="F1092" s="3"/>
      <c r="G1092" s="7"/>
    </row>
    <row r="1093">
      <c r="F1093" s="3"/>
      <c r="G1093" s="7"/>
    </row>
    <row r="1094">
      <c r="F1094" s="3"/>
      <c r="G1094" s="7"/>
    </row>
    <row r="1095">
      <c r="F1095" s="3"/>
      <c r="G1095" s="7"/>
    </row>
    <row r="1096">
      <c r="F1096" s="3"/>
      <c r="G1096" s="7"/>
    </row>
    <row r="1097">
      <c r="F1097" s="3"/>
      <c r="G1097" s="7"/>
    </row>
    <row r="1098">
      <c r="F1098" s="3"/>
      <c r="G1098" s="7"/>
    </row>
    <row r="1099">
      <c r="F1099" s="3"/>
      <c r="G1099" s="7"/>
    </row>
    <row r="1100">
      <c r="F1100" s="3"/>
      <c r="G1100" s="7"/>
    </row>
    <row r="1101">
      <c r="F1101" s="3"/>
      <c r="G1101" s="7"/>
    </row>
    <row r="1102">
      <c r="F1102" s="3"/>
      <c r="G1102" s="7"/>
    </row>
    <row r="1103">
      <c r="F1103" s="3"/>
      <c r="G1103" s="7"/>
    </row>
    <row r="1104">
      <c r="F1104" s="3"/>
      <c r="G1104" s="7"/>
    </row>
    <row r="1105">
      <c r="F1105" s="3"/>
      <c r="G1105" s="7"/>
    </row>
    <row r="1106">
      <c r="F1106" s="3"/>
      <c r="G1106" s="7"/>
    </row>
    <row r="1107">
      <c r="F1107" s="3"/>
      <c r="G1107" s="7"/>
    </row>
    <row r="1108">
      <c r="F1108" s="3"/>
      <c r="G1108" s="7"/>
    </row>
    <row r="1109">
      <c r="F1109" s="3"/>
      <c r="G1109" s="7"/>
    </row>
    <row r="1110">
      <c r="F1110" s="3"/>
      <c r="G1110" s="7"/>
    </row>
    <row r="1111">
      <c r="F1111" s="3"/>
      <c r="G1111" s="7"/>
    </row>
    <row r="1112">
      <c r="F1112" s="3"/>
      <c r="G1112" s="7"/>
    </row>
    <row r="1113">
      <c r="F1113" s="3"/>
      <c r="G1113" s="7"/>
    </row>
    <row r="1114">
      <c r="F1114" s="3"/>
      <c r="G1114" s="7"/>
    </row>
    <row r="1115">
      <c r="F1115" s="3"/>
      <c r="G1115" s="7"/>
    </row>
    <row r="1116">
      <c r="F1116" s="3"/>
      <c r="G1116" s="7"/>
    </row>
    <row r="1117">
      <c r="F1117" s="3"/>
      <c r="G1117" s="7"/>
    </row>
    <row r="1118">
      <c r="F1118" s="3"/>
      <c r="G1118" s="7"/>
    </row>
    <row r="1119">
      <c r="F1119" s="3"/>
      <c r="G1119" s="7"/>
    </row>
    <row r="1120">
      <c r="F1120" s="3"/>
      <c r="G1120" s="7"/>
    </row>
    <row r="1121">
      <c r="F1121" s="3"/>
      <c r="G1121" s="7"/>
    </row>
    <row r="1122">
      <c r="F1122" s="3"/>
      <c r="G1122" s="7"/>
    </row>
    <row r="1123">
      <c r="F1123" s="3"/>
      <c r="G1123" s="7"/>
    </row>
    <row r="1124">
      <c r="F1124" s="3"/>
      <c r="G1124" s="7"/>
    </row>
    <row r="1125">
      <c r="F1125" s="3"/>
      <c r="G1125" s="7"/>
    </row>
    <row r="1126">
      <c r="F1126" s="3"/>
      <c r="G1126" s="7"/>
    </row>
    <row r="1127">
      <c r="F1127" s="3"/>
      <c r="G1127" s="7"/>
    </row>
    <row r="1128">
      <c r="F1128" s="3"/>
      <c r="G1128" s="7"/>
    </row>
    <row r="1129">
      <c r="F1129" s="3"/>
      <c r="G1129" s="7"/>
    </row>
    <row r="1130">
      <c r="F1130" s="3"/>
      <c r="G1130" s="7"/>
    </row>
    <row r="1131">
      <c r="F1131" s="3"/>
      <c r="G1131" s="7"/>
    </row>
    <row r="1132">
      <c r="F1132" s="3"/>
      <c r="G1132" s="7"/>
    </row>
    <row r="1133">
      <c r="F1133" s="3"/>
      <c r="G1133" s="7"/>
    </row>
    <row r="1134">
      <c r="F1134" s="3"/>
      <c r="G1134" s="7"/>
    </row>
    <row r="1135">
      <c r="F1135" s="3"/>
      <c r="G1135" s="7"/>
    </row>
    <row r="1136">
      <c r="F1136" s="3"/>
      <c r="G1136" s="7"/>
    </row>
    <row r="1137">
      <c r="F1137" s="3"/>
      <c r="G1137" s="7"/>
    </row>
    <row r="1138">
      <c r="F1138" s="3"/>
      <c r="G1138" s="7"/>
    </row>
    <row r="1139">
      <c r="F1139" s="3"/>
      <c r="G1139" s="7"/>
    </row>
    <row r="1140">
      <c r="F1140" s="3"/>
      <c r="G1140" s="7"/>
    </row>
    <row r="1141">
      <c r="F1141" s="3"/>
      <c r="G1141" s="7"/>
    </row>
    <row r="1142">
      <c r="F1142" s="3"/>
      <c r="G1142" s="7"/>
    </row>
    <row r="1143">
      <c r="F1143" s="3"/>
      <c r="G1143" s="7"/>
    </row>
    <row r="1144">
      <c r="F1144" s="3"/>
      <c r="G1144" s="7"/>
    </row>
    <row r="1145">
      <c r="F1145" s="3"/>
      <c r="G1145" s="7"/>
    </row>
    <row r="1146">
      <c r="F1146" s="3"/>
      <c r="G1146" s="7"/>
    </row>
    <row r="1147">
      <c r="F1147" s="3"/>
      <c r="G1147" s="7"/>
    </row>
    <row r="1148">
      <c r="F1148" s="3"/>
      <c r="G1148" s="7"/>
    </row>
    <row r="1149">
      <c r="F1149" s="3"/>
      <c r="G1149" s="7"/>
    </row>
    <row r="1150">
      <c r="F1150" s="3"/>
      <c r="G1150" s="7"/>
    </row>
    <row r="1151">
      <c r="F1151" s="3"/>
      <c r="G1151" s="7"/>
    </row>
    <row r="1152">
      <c r="F1152" s="3"/>
      <c r="G1152" s="7"/>
    </row>
    <row r="1153">
      <c r="F1153" s="3"/>
      <c r="G1153" s="7"/>
    </row>
    <row r="1154">
      <c r="F1154" s="3"/>
      <c r="G1154" s="7"/>
    </row>
    <row r="1155">
      <c r="F1155" s="3"/>
      <c r="G1155" s="7"/>
    </row>
    <row r="1156">
      <c r="F1156" s="3"/>
      <c r="G1156" s="7"/>
    </row>
    <row r="1157">
      <c r="F1157" s="3"/>
      <c r="G1157" s="7"/>
    </row>
    <row r="1158">
      <c r="F1158" s="3"/>
      <c r="G1158" s="7"/>
    </row>
    <row r="1159">
      <c r="F1159" s="3"/>
      <c r="G1159" s="7"/>
    </row>
    <row r="1160">
      <c r="F1160" s="3"/>
      <c r="G1160" s="7"/>
    </row>
    <row r="1161">
      <c r="F1161" s="3"/>
      <c r="G1161" s="7"/>
    </row>
    <row r="1162">
      <c r="F1162" s="3"/>
      <c r="G1162" s="7"/>
    </row>
    <row r="1163">
      <c r="F1163" s="3"/>
      <c r="G1163" s="7"/>
    </row>
    <row r="1164">
      <c r="F1164" s="3"/>
      <c r="G1164" s="7"/>
    </row>
    <row r="1165">
      <c r="F1165" s="3"/>
      <c r="G1165" s="7"/>
    </row>
    <row r="1166">
      <c r="F1166" s="3"/>
      <c r="G1166" s="7"/>
    </row>
    <row r="1167">
      <c r="F1167" s="3"/>
      <c r="G1167" s="7"/>
    </row>
    <row r="1168">
      <c r="F1168" s="3"/>
      <c r="G1168" s="7"/>
    </row>
    <row r="1169">
      <c r="F1169" s="3"/>
      <c r="G1169" s="7"/>
    </row>
    <row r="1170">
      <c r="F1170" s="3"/>
      <c r="G1170" s="7"/>
    </row>
    <row r="1171">
      <c r="F1171" s="3"/>
      <c r="G1171" s="7"/>
    </row>
    <row r="1172">
      <c r="F1172" s="3"/>
      <c r="G1172" s="7"/>
    </row>
    <row r="1173">
      <c r="F1173" s="3"/>
      <c r="G1173" s="7"/>
    </row>
    <row r="1174">
      <c r="F1174" s="3"/>
      <c r="G1174" s="7"/>
    </row>
    <row r="1175">
      <c r="F1175" s="3"/>
      <c r="G1175" s="7"/>
    </row>
    <row r="1176">
      <c r="F1176" s="3"/>
      <c r="G1176" s="7"/>
    </row>
    <row r="1177">
      <c r="F1177" s="3"/>
      <c r="G1177" s="7"/>
    </row>
    <row r="1178">
      <c r="F1178" s="3"/>
      <c r="G1178" s="7"/>
    </row>
    <row r="1179">
      <c r="F1179" s="3"/>
      <c r="G1179" s="7"/>
    </row>
    <row r="1180">
      <c r="F1180" s="3"/>
      <c r="G1180" s="7"/>
    </row>
    <row r="1181">
      <c r="F1181" s="3"/>
      <c r="G1181" s="7"/>
    </row>
    <row r="1182">
      <c r="F1182" s="3"/>
      <c r="G1182" s="7"/>
    </row>
    <row r="1183">
      <c r="F1183" s="3"/>
      <c r="G1183" s="7"/>
    </row>
    <row r="1184">
      <c r="F1184" s="3"/>
      <c r="G1184" s="7"/>
    </row>
    <row r="1185">
      <c r="F1185" s="3"/>
      <c r="G1185" s="7"/>
    </row>
    <row r="1186">
      <c r="F1186" s="3"/>
      <c r="G1186" s="7"/>
    </row>
    <row r="1187">
      <c r="F1187" s="3"/>
      <c r="G1187" s="7"/>
    </row>
    <row r="1188">
      <c r="F1188" s="3"/>
      <c r="G1188" s="7"/>
    </row>
    <row r="1189">
      <c r="F1189" s="3"/>
      <c r="G1189" s="7"/>
    </row>
    <row r="1190">
      <c r="F1190" s="3"/>
      <c r="G1190" s="7"/>
    </row>
    <row r="1191">
      <c r="F1191" s="3"/>
      <c r="G1191" s="7"/>
    </row>
    <row r="1192">
      <c r="F1192" s="3"/>
      <c r="G1192" s="7"/>
    </row>
    <row r="1193">
      <c r="F1193" s="3"/>
      <c r="G1193" s="7"/>
    </row>
    <row r="1194">
      <c r="F1194" s="3"/>
      <c r="G1194" s="7"/>
    </row>
    <row r="1195">
      <c r="F1195" s="3"/>
      <c r="G1195" s="7"/>
    </row>
    <row r="1196">
      <c r="F1196" s="3"/>
      <c r="G1196" s="7"/>
    </row>
    <row r="1197">
      <c r="F1197" s="3"/>
      <c r="G1197" s="7"/>
    </row>
    <row r="1198">
      <c r="F1198" s="3"/>
      <c r="G1198" s="7"/>
    </row>
    <row r="1199">
      <c r="F1199" s="3"/>
      <c r="G1199" s="7"/>
    </row>
    <row r="1200">
      <c r="F1200" s="3"/>
      <c r="G1200" s="7"/>
    </row>
    <row r="1201">
      <c r="F1201" s="3"/>
      <c r="G1201" s="7"/>
    </row>
    <row r="1202">
      <c r="F1202" s="3"/>
      <c r="G1202" s="7"/>
    </row>
    <row r="1203">
      <c r="F1203" s="3"/>
      <c r="G1203" s="7"/>
    </row>
    <row r="1204">
      <c r="F1204" s="3"/>
      <c r="G1204" s="7"/>
    </row>
    <row r="1205">
      <c r="F1205" s="3"/>
      <c r="G1205" s="7"/>
    </row>
    <row r="1206">
      <c r="F1206" s="3"/>
      <c r="G1206" s="7"/>
    </row>
    <row r="1207">
      <c r="F1207" s="3"/>
      <c r="G1207" s="7"/>
    </row>
    <row r="1208">
      <c r="F1208" s="3"/>
      <c r="G1208" s="7"/>
    </row>
    <row r="1209">
      <c r="F1209" s="3"/>
      <c r="G1209" s="7"/>
    </row>
    <row r="1210">
      <c r="F1210" s="3"/>
      <c r="G1210" s="7"/>
    </row>
    <row r="1211">
      <c r="F1211" s="3"/>
      <c r="G1211" s="7"/>
    </row>
    <row r="1212">
      <c r="F1212" s="3"/>
      <c r="G1212" s="7"/>
    </row>
    <row r="1213">
      <c r="F1213" s="3"/>
      <c r="G1213" s="7"/>
    </row>
    <row r="1214">
      <c r="F1214" s="3"/>
      <c r="G1214" s="7"/>
    </row>
    <row r="1215">
      <c r="F1215" s="3"/>
      <c r="G1215" s="7"/>
    </row>
    <row r="1216">
      <c r="F1216" s="3"/>
      <c r="G1216" s="7"/>
    </row>
    <row r="1217">
      <c r="F1217" s="3"/>
      <c r="G1217" s="7"/>
    </row>
    <row r="1218">
      <c r="F1218" s="3"/>
      <c r="G1218" s="7"/>
    </row>
    <row r="1219">
      <c r="F1219" s="3"/>
      <c r="G1219" s="7"/>
    </row>
    <row r="1220">
      <c r="F1220" s="3"/>
      <c r="G1220" s="7"/>
    </row>
    <row r="1221">
      <c r="F1221" s="3"/>
      <c r="G1221" s="7"/>
    </row>
    <row r="1222">
      <c r="F1222" s="3"/>
      <c r="G1222" s="7"/>
    </row>
    <row r="1223">
      <c r="F1223" s="3"/>
      <c r="G1223" s="7"/>
    </row>
    <row r="1224">
      <c r="F1224" s="3"/>
      <c r="G1224" s="7"/>
    </row>
    <row r="1225">
      <c r="F1225" s="3"/>
      <c r="G1225" s="7"/>
    </row>
    <row r="1226">
      <c r="F1226" s="3"/>
      <c r="G1226" s="7"/>
    </row>
    <row r="1227">
      <c r="F1227" s="3"/>
      <c r="G1227" s="7"/>
    </row>
    <row r="1228">
      <c r="F1228" s="3"/>
      <c r="G1228" s="7"/>
    </row>
    <row r="1229">
      <c r="F1229" s="3"/>
      <c r="G1229" s="7"/>
    </row>
    <row r="1230">
      <c r="F1230" s="3"/>
      <c r="G1230" s="7"/>
    </row>
    <row r="1231">
      <c r="F1231" s="3"/>
      <c r="G1231" s="7"/>
    </row>
    <row r="1232">
      <c r="F1232" s="3"/>
      <c r="G1232" s="7"/>
    </row>
    <row r="1233">
      <c r="F1233" s="3"/>
      <c r="G1233" s="7"/>
    </row>
    <row r="1234">
      <c r="F1234" s="3"/>
      <c r="G1234" s="7"/>
    </row>
    <row r="1235">
      <c r="F1235" s="3"/>
      <c r="G1235" s="7"/>
    </row>
    <row r="1236">
      <c r="F1236" s="3"/>
      <c r="G1236" s="7"/>
    </row>
    <row r="1237">
      <c r="F1237" s="3"/>
      <c r="G1237" s="7"/>
    </row>
    <row r="1238">
      <c r="F1238" s="3"/>
      <c r="G1238" s="7"/>
    </row>
    <row r="1239">
      <c r="F1239" s="3"/>
      <c r="G1239" s="7"/>
    </row>
    <row r="1240">
      <c r="F1240" s="3"/>
      <c r="G1240" s="7"/>
    </row>
    <row r="1241">
      <c r="F1241" s="3"/>
      <c r="G1241" s="7"/>
    </row>
    <row r="1242">
      <c r="F1242" s="3"/>
      <c r="G1242" s="7"/>
    </row>
    <row r="1243">
      <c r="F1243" s="3"/>
      <c r="G1243" s="7"/>
    </row>
    <row r="1244">
      <c r="F1244" s="3"/>
      <c r="G1244" s="7"/>
    </row>
    <row r="1245">
      <c r="F1245" s="3"/>
      <c r="G1245" s="7"/>
    </row>
    <row r="1246">
      <c r="F1246" s="3"/>
      <c r="G1246" s="7"/>
    </row>
    <row r="1247">
      <c r="F1247" s="3"/>
      <c r="G1247" s="7"/>
    </row>
    <row r="1248">
      <c r="F1248" s="3"/>
      <c r="G1248" s="7"/>
    </row>
    <row r="1249">
      <c r="F1249" s="3"/>
      <c r="G1249" s="7"/>
    </row>
    <row r="1250">
      <c r="F1250" s="3"/>
      <c r="G1250" s="7"/>
    </row>
    <row r="1251">
      <c r="F1251" s="3"/>
      <c r="G1251" s="7"/>
    </row>
    <row r="1252">
      <c r="F1252" s="3"/>
      <c r="G1252" s="7"/>
    </row>
    <row r="1253">
      <c r="F1253" s="3"/>
      <c r="G1253" s="7"/>
    </row>
    <row r="1254">
      <c r="F1254" s="3"/>
      <c r="G1254" s="7"/>
    </row>
    <row r="1255">
      <c r="F1255" s="3"/>
      <c r="G1255" s="7"/>
    </row>
    <row r="1256">
      <c r="F1256" s="3"/>
      <c r="G1256" s="7"/>
    </row>
    <row r="1257">
      <c r="F1257" s="3"/>
      <c r="G1257" s="7"/>
    </row>
    <row r="1258">
      <c r="F1258" s="3"/>
      <c r="G1258" s="7"/>
    </row>
    <row r="1259">
      <c r="F1259" s="3"/>
      <c r="G1259" s="7"/>
    </row>
    <row r="1260">
      <c r="F1260" s="3"/>
      <c r="G1260" s="7"/>
    </row>
    <row r="1261">
      <c r="F1261" s="3"/>
      <c r="G1261" s="7"/>
    </row>
    <row r="1262">
      <c r="F1262" s="3"/>
      <c r="G1262" s="7"/>
    </row>
    <row r="1263">
      <c r="F1263" s="3"/>
      <c r="G1263" s="7"/>
    </row>
    <row r="1264">
      <c r="F1264" s="3"/>
      <c r="G1264" s="7"/>
    </row>
    <row r="1265">
      <c r="F1265" s="3"/>
      <c r="G1265" s="7"/>
    </row>
    <row r="1266">
      <c r="F1266" s="3"/>
      <c r="G1266" s="7"/>
    </row>
    <row r="1267">
      <c r="F1267" s="3"/>
      <c r="G1267" s="7"/>
    </row>
    <row r="1268">
      <c r="F1268" s="3"/>
      <c r="G1268" s="7"/>
    </row>
    <row r="1269">
      <c r="F1269" s="3"/>
      <c r="G1269" s="7"/>
    </row>
    <row r="1270">
      <c r="F1270" s="3"/>
      <c r="G1270" s="7"/>
    </row>
    <row r="1271">
      <c r="F1271" s="3"/>
      <c r="G1271" s="7"/>
    </row>
    <row r="1272">
      <c r="F1272" s="3"/>
      <c r="G1272" s="7"/>
    </row>
    <row r="1273">
      <c r="F1273" s="3"/>
      <c r="G1273" s="7"/>
    </row>
    <row r="1274">
      <c r="F1274" s="3"/>
      <c r="G1274" s="7"/>
    </row>
    <row r="1275">
      <c r="F1275" s="3"/>
      <c r="G1275" s="7"/>
    </row>
    <row r="1276">
      <c r="F1276" s="3"/>
      <c r="G1276" s="7"/>
    </row>
    <row r="1277">
      <c r="F1277" s="3"/>
      <c r="G1277" s="7"/>
    </row>
    <row r="1278">
      <c r="F1278" s="3"/>
      <c r="G1278" s="7"/>
    </row>
    <row r="1279">
      <c r="F1279" s="3"/>
      <c r="G1279" s="7"/>
    </row>
    <row r="1280">
      <c r="F1280" s="3"/>
      <c r="G1280" s="7"/>
    </row>
    <row r="1281">
      <c r="F1281" s="3"/>
      <c r="G1281" s="7"/>
    </row>
    <row r="1282">
      <c r="F1282" s="3"/>
      <c r="G1282" s="7"/>
    </row>
    <row r="1283">
      <c r="F1283" s="3"/>
      <c r="G1283" s="7"/>
    </row>
    <row r="1284">
      <c r="F1284" s="3"/>
      <c r="G1284" s="7"/>
    </row>
    <row r="1285">
      <c r="F1285" s="3"/>
      <c r="G1285" s="7"/>
    </row>
    <row r="1286">
      <c r="F1286" s="3"/>
      <c r="G1286" s="7"/>
    </row>
    <row r="1287">
      <c r="F1287" s="3"/>
      <c r="G1287" s="7"/>
    </row>
    <row r="1288">
      <c r="F1288" s="3"/>
      <c r="G1288" s="7"/>
    </row>
    <row r="1289">
      <c r="F1289" s="3"/>
      <c r="G1289" s="7"/>
    </row>
    <row r="1290">
      <c r="F1290" s="3"/>
      <c r="G1290" s="7"/>
    </row>
    <row r="1291">
      <c r="F1291" s="3"/>
      <c r="G1291" s="7"/>
    </row>
    <row r="1292">
      <c r="F1292" s="3"/>
      <c r="G1292" s="7"/>
    </row>
    <row r="1293">
      <c r="F1293" s="3"/>
      <c r="G1293" s="7"/>
    </row>
    <row r="1294">
      <c r="F1294" s="3"/>
      <c r="G1294" s="7"/>
    </row>
    <row r="1295">
      <c r="F1295" s="3"/>
      <c r="G1295" s="7"/>
    </row>
    <row r="1296">
      <c r="F1296" s="3"/>
      <c r="G1296" s="7"/>
    </row>
    <row r="1297">
      <c r="F1297" s="3"/>
      <c r="G1297" s="7"/>
    </row>
    <row r="1298">
      <c r="F1298" s="3"/>
      <c r="G1298" s="7"/>
    </row>
    <row r="1299">
      <c r="F1299" s="3"/>
      <c r="G1299" s="7"/>
    </row>
    <row r="1300">
      <c r="F1300" s="3"/>
      <c r="G1300" s="7"/>
    </row>
    <row r="1301">
      <c r="F1301" s="3"/>
      <c r="G1301" s="7"/>
    </row>
    <row r="1302">
      <c r="F1302" s="3"/>
      <c r="G1302" s="7"/>
    </row>
    <row r="1303">
      <c r="F1303" s="3"/>
      <c r="G1303" s="7"/>
    </row>
    <row r="1304">
      <c r="F1304" s="3"/>
      <c r="G1304" s="7"/>
    </row>
    <row r="1305">
      <c r="F1305" s="3"/>
      <c r="G1305" s="7"/>
    </row>
    <row r="1306">
      <c r="F1306" s="3"/>
      <c r="G1306" s="7"/>
    </row>
    <row r="1307">
      <c r="F1307" s="3"/>
      <c r="G1307" s="7"/>
    </row>
    <row r="1308">
      <c r="F1308" s="3"/>
      <c r="G1308" s="7"/>
    </row>
    <row r="1309">
      <c r="F1309" s="3"/>
      <c r="G1309" s="7"/>
    </row>
    <row r="1310">
      <c r="F1310" s="3"/>
      <c r="G1310" s="7"/>
    </row>
    <row r="1311">
      <c r="F1311" s="3"/>
      <c r="G1311" s="7"/>
    </row>
    <row r="1312">
      <c r="F1312" s="3"/>
      <c r="G1312" s="7"/>
    </row>
    <row r="1313">
      <c r="F1313" s="3"/>
      <c r="G1313" s="7"/>
    </row>
    <row r="1314">
      <c r="F1314" s="3"/>
      <c r="G1314" s="7"/>
    </row>
    <row r="1315">
      <c r="F1315" s="3"/>
      <c r="G1315" s="7"/>
    </row>
    <row r="1316">
      <c r="F1316" s="3"/>
      <c r="G1316" s="7"/>
    </row>
    <row r="1317">
      <c r="F1317" s="3"/>
      <c r="G1317" s="7"/>
    </row>
    <row r="1318">
      <c r="F1318" s="3"/>
      <c r="G1318" s="7"/>
    </row>
    <row r="1319">
      <c r="F1319" s="3"/>
      <c r="G1319" s="7"/>
    </row>
    <row r="1320">
      <c r="F1320" s="3"/>
      <c r="G1320" s="7"/>
    </row>
    <row r="1321">
      <c r="F1321" s="3"/>
      <c r="G1321" s="7"/>
    </row>
    <row r="1322">
      <c r="F1322" s="3"/>
      <c r="G1322" s="7"/>
    </row>
    <row r="1323">
      <c r="F1323" s="3"/>
      <c r="G1323" s="7"/>
    </row>
    <row r="1324">
      <c r="F1324" s="3"/>
      <c r="G1324" s="7"/>
    </row>
    <row r="1325">
      <c r="F1325" s="3"/>
      <c r="G1325" s="7"/>
    </row>
    <row r="1326">
      <c r="F1326" s="3"/>
      <c r="G1326" s="7"/>
    </row>
    <row r="1327">
      <c r="F1327" s="3"/>
      <c r="G1327" s="7"/>
    </row>
    <row r="1328">
      <c r="F1328" s="3"/>
      <c r="G1328" s="7"/>
    </row>
    <row r="1329">
      <c r="F1329" s="3"/>
      <c r="G1329" s="7"/>
    </row>
    <row r="1330">
      <c r="F1330" s="3"/>
      <c r="G1330" s="7"/>
    </row>
    <row r="1331">
      <c r="F1331" s="3"/>
      <c r="G1331" s="7"/>
    </row>
    <row r="1332">
      <c r="F1332" s="3"/>
      <c r="G1332" s="7"/>
    </row>
    <row r="1333">
      <c r="F1333" s="3"/>
      <c r="G1333" s="7"/>
    </row>
    <row r="1334">
      <c r="F1334" s="3"/>
      <c r="G1334" s="7"/>
    </row>
    <row r="1335">
      <c r="F1335" s="3"/>
      <c r="G1335" s="7"/>
    </row>
    <row r="1336">
      <c r="F1336" s="3"/>
      <c r="G1336" s="7"/>
    </row>
    <row r="1337">
      <c r="F1337" s="3"/>
      <c r="G1337" s="7"/>
    </row>
    <row r="1338">
      <c r="F1338" s="3"/>
      <c r="G1338" s="7"/>
    </row>
    <row r="1339">
      <c r="F1339" s="3"/>
      <c r="G1339" s="7"/>
    </row>
    <row r="1340">
      <c r="F1340" s="3"/>
      <c r="G1340" s="7"/>
    </row>
    <row r="1341">
      <c r="F1341" s="3"/>
      <c r="G1341" s="7"/>
    </row>
    <row r="1342">
      <c r="F1342" s="3"/>
      <c r="G1342" s="7"/>
    </row>
    <row r="1343">
      <c r="F1343" s="3"/>
      <c r="G1343" s="7"/>
    </row>
    <row r="1344">
      <c r="F1344" s="3"/>
      <c r="G1344" s="7"/>
    </row>
    <row r="1345">
      <c r="F1345" s="3"/>
      <c r="G1345" s="7"/>
    </row>
    <row r="1346">
      <c r="F1346" s="3"/>
      <c r="G1346" s="7"/>
    </row>
    <row r="1347">
      <c r="F1347" s="3"/>
      <c r="G1347" s="7"/>
    </row>
    <row r="1348">
      <c r="F1348" s="3"/>
      <c r="G1348" s="7"/>
    </row>
    <row r="1349">
      <c r="F1349" s="3"/>
      <c r="G1349" s="7"/>
    </row>
    <row r="1350">
      <c r="F1350" s="3"/>
      <c r="G1350" s="7"/>
    </row>
    <row r="1351">
      <c r="F1351" s="3"/>
      <c r="G1351" s="7"/>
    </row>
    <row r="1352">
      <c r="F1352" s="3"/>
      <c r="G1352" s="7"/>
    </row>
    <row r="1353">
      <c r="F1353" s="3"/>
      <c r="G1353" s="7"/>
    </row>
    <row r="1354">
      <c r="F1354" s="3"/>
      <c r="G1354" s="7"/>
    </row>
    <row r="1355">
      <c r="F1355" s="3"/>
      <c r="G1355" s="7"/>
    </row>
    <row r="1356">
      <c r="F1356" s="3"/>
      <c r="G1356" s="7"/>
    </row>
    <row r="1357">
      <c r="F1357" s="3"/>
      <c r="G1357" s="7"/>
    </row>
    <row r="1358">
      <c r="F1358" s="3"/>
      <c r="G1358" s="7"/>
    </row>
    <row r="1359">
      <c r="F1359" s="3"/>
      <c r="G1359" s="7"/>
    </row>
    <row r="1360">
      <c r="F1360" s="3"/>
      <c r="G1360" s="7"/>
    </row>
    <row r="1361">
      <c r="F1361" s="3"/>
      <c r="G1361" s="7"/>
    </row>
    <row r="1362">
      <c r="F1362" s="3"/>
      <c r="G1362" s="7"/>
    </row>
    <row r="1363">
      <c r="F1363" s="3"/>
      <c r="G1363" s="7"/>
    </row>
    <row r="1364">
      <c r="F1364" s="3"/>
      <c r="G1364" s="7"/>
    </row>
    <row r="1365">
      <c r="F1365" s="3"/>
      <c r="G1365" s="7"/>
    </row>
    <row r="1366">
      <c r="F1366" s="3"/>
      <c r="G1366" s="7"/>
    </row>
    <row r="1367">
      <c r="F1367" s="3"/>
      <c r="G1367" s="7"/>
    </row>
    <row r="1368">
      <c r="F1368" s="3"/>
      <c r="G1368" s="7"/>
    </row>
    <row r="1369">
      <c r="F1369" s="3"/>
      <c r="G1369" s="7"/>
    </row>
    <row r="1370">
      <c r="F1370" s="3"/>
      <c r="G1370" s="7"/>
    </row>
    <row r="1371">
      <c r="F1371" s="3"/>
      <c r="G1371" s="7"/>
    </row>
    <row r="1372">
      <c r="F1372" s="3"/>
      <c r="G1372" s="7"/>
    </row>
    <row r="1373">
      <c r="F1373" s="3"/>
      <c r="G1373" s="7"/>
    </row>
    <row r="1374">
      <c r="F1374" s="3"/>
      <c r="G1374" s="7"/>
    </row>
    <row r="1375">
      <c r="F1375" s="3"/>
      <c r="G1375" s="7"/>
    </row>
    <row r="1376">
      <c r="F1376" s="3"/>
      <c r="G1376" s="7"/>
    </row>
    <row r="1377">
      <c r="F1377" s="3"/>
      <c r="G1377" s="7"/>
    </row>
    <row r="1378">
      <c r="F1378" s="3"/>
      <c r="G1378" s="7"/>
    </row>
    <row r="1379">
      <c r="F1379" s="3"/>
      <c r="G1379" s="7"/>
    </row>
    <row r="1380">
      <c r="F1380" s="3"/>
      <c r="G1380" s="7"/>
    </row>
    <row r="1381">
      <c r="F1381" s="3"/>
      <c r="G1381" s="7"/>
    </row>
    <row r="1382">
      <c r="F1382" s="3"/>
      <c r="G1382" s="7"/>
    </row>
    <row r="1383">
      <c r="F1383" s="3"/>
      <c r="G1383" s="7"/>
    </row>
    <row r="1384">
      <c r="F1384" s="3"/>
      <c r="G1384" s="7"/>
    </row>
    <row r="1385">
      <c r="F1385" s="3"/>
      <c r="G1385" s="7"/>
    </row>
    <row r="1386">
      <c r="F1386" s="3"/>
      <c r="G1386" s="7"/>
    </row>
    <row r="1387">
      <c r="F1387" s="3"/>
      <c r="G1387" s="7"/>
    </row>
    <row r="1388">
      <c r="F1388" s="3"/>
      <c r="G1388" s="7"/>
    </row>
    <row r="1389">
      <c r="F1389" s="3"/>
      <c r="G1389" s="7"/>
    </row>
    <row r="1390">
      <c r="F1390" s="3"/>
      <c r="G1390" s="7"/>
    </row>
    <row r="1391">
      <c r="F1391" s="3"/>
      <c r="G1391" s="7"/>
    </row>
    <row r="1392">
      <c r="F1392" s="3"/>
      <c r="G1392" s="7"/>
    </row>
    <row r="1393">
      <c r="F1393" s="3"/>
      <c r="G1393" s="7"/>
    </row>
    <row r="1394">
      <c r="F1394" s="3"/>
      <c r="G1394" s="7"/>
    </row>
    <row r="1395">
      <c r="F1395" s="3"/>
      <c r="G1395" s="7"/>
    </row>
    <row r="1396">
      <c r="F1396" s="3"/>
      <c r="G1396" s="7"/>
    </row>
    <row r="1397">
      <c r="F1397" s="3"/>
      <c r="G1397" s="7"/>
    </row>
    <row r="1398">
      <c r="F1398" s="3"/>
      <c r="G1398" s="7"/>
    </row>
    <row r="1399">
      <c r="F1399" s="3"/>
      <c r="G1399" s="7"/>
    </row>
    <row r="1400">
      <c r="F1400" s="3"/>
      <c r="G1400" s="7"/>
    </row>
    <row r="1401">
      <c r="F1401" s="3"/>
      <c r="G1401" s="7"/>
    </row>
    <row r="1402">
      <c r="F1402" s="3"/>
      <c r="G1402" s="7"/>
    </row>
    <row r="1403">
      <c r="F1403" s="3"/>
      <c r="G1403" s="7"/>
    </row>
    <row r="1404">
      <c r="F1404" s="3"/>
      <c r="G1404" s="7"/>
    </row>
    <row r="1405">
      <c r="F1405" s="3"/>
      <c r="G1405" s="7"/>
    </row>
    <row r="1406">
      <c r="F1406" s="3"/>
      <c r="G1406" s="7"/>
    </row>
    <row r="1407">
      <c r="F1407" s="3"/>
      <c r="G1407" s="7"/>
    </row>
    <row r="1408">
      <c r="F1408" s="3"/>
      <c r="G1408" s="7"/>
    </row>
    <row r="1409">
      <c r="F1409" s="3"/>
      <c r="G1409" s="7"/>
    </row>
    <row r="1410">
      <c r="F1410" s="3"/>
      <c r="G1410" s="7"/>
    </row>
    <row r="1411">
      <c r="F1411" s="3"/>
      <c r="G1411" s="7"/>
    </row>
    <row r="1412">
      <c r="F1412" s="3"/>
      <c r="G1412" s="7"/>
    </row>
    <row r="1413">
      <c r="F1413" s="3"/>
      <c r="G1413" s="7"/>
    </row>
    <row r="1414">
      <c r="F1414" s="3"/>
      <c r="G1414" s="7"/>
    </row>
    <row r="1415">
      <c r="F1415" s="3"/>
      <c r="G1415" s="7"/>
    </row>
    <row r="1416">
      <c r="F1416" s="3"/>
      <c r="G1416" s="7"/>
    </row>
    <row r="1417">
      <c r="F1417" s="3"/>
      <c r="G1417" s="7"/>
    </row>
    <row r="1418">
      <c r="F1418" s="3"/>
      <c r="G1418" s="7"/>
    </row>
    <row r="1419">
      <c r="F1419" s="3"/>
      <c r="G1419" s="7"/>
    </row>
    <row r="1420">
      <c r="F1420" s="3"/>
      <c r="G1420" s="7"/>
    </row>
    <row r="1421">
      <c r="F1421" s="3"/>
      <c r="G1421" s="7"/>
    </row>
    <row r="1422">
      <c r="F1422" s="3"/>
      <c r="G1422" s="7"/>
    </row>
    <row r="1423">
      <c r="F1423" s="3"/>
      <c r="G1423" s="7"/>
    </row>
    <row r="1424">
      <c r="F1424" s="3"/>
      <c r="G1424" s="7"/>
    </row>
    <row r="1425">
      <c r="F1425" s="3"/>
      <c r="G1425" s="7"/>
    </row>
    <row r="1426">
      <c r="F1426" s="3"/>
      <c r="G1426" s="7"/>
    </row>
    <row r="1427">
      <c r="F1427" s="3"/>
      <c r="G1427" s="7"/>
    </row>
    <row r="1428">
      <c r="F1428" s="3"/>
      <c r="G1428" s="7"/>
    </row>
    <row r="1429">
      <c r="F1429" s="3"/>
      <c r="G1429" s="7"/>
    </row>
    <row r="1430">
      <c r="F1430" s="3"/>
      <c r="G1430" s="7"/>
    </row>
    <row r="1431">
      <c r="F1431" s="3"/>
      <c r="G1431" s="7"/>
    </row>
    <row r="1432">
      <c r="F1432" s="3"/>
      <c r="G1432" s="7"/>
    </row>
    <row r="1433">
      <c r="F1433" s="3"/>
      <c r="G1433" s="7"/>
    </row>
    <row r="1434">
      <c r="F1434" s="3"/>
      <c r="G1434" s="7"/>
    </row>
    <row r="1435">
      <c r="F1435" s="3"/>
      <c r="G1435" s="7"/>
    </row>
    <row r="1436">
      <c r="F1436" s="3"/>
      <c r="G1436" s="7"/>
    </row>
    <row r="1437">
      <c r="F1437" s="3"/>
      <c r="G1437" s="7"/>
    </row>
    <row r="1438">
      <c r="F1438" s="3"/>
      <c r="G1438" s="7"/>
    </row>
    <row r="1439">
      <c r="F1439" s="3"/>
      <c r="G1439" s="7"/>
    </row>
    <row r="1440">
      <c r="F1440" s="3"/>
      <c r="G1440" s="7"/>
    </row>
    <row r="1441">
      <c r="F1441" s="3"/>
      <c r="G1441" s="7"/>
    </row>
    <row r="1442">
      <c r="F1442" s="3"/>
      <c r="G1442" s="7"/>
    </row>
    <row r="1443">
      <c r="F1443" s="3"/>
      <c r="G1443" s="7"/>
    </row>
    <row r="1444">
      <c r="F1444" s="3"/>
      <c r="G1444" s="7"/>
    </row>
    <row r="1445">
      <c r="F1445" s="3"/>
      <c r="G1445" s="7"/>
    </row>
    <row r="1446">
      <c r="F1446" s="3"/>
      <c r="G1446" s="7"/>
    </row>
    <row r="1447">
      <c r="F1447" s="3"/>
      <c r="G1447" s="7"/>
    </row>
    <row r="1448">
      <c r="F1448" s="3"/>
      <c r="G1448" s="7"/>
    </row>
    <row r="1449">
      <c r="F1449" s="3"/>
      <c r="G1449" s="7"/>
    </row>
    <row r="1450">
      <c r="F1450" s="3"/>
      <c r="G1450" s="7"/>
    </row>
    <row r="1451">
      <c r="F1451" s="3"/>
      <c r="G1451" s="7"/>
    </row>
    <row r="1452">
      <c r="F1452" s="3"/>
      <c r="G1452" s="7"/>
    </row>
    <row r="1453">
      <c r="F1453" s="3"/>
      <c r="G1453" s="7"/>
    </row>
    <row r="1454">
      <c r="F1454" s="3"/>
      <c r="G1454" s="7"/>
    </row>
    <row r="1455">
      <c r="F1455" s="3"/>
      <c r="G1455" s="7"/>
    </row>
    <row r="1456">
      <c r="F1456" s="3"/>
      <c r="G1456" s="7"/>
    </row>
    <row r="1457">
      <c r="F1457" s="3"/>
      <c r="G1457" s="7"/>
    </row>
    <row r="1458">
      <c r="F1458" s="3"/>
      <c r="G1458" s="7"/>
    </row>
    <row r="1459">
      <c r="F1459" s="3"/>
      <c r="G1459" s="7"/>
    </row>
    <row r="1460">
      <c r="F1460" s="3"/>
      <c r="G1460" s="7"/>
    </row>
    <row r="1461">
      <c r="F1461" s="3"/>
      <c r="G1461" s="7"/>
    </row>
    <row r="1462">
      <c r="F1462" s="3"/>
      <c r="G1462" s="7"/>
    </row>
    <row r="1463">
      <c r="F1463" s="3"/>
      <c r="G1463" s="7"/>
    </row>
    <row r="1464">
      <c r="F1464" s="3"/>
      <c r="G1464" s="7"/>
    </row>
    <row r="1465">
      <c r="F1465" s="3"/>
      <c r="G1465" s="7"/>
    </row>
    <row r="1466">
      <c r="F1466" s="3"/>
      <c r="G1466" s="7"/>
    </row>
    <row r="1467">
      <c r="F1467" s="3"/>
      <c r="G1467" s="7"/>
    </row>
    <row r="1468">
      <c r="F1468" s="3"/>
      <c r="G1468" s="7"/>
    </row>
    <row r="1469">
      <c r="F1469" s="3"/>
      <c r="G1469" s="7"/>
    </row>
    <row r="1470">
      <c r="F1470" s="3"/>
      <c r="G1470" s="7"/>
    </row>
    <row r="1471">
      <c r="F1471" s="3"/>
      <c r="G1471" s="7"/>
    </row>
    <row r="1472">
      <c r="F1472" s="3"/>
      <c r="G1472" s="7"/>
    </row>
    <row r="1473">
      <c r="F1473" s="3"/>
      <c r="G1473" s="7"/>
    </row>
    <row r="1474">
      <c r="F1474" s="3"/>
      <c r="G1474" s="7"/>
    </row>
    <row r="1475">
      <c r="F1475" s="3"/>
      <c r="G1475" s="7"/>
    </row>
    <row r="1476">
      <c r="F1476" s="3"/>
      <c r="G1476" s="7"/>
    </row>
    <row r="1477">
      <c r="F1477" s="3"/>
      <c r="G1477" s="7"/>
    </row>
    <row r="1478">
      <c r="F1478" s="3"/>
      <c r="G1478" s="7"/>
    </row>
    <row r="1479">
      <c r="F1479" s="3"/>
      <c r="G1479" s="7"/>
    </row>
    <row r="1480">
      <c r="F1480" s="3"/>
      <c r="G1480" s="7"/>
    </row>
    <row r="1481">
      <c r="F1481" s="3"/>
      <c r="G1481" s="7"/>
    </row>
    <row r="1482">
      <c r="F1482" s="3"/>
      <c r="G1482" s="7"/>
    </row>
    <row r="1483">
      <c r="F1483" s="3"/>
      <c r="G1483" s="7"/>
    </row>
    <row r="1484">
      <c r="F1484" s="3"/>
      <c r="G1484" s="7"/>
    </row>
    <row r="1485">
      <c r="F1485" s="3"/>
      <c r="G1485" s="7"/>
    </row>
    <row r="1486">
      <c r="F1486" s="3"/>
      <c r="G1486" s="7"/>
    </row>
    <row r="1487">
      <c r="F1487" s="3"/>
      <c r="G1487" s="7"/>
    </row>
    <row r="1488">
      <c r="F1488" s="3"/>
      <c r="G1488" s="7"/>
    </row>
    <row r="1489">
      <c r="F1489" s="3"/>
      <c r="G1489" s="7"/>
    </row>
    <row r="1490">
      <c r="F1490" s="3"/>
      <c r="G1490" s="7"/>
    </row>
    <row r="1491">
      <c r="F1491" s="3"/>
      <c r="G1491" s="7"/>
    </row>
    <row r="1492">
      <c r="F1492" s="3"/>
      <c r="G1492" s="7"/>
    </row>
    <row r="1493">
      <c r="F1493" s="3"/>
      <c r="G1493" s="7"/>
    </row>
    <row r="1494">
      <c r="F1494" s="3"/>
      <c r="G1494" s="7"/>
    </row>
    <row r="1495">
      <c r="F1495" s="3"/>
      <c r="G1495" s="7"/>
    </row>
    <row r="1496">
      <c r="F1496" s="3"/>
      <c r="G1496" s="7"/>
    </row>
    <row r="1497">
      <c r="F1497" s="3"/>
      <c r="G1497" s="7"/>
    </row>
    <row r="1498">
      <c r="F1498" s="3"/>
      <c r="G1498" s="7"/>
    </row>
    <row r="1499">
      <c r="F1499" s="3"/>
      <c r="G1499" s="7"/>
    </row>
    <row r="1500">
      <c r="F1500" s="3"/>
      <c r="G1500" s="7"/>
    </row>
    <row r="1501">
      <c r="F1501" s="3"/>
      <c r="G1501" s="7"/>
    </row>
    <row r="1502">
      <c r="F1502" s="3"/>
      <c r="G1502" s="7"/>
    </row>
    <row r="1503">
      <c r="F1503" s="3"/>
      <c r="G1503" s="7"/>
    </row>
    <row r="1504">
      <c r="F1504" s="3"/>
      <c r="G1504" s="7"/>
    </row>
    <row r="1505">
      <c r="F1505" s="3"/>
      <c r="G1505" s="7"/>
    </row>
    <row r="1506">
      <c r="F1506" s="3"/>
      <c r="G1506" s="7"/>
    </row>
    <row r="1507">
      <c r="F1507" s="3"/>
      <c r="G1507" s="7"/>
    </row>
    <row r="1508">
      <c r="F1508" s="3"/>
      <c r="G1508" s="7"/>
    </row>
    <row r="1509">
      <c r="F1509" s="3"/>
      <c r="G1509" s="7"/>
    </row>
    <row r="1510">
      <c r="F1510" s="3"/>
      <c r="G1510" s="7"/>
    </row>
    <row r="1511">
      <c r="F1511" s="3"/>
      <c r="G1511" s="7"/>
    </row>
    <row r="1512">
      <c r="F1512" s="3"/>
      <c r="G1512" s="7"/>
    </row>
    <row r="1513">
      <c r="F1513" s="3"/>
      <c r="G1513" s="7"/>
    </row>
    <row r="1514">
      <c r="F1514" s="3"/>
      <c r="G1514" s="7"/>
    </row>
    <row r="1515">
      <c r="F1515" s="3"/>
      <c r="G1515" s="7"/>
    </row>
    <row r="1516">
      <c r="F1516" s="3"/>
      <c r="G1516" s="7"/>
    </row>
    <row r="1517">
      <c r="F1517" s="3"/>
      <c r="G1517" s="7"/>
    </row>
    <row r="1518">
      <c r="F1518" s="3"/>
      <c r="G1518" s="7"/>
    </row>
    <row r="1519">
      <c r="F1519" s="3"/>
      <c r="G1519" s="7"/>
    </row>
    <row r="1520">
      <c r="F1520" s="3"/>
      <c r="G1520" s="7"/>
    </row>
    <row r="1521">
      <c r="F1521" s="3"/>
      <c r="G1521" s="7"/>
    </row>
    <row r="1522">
      <c r="F1522" s="3"/>
      <c r="G1522" s="7"/>
    </row>
    <row r="1523">
      <c r="F1523" s="3"/>
      <c r="G1523" s="7"/>
    </row>
    <row r="1524">
      <c r="F1524" s="3"/>
      <c r="G1524" s="7"/>
    </row>
    <row r="1525">
      <c r="F1525" s="3"/>
      <c r="G1525" s="7"/>
    </row>
    <row r="1526">
      <c r="F1526" s="3"/>
      <c r="G1526" s="7"/>
    </row>
    <row r="1527">
      <c r="F1527" s="3"/>
      <c r="G1527" s="7"/>
    </row>
    <row r="1528">
      <c r="F1528" s="3"/>
      <c r="G1528" s="7"/>
    </row>
    <row r="1529">
      <c r="F1529" s="3"/>
      <c r="G1529" s="7"/>
    </row>
    <row r="1530">
      <c r="F1530" s="3"/>
      <c r="G1530" s="7"/>
    </row>
    <row r="1531">
      <c r="F1531" s="3"/>
      <c r="G1531" s="7"/>
    </row>
    <row r="1532">
      <c r="F1532" s="3"/>
      <c r="G1532" s="7"/>
    </row>
    <row r="1533">
      <c r="F1533" s="3"/>
      <c r="G1533" s="7"/>
    </row>
    <row r="1534">
      <c r="F1534" s="3"/>
      <c r="G1534" s="7"/>
    </row>
    <row r="1535">
      <c r="F1535" s="3"/>
      <c r="G1535" s="7"/>
    </row>
    <row r="1536">
      <c r="F1536" s="3"/>
      <c r="G1536" s="7"/>
    </row>
    <row r="1537">
      <c r="F1537" s="3"/>
      <c r="G1537" s="7"/>
    </row>
    <row r="1538">
      <c r="F1538" s="3"/>
      <c r="G1538" s="7"/>
    </row>
    <row r="1539">
      <c r="F1539" s="3"/>
      <c r="G1539" s="7"/>
    </row>
    <row r="1540">
      <c r="F1540" s="3"/>
      <c r="G1540" s="7"/>
    </row>
    <row r="1541">
      <c r="F1541" s="3"/>
      <c r="G1541" s="7"/>
    </row>
    <row r="1542">
      <c r="F1542" s="3"/>
      <c r="G1542" s="7"/>
    </row>
    <row r="1543">
      <c r="F1543" s="3"/>
      <c r="G1543" s="7"/>
    </row>
    <row r="1544">
      <c r="F1544" s="3"/>
      <c r="G1544" s="7"/>
    </row>
    <row r="1545">
      <c r="F1545" s="3"/>
      <c r="G1545" s="7"/>
    </row>
    <row r="1546">
      <c r="F1546" s="3"/>
      <c r="G1546" s="7"/>
    </row>
    <row r="1547">
      <c r="F1547" s="3"/>
      <c r="G1547" s="7"/>
    </row>
    <row r="1548">
      <c r="F1548" s="3"/>
      <c r="G1548" s="7"/>
    </row>
    <row r="1549">
      <c r="F1549" s="3"/>
      <c r="G1549" s="7"/>
    </row>
    <row r="1550">
      <c r="F1550" s="3"/>
      <c r="G1550" s="7"/>
    </row>
    <row r="1551">
      <c r="F1551" s="3"/>
      <c r="G1551" s="7"/>
    </row>
    <row r="1552">
      <c r="F1552" s="3"/>
      <c r="G1552" s="7"/>
    </row>
    <row r="1553">
      <c r="F1553" s="3"/>
      <c r="G1553" s="7"/>
    </row>
    <row r="1554">
      <c r="F1554" s="3"/>
      <c r="G1554" s="7"/>
    </row>
    <row r="1555">
      <c r="F1555" s="3"/>
      <c r="G1555" s="7"/>
    </row>
    <row r="1556">
      <c r="F1556" s="3"/>
      <c r="G1556" s="7"/>
    </row>
    <row r="1557">
      <c r="F1557" s="3"/>
      <c r="G1557" s="7"/>
    </row>
    <row r="1558">
      <c r="F1558" s="3"/>
      <c r="G1558" s="7"/>
    </row>
    <row r="1559">
      <c r="F1559" s="3"/>
      <c r="G1559" s="7"/>
    </row>
    <row r="1560">
      <c r="F1560" s="3"/>
      <c r="G1560" s="7"/>
    </row>
    <row r="1561">
      <c r="F1561" s="3"/>
      <c r="G1561" s="7"/>
    </row>
    <row r="1562">
      <c r="F1562" s="3"/>
      <c r="G1562" s="7"/>
    </row>
    <row r="1563">
      <c r="F1563" s="3"/>
      <c r="G1563" s="7"/>
    </row>
    <row r="1564">
      <c r="F1564" s="3"/>
      <c r="G1564" s="7"/>
    </row>
    <row r="1565">
      <c r="F1565" s="3"/>
      <c r="G1565" s="7"/>
    </row>
    <row r="1566">
      <c r="F1566" s="3"/>
      <c r="G1566" s="7"/>
    </row>
    <row r="1567">
      <c r="F1567" s="3"/>
      <c r="G1567" s="7"/>
    </row>
    <row r="1568">
      <c r="F1568" s="3"/>
      <c r="G1568" s="7"/>
    </row>
    <row r="1569">
      <c r="F1569" s="3"/>
      <c r="G1569" s="7"/>
    </row>
    <row r="1570">
      <c r="F1570" s="3"/>
      <c r="G1570" s="7"/>
    </row>
    <row r="1571">
      <c r="F1571" s="3"/>
      <c r="G1571" s="7"/>
    </row>
    <row r="1572">
      <c r="F1572" s="3"/>
      <c r="G1572" s="7"/>
    </row>
    <row r="1573">
      <c r="F1573" s="3"/>
      <c r="G1573" s="7"/>
    </row>
    <row r="1574">
      <c r="F1574" s="3"/>
      <c r="G1574" s="7"/>
    </row>
    <row r="1575">
      <c r="F1575" s="3"/>
      <c r="G1575" s="7"/>
    </row>
    <row r="1576">
      <c r="F1576" s="3"/>
      <c r="G1576" s="7"/>
    </row>
    <row r="1577">
      <c r="F1577" s="3"/>
      <c r="G1577" s="7"/>
    </row>
    <row r="1578">
      <c r="F1578" s="3"/>
      <c r="G1578" s="7"/>
    </row>
    <row r="1579">
      <c r="F1579" s="3"/>
      <c r="G1579" s="7"/>
    </row>
    <row r="1580">
      <c r="F1580" s="3"/>
      <c r="G1580" s="7"/>
    </row>
    <row r="1581">
      <c r="F1581" s="3"/>
      <c r="G1581" s="7"/>
    </row>
    <row r="1582">
      <c r="F1582" s="3"/>
      <c r="G1582" s="7"/>
    </row>
    <row r="1583">
      <c r="F1583" s="3"/>
      <c r="G1583" s="7"/>
    </row>
    <row r="1584">
      <c r="F1584" s="3"/>
      <c r="G1584" s="7"/>
    </row>
    <row r="1585">
      <c r="F1585" s="3"/>
      <c r="G1585" s="7"/>
    </row>
    <row r="1586">
      <c r="F1586" s="3"/>
      <c r="G1586" s="7"/>
    </row>
    <row r="1587">
      <c r="F1587" s="3"/>
      <c r="G1587" s="7"/>
    </row>
    <row r="1588">
      <c r="F1588" s="3"/>
      <c r="G1588" s="7"/>
    </row>
    <row r="1589">
      <c r="F1589" s="3"/>
      <c r="G1589" s="7"/>
    </row>
    <row r="1590">
      <c r="F1590" s="3"/>
      <c r="G1590" s="7"/>
    </row>
    <row r="1591">
      <c r="F1591" s="3"/>
      <c r="G1591" s="7"/>
    </row>
    <row r="1592">
      <c r="F1592" s="3"/>
      <c r="G1592" s="7"/>
    </row>
    <row r="1593">
      <c r="F1593" s="3"/>
      <c r="G1593" s="7"/>
    </row>
    <row r="1594">
      <c r="F1594" s="3"/>
      <c r="G1594" s="7"/>
    </row>
    <row r="1595">
      <c r="F1595" s="3"/>
      <c r="G1595" s="7"/>
    </row>
    <row r="1596">
      <c r="F1596" s="3"/>
      <c r="G1596" s="7"/>
    </row>
    <row r="1597">
      <c r="F1597" s="3"/>
      <c r="G1597" s="7"/>
    </row>
    <row r="1598">
      <c r="F1598" s="3"/>
      <c r="G1598" s="7"/>
    </row>
    <row r="1599">
      <c r="F1599" s="3"/>
      <c r="G1599" s="7"/>
    </row>
    <row r="1600">
      <c r="F1600" s="3"/>
      <c r="G1600" s="7"/>
    </row>
    <row r="1601">
      <c r="F1601" s="3"/>
      <c r="G1601" s="7"/>
    </row>
    <row r="1602">
      <c r="F1602" s="3"/>
      <c r="G1602" s="7"/>
    </row>
    <row r="1603">
      <c r="F1603" s="3"/>
      <c r="G1603" s="7"/>
    </row>
    <row r="1604">
      <c r="F1604" s="3"/>
      <c r="G1604" s="7"/>
    </row>
    <row r="1605">
      <c r="F1605" s="3"/>
      <c r="G1605" s="7"/>
    </row>
    <row r="1606">
      <c r="F1606" s="3"/>
      <c r="G1606" s="7"/>
    </row>
    <row r="1607">
      <c r="F1607" s="3"/>
      <c r="G1607" s="7"/>
    </row>
    <row r="1608">
      <c r="F1608" s="3"/>
      <c r="G1608" s="7"/>
    </row>
    <row r="1609">
      <c r="F1609" s="3"/>
      <c r="G1609" s="7"/>
    </row>
    <row r="1610">
      <c r="F1610" s="3"/>
      <c r="G1610" s="7"/>
    </row>
    <row r="1611">
      <c r="F1611" s="3"/>
      <c r="G1611" s="7"/>
    </row>
    <row r="1612">
      <c r="F1612" s="3"/>
      <c r="G1612" s="7"/>
    </row>
    <row r="1613">
      <c r="F1613" s="3"/>
      <c r="G1613" s="7"/>
    </row>
    <row r="1614">
      <c r="F1614" s="3"/>
      <c r="G1614" s="7"/>
    </row>
    <row r="1615">
      <c r="F1615" s="3"/>
      <c r="G1615" s="7"/>
    </row>
    <row r="1616">
      <c r="F1616" s="3"/>
      <c r="G1616" s="7"/>
    </row>
    <row r="1617">
      <c r="F1617" s="3"/>
      <c r="G1617" s="7"/>
    </row>
    <row r="1618">
      <c r="F1618" s="3"/>
      <c r="G1618" s="7"/>
    </row>
    <row r="1619">
      <c r="F1619" s="3"/>
      <c r="G1619" s="7"/>
    </row>
    <row r="1620">
      <c r="F1620" s="3"/>
      <c r="G1620" s="7"/>
    </row>
    <row r="1621">
      <c r="F1621" s="3"/>
      <c r="G1621" s="7"/>
    </row>
    <row r="1622">
      <c r="F1622" s="3"/>
      <c r="G1622" s="7"/>
    </row>
    <row r="1623">
      <c r="F1623" s="3"/>
      <c r="G1623" s="7"/>
    </row>
    <row r="1624">
      <c r="F1624" s="3"/>
      <c r="G1624" s="7"/>
    </row>
    <row r="1625">
      <c r="F1625" s="3"/>
      <c r="G1625" s="7"/>
    </row>
    <row r="1626">
      <c r="F1626" s="3"/>
      <c r="G1626" s="7"/>
    </row>
    <row r="1627">
      <c r="F1627" s="3"/>
      <c r="G1627" s="7"/>
    </row>
    <row r="1628">
      <c r="F1628" s="3"/>
      <c r="G1628" s="7"/>
    </row>
    <row r="1629">
      <c r="F1629" s="3"/>
      <c r="G1629" s="7"/>
    </row>
    <row r="1630">
      <c r="F1630" s="3"/>
      <c r="G1630" s="7"/>
    </row>
    <row r="1631">
      <c r="F1631" s="3"/>
      <c r="G1631" s="7"/>
    </row>
    <row r="1632">
      <c r="F1632" s="3"/>
      <c r="G1632" s="7"/>
    </row>
    <row r="1633">
      <c r="F1633" s="3"/>
      <c r="G1633" s="7"/>
    </row>
    <row r="1634">
      <c r="F1634" s="3"/>
      <c r="G1634" s="7"/>
    </row>
    <row r="1635">
      <c r="F1635" s="3"/>
      <c r="G1635" s="7"/>
    </row>
    <row r="1636">
      <c r="F1636" s="3"/>
      <c r="G1636" s="7"/>
    </row>
    <row r="1637">
      <c r="F1637" s="3"/>
      <c r="G1637" s="7"/>
    </row>
    <row r="1638">
      <c r="F1638" s="3"/>
      <c r="G1638" s="7"/>
    </row>
    <row r="1639">
      <c r="F1639" s="3"/>
      <c r="G1639" s="7"/>
    </row>
    <row r="1640">
      <c r="F1640" s="3"/>
      <c r="G1640" s="7"/>
    </row>
    <row r="1641">
      <c r="F1641" s="3"/>
      <c r="G1641" s="7"/>
    </row>
    <row r="1642">
      <c r="F1642" s="3"/>
      <c r="G1642" s="7"/>
    </row>
    <row r="1643">
      <c r="F1643" s="3"/>
      <c r="G1643" s="7"/>
    </row>
    <row r="1644">
      <c r="F1644" s="3"/>
      <c r="G1644" s="7"/>
    </row>
    <row r="1645">
      <c r="F1645" s="3"/>
      <c r="G1645" s="7"/>
    </row>
    <row r="1646">
      <c r="F1646" s="3"/>
      <c r="G1646" s="7"/>
    </row>
    <row r="1647">
      <c r="F1647" s="3"/>
      <c r="G1647" s="7"/>
    </row>
    <row r="1648">
      <c r="F1648" s="3"/>
      <c r="G1648" s="7"/>
    </row>
    <row r="1649">
      <c r="F1649" s="3"/>
      <c r="G1649" s="7"/>
    </row>
    <row r="1650">
      <c r="F1650" s="3"/>
      <c r="G1650" s="7"/>
    </row>
    <row r="1651">
      <c r="F1651" s="3"/>
      <c r="G1651" s="7"/>
    </row>
    <row r="1652">
      <c r="F1652" s="3"/>
      <c r="G1652" s="7"/>
    </row>
    <row r="1653">
      <c r="F1653" s="3"/>
      <c r="G1653" s="7"/>
    </row>
    <row r="1654">
      <c r="F1654" s="3"/>
      <c r="G1654" s="7"/>
    </row>
    <row r="1655">
      <c r="F1655" s="3"/>
      <c r="G1655" s="7"/>
    </row>
    <row r="1656">
      <c r="F1656" s="3"/>
      <c r="G1656" s="7"/>
    </row>
    <row r="1657">
      <c r="F1657" s="3"/>
      <c r="G1657" s="7"/>
    </row>
    <row r="1658">
      <c r="F1658" s="3"/>
      <c r="G1658" s="7"/>
    </row>
    <row r="1659">
      <c r="F1659" s="3"/>
      <c r="G1659" s="7"/>
    </row>
    <row r="1660">
      <c r="F1660" s="3"/>
      <c r="G1660" s="7"/>
    </row>
    <row r="1661">
      <c r="F1661" s="3"/>
      <c r="G1661" s="7"/>
    </row>
    <row r="1662">
      <c r="F1662" s="3"/>
      <c r="G1662" s="7"/>
    </row>
    <row r="1663">
      <c r="F1663" s="3"/>
      <c r="G1663" s="7"/>
    </row>
    <row r="1664">
      <c r="F1664" s="3"/>
      <c r="G1664" s="7"/>
    </row>
    <row r="1665">
      <c r="F1665" s="3"/>
      <c r="G1665" s="7"/>
    </row>
    <row r="1666">
      <c r="F1666" s="3"/>
      <c r="G1666" s="7"/>
    </row>
    <row r="1667">
      <c r="F1667" s="3"/>
      <c r="G1667" s="7"/>
    </row>
    <row r="1668">
      <c r="F1668" s="3"/>
      <c r="G1668" s="7"/>
    </row>
    <row r="1669">
      <c r="F1669" s="3"/>
      <c r="G1669" s="7"/>
    </row>
    <row r="1670">
      <c r="F1670" s="3"/>
      <c r="G1670" s="7"/>
    </row>
    <row r="1671">
      <c r="F1671" s="3"/>
      <c r="G1671" s="7"/>
    </row>
    <row r="1672">
      <c r="F1672" s="3"/>
      <c r="G1672" s="7"/>
    </row>
    <row r="1673">
      <c r="F1673" s="3"/>
      <c r="G1673" s="7"/>
    </row>
    <row r="1674">
      <c r="F1674" s="3"/>
      <c r="G1674" s="7"/>
    </row>
    <row r="1675">
      <c r="F1675" s="3"/>
      <c r="G1675" s="7"/>
    </row>
    <row r="1676">
      <c r="F1676" s="3"/>
      <c r="G1676" s="7"/>
    </row>
    <row r="1677">
      <c r="F1677" s="3"/>
      <c r="G1677" s="7"/>
    </row>
    <row r="1678">
      <c r="F1678" s="3"/>
      <c r="G1678" s="7"/>
    </row>
    <row r="1679">
      <c r="F1679" s="3"/>
      <c r="G1679" s="7"/>
    </row>
    <row r="1680">
      <c r="F1680" s="3"/>
      <c r="G1680" s="7"/>
    </row>
    <row r="1681">
      <c r="F1681" s="3"/>
      <c r="G1681" s="7"/>
    </row>
    <row r="1682">
      <c r="F1682" s="3"/>
      <c r="G1682" s="7"/>
    </row>
    <row r="1683">
      <c r="F1683" s="3"/>
      <c r="G1683" s="7"/>
    </row>
    <row r="1684">
      <c r="F1684" s="3"/>
      <c r="G1684" s="7"/>
    </row>
    <row r="1685">
      <c r="F1685" s="3"/>
      <c r="G1685" s="7"/>
    </row>
    <row r="1686">
      <c r="F1686" s="3"/>
      <c r="G1686" s="7"/>
    </row>
    <row r="1687">
      <c r="F1687" s="3"/>
      <c r="G1687" s="7"/>
    </row>
    <row r="1688">
      <c r="F1688" s="3"/>
      <c r="G1688" s="7"/>
    </row>
    <row r="1689">
      <c r="F1689" s="3"/>
      <c r="G1689" s="7"/>
    </row>
    <row r="1690">
      <c r="F1690" s="3"/>
      <c r="G1690" s="7"/>
    </row>
    <row r="1691">
      <c r="F1691" s="3"/>
      <c r="G1691" s="7"/>
    </row>
    <row r="1692">
      <c r="F1692" s="3"/>
      <c r="G1692" s="7"/>
    </row>
    <row r="1693">
      <c r="F1693" s="3"/>
      <c r="G1693" s="7"/>
    </row>
    <row r="1694">
      <c r="F1694" s="3"/>
      <c r="G1694" s="7"/>
    </row>
    <row r="1695">
      <c r="F1695" s="3"/>
      <c r="G1695" s="7"/>
    </row>
    <row r="1696">
      <c r="F1696" s="3"/>
      <c r="G1696" s="7"/>
    </row>
    <row r="1697">
      <c r="F1697" s="3"/>
      <c r="G1697" s="7"/>
    </row>
    <row r="1698">
      <c r="F1698" s="3"/>
      <c r="G1698" s="7"/>
    </row>
    <row r="1699">
      <c r="F1699" s="3"/>
      <c r="G1699" s="7"/>
    </row>
    <row r="1700">
      <c r="F1700" s="3"/>
      <c r="G1700" s="7"/>
    </row>
    <row r="1701">
      <c r="F1701" s="3"/>
      <c r="G1701" s="7"/>
    </row>
    <row r="1702">
      <c r="F1702" s="3"/>
      <c r="G1702" s="7"/>
    </row>
    <row r="1703">
      <c r="F1703" s="3"/>
      <c r="G1703" s="7"/>
    </row>
    <row r="1704">
      <c r="F1704" s="3"/>
      <c r="G1704" s="7"/>
    </row>
    <row r="1705">
      <c r="F1705" s="3"/>
      <c r="G1705" s="7"/>
    </row>
    <row r="1706">
      <c r="F1706" s="3"/>
      <c r="G1706" s="7"/>
    </row>
    <row r="1707">
      <c r="F1707" s="3"/>
      <c r="G1707" s="7"/>
    </row>
    <row r="1708">
      <c r="F1708" s="3"/>
      <c r="G1708" s="7"/>
    </row>
    <row r="1709">
      <c r="F1709" s="3"/>
      <c r="G1709" s="7"/>
    </row>
    <row r="1710">
      <c r="F1710" s="3"/>
      <c r="G1710" s="7"/>
    </row>
    <row r="1711">
      <c r="F1711" s="3"/>
      <c r="G1711" s="7"/>
    </row>
    <row r="1712">
      <c r="F1712" s="3"/>
      <c r="G1712" s="7"/>
    </row>
    <row r="1713">
      <c r="F1713" s="3"/>
      <c r="G1713" s="7"/>
    </row>
    <row r="1714">
      <c r="F1714" s="3"/>
      <c r="G1714" s="7"/>
    </row>
    <row r="1715">
      <c r="F1715" s="3"/>
      <c r="G1715" s="7"/>
    </row>
    <row r="1716">
      <c r="F1716" s="3"/>
      <c r="G1716" s="7"/>
    </row>
    <row r="1717">
      <c r="F1717" s="3"/>
      <c r="G1717" s="7"/>
    </row>
    <row r="1718">
      <c r="F1718" s="3"/>
      <c r="G1718" s="7"/>
    </row>
    <row r="1719">
      <c r="F1719" s="3"/>
      <c r="G1719" s="7"/>
    </row>
    <row r="1720">
      <c r="F1720" s="3"/>
      <c r="G1720" s="7"/>
    </row>
    <row r="1721">
      <c r="F1721" s="3"/>
      <c r="G1721" s="7"/>
    </row>
    <row r="1722">
      <c r="F1722" s="3"/>
      <c r="G1722" s="7"/>
    </row>
    <row r="1723">
      <c r="F1723" s="3"/>
      <c r="G1723" s="7"/>
    </row>
    <row r="1724">
      <c r="F1724" s="3"/>
      <c r="G1724" s="7"/>
    </row>
    <row r="1725">
      <c r="F1725" s="3"/>
      <c r="G1725" s="7"/>
    </row>
    <row r="1726">
      <c r="F1726" s="3"/>
      <c r="G1726" s="7"/>
    </row>
    <row r="1727">
      <c r="F1727" s="3"/>
      <c r="G1727" s="7"/>
    </row>
    <row r="1728">
      <c r="F1728" s="3"/>
      <c r="G1728" s="7"/>
    </row>
    <row r="1729">
      <c r="F1729" s="3"/>
      <c r="G1729" s="7"/>
    </row>
    <row r="1730">
      <c r="F1730" s="3"/>
      <c r="G1730" s="7"/>
    </row>
    <row r="1731">
      <c r="F1731" s="3"/>
      <c r="G1731" s="7"/>
    </row>
    <row r="1732">
      <c r="F1732" s="3"/>
      <c r="G1732" s="7"/>
    </row>
    <row r="1733">
      <c r="F1733" s="3"/>
      <c r="G1733" s="7"/>
    </row>
    <row r="1734">
      <c r="F1734" s="3"/>
      <c r="G1734" s="7"/>
    </row>
    <row r="1735">
      <c r="F1735" s="3"/>
      <c r="G1735" s="7"/>
    </row>
    <row r="1736">
      <c r="F1736" s="3"/>
      <c r="G1736" s="7"/>
    </row>
    <row r="1737">
      <c r="F1737" s="3"/>
      <c r="G1737" s="7"/>
    </row>
    <row r="1738">
      <c r="F1738" s="3"/>
      <c r="G1738" s="7"/>
    </row>
    <row r="1739">
      <c r="F1739" s="3"/>
      <c r="G1739" s="7"/>
    </row>
    <row r="1740">
      <c r="F1740" s="3"/>
      <c r="G1740" s="7"/>
    </row>
    <row r="1741">
      <c r="F1741" s="3"/>
      <c r="G1741" s="7"/>
    </row>
    <row r="1742">
      <c r="F1742" s="3"/>
      <c r="G1742" s="7"/>
    </row>
    <row r="1743">
      <c r="F1743" s="3"/>
      <c r="G1743" s="7"/>
    </row>
    <row r="1744">
      <c r="F1744" s="3"/>
      <c r="G1744" s="7"/>
    </row>
    <row r="1745">
      <c r="F1745" s="3"/>
      <c r="G1745" s="7"/>
    </row>
    <row r="1746">
      <c r="F1746" s="3"/>
      <c r="G1746" s="7"/>
    </row>
    <row r="1747">
      <c r="F1747" s="3"/>
      <c r="G1747" s="7"/>
    </row>
    <row r="1748">
      <c r="F1748" s="3"/>
      <c r="G1748" s="7"/>
    </row>
    <row r="1749">
      <c r="F1749" s="3"/>
      <c r="G1749" s="7"/>
    </row>
    <row r="1750">
      <c r="F1750" s="3"/>
      <c r="G1750" s="7"/>
    </row>
    <row r="1751">
      <c r="F1751" s="3"/>
      <c r="G1751" s="7"/>
    </row>
    <row r="1752">
      <c r="F1752" s="3"/>
      <c r="G1752" s="7"/>
    </row>
    <row r="1753">
      <c r="F1753" s="3"/>
      <c r="G1753" s="7"/>
    </row>
    <row r="1754">
      <c r="F1754" s="3"/>
      <c r="G1754" s="7"/>
    </row>
    <row r="1755">
      <c r="F1755" s="3"/>
      <c r="G1755" s="7"/>
    </row>
    <row r="1756">
      <c r="F1756" s="3"/>
      <c r="G1756" s="7"/>
    </row>
    <row r="1757">
      <c r="F1757" s="3"/>
      <c r="G1757" s="7"/>
    </row>
    <row r="1758">
      <c r="F1758" s="3"/>
      <c r="G1758" s="7"/>
    </row>
    <row r="1759">
      <c r="F1759" s="3"/>
      <c r="G1759" s="7"/>
    </row>
    <row r="1760">
      <c r="F1760" s="3"/>
      <c r="G1760" s="7"/>
    </row>
    <row r="1761">
      <c r="F1761" s="3"/>
      <c r="G1761" s="7"/>
    </row>
    <row r="1762">
      <c r="F1762" s="3"/>
      <c r="G1762" s="7"/>
    </row>
    <row r="1763">
      <c r="F1763" s="3"/>
      <c r="G1763" s="7"/>
    </row>
    <row r="1764">
      <c r="F1764" s="3"/>
      <c r="G1764" s="7"/>
    </row>
    <row r="1765">
      <c r="F1765" s="3"/>
      <c r="G1765" s="7"/>
    </row>
    <row r="1766">
      <c r="F1766" s="3"/>
      <c r="G1766" s="7"/>
    </row>
    <row r="1767">
      <c r="F1767" s="3"/>
      <c r="G1767" s="7"/>
    </row>
    <row r="1768">
      <c r="F1768" s="3"/>
      <c r="G1768" s="7"/>
    </row>
    <row r="1769">
      <c r="F1769" s="3"/>
      <c r="G1769" s="7"/>
    </row>
    <row r="1770">
      <c r="F1770" s="3"/>
      <c r="G1770" s="7"/>
    </row>
    <row r="1771">
      <c r="F1771" s="3"/>
      <c r="G1771" s="7"/>
    </row>
    <row r="1772">
      <c r="F1772" s="3"/>
      <c r="G1772" s="7"/>
    </row>
    <row r="1773">
      <c r="F1773" s="3"/>
      <c r="G1773" s="7"/>
    </row>
    <row r="1774">
      <c r="F1774" s="3"/>
      <c r="G1774" s="7"/>
    </row>
    <row r="1775">
      <c r="F1775" s="3"/>
      <c r="G1775" s="7"/>
    </row>
    <row r="1776">
      <c r="F1776" s="3"/>
      <c r="G1776" s="7"/>
    </row>
    <row r="1777">
      <c r="F1777" s="3"/>
      <c r="G1777" s="7"/>
    </row>
    <row r="1778">
      <c r="F1778" s="3"/>
      <c r="G1778" s="7"/>
    </row>
    <row r="1779">
      <c r="F1779" s="3"/>
      <c r="G1779" s="7"/>
    </row>
    <row r="1780">
      <c r="F1780" s="3"/>
      <c r="G1780" s="7"/>
    </row>
    <row r="1781">
      <c r="F1781" s="3"/>
      <c r="G1781" s="7"/>
    </row>
    <row r="1782">
      <c r="F1782" s="3"/>
      <c r="G1782" s="7"/>
    </row>
    <row r="1783">
      <c r="F1783" s="3"/>
      <c r="G1783" s="7"/>
    </row>
    <row r="1784">
      <c r="F1784" s="3"/>
      <c r="G1784" s="7"/>
    </row>
    <row r="1785">
      <c r="F1785" s="3"/>
      <c r="G1785" s="7"/>
    </row>
    <row r="1786">
      <c r="F1786" s="3"/>
      <c r="G1786" s="7"/>
    </row>
    <row r="1787">
      <c r="F1787" s="3"/>
      <c r="G1787" s="7"/>
    </row>
    <row r="1788">
      <c r="F1788" s="3"/>
      <c r="G1788" s="7"/>
    </row>
    <row r="1789">
      <c r="F1789" s="3"/>
      <c r="G1789" s="7"/>
    </row>
    <row r="1790">
      <c r="F1790" s="3"/>
      <c r="G1790" s="7"/>
    </row>
    <row r="1791">
      <c r="F1791" s="3"/>
      <c r="G1791" s="7"/>
    </row>
    <row r="1792">
      <c r="F1792" s="3"/>
      <c r="G1792" s="7"/>
    </row>
    <row r="1793">
      <c r="F1793" s="3"/>
      <c r="G1793" s="7"/>
    </row>
    <row r="1794">
      <c r="F1794" s="3"/>
      <c r="G1794" s="7"/>
    </row>
    <row r="1795">
      <c r="F1795" s="3"/>
      <c r="G1795" s="7"/>
    </row>
    <row r="1796">
      <c r="F1796" s="3"/>
      <c r="G1796" s="7"/>
    </row>
    <row r="1797">
      <c r="F1797" s="3"/>
      <c r="G1797" s="7"/>
    </row>
    <row r="1798">
      <c r="F1798" s="3"/>
      <c r="G1798" s="7"/>
    </row>
    <row r="1799">
      <c r="F1799" s="3"/>
      <c r="G1799" s="7"/>
    </row>
    <row r="1800">
      <c r="F1800" s="3"/>
      <c r="G1800" s="7"/>
    </row>
    <row r="1801">
      <c r="F1801" s="3"/>
      <c r="G1801" s="7"/>
    </row>
    <row r="1802">
      <c r="F1802" s="3"/>
      <c r="G1802" s="7"/>
    </row>
    <row r="1803">
      <c r="F1803" s="3"/>
      <c r="G1803" s="7"/>
    </row>
    <row r="1804">
      <c r="F1804" s="3"/>
      <c r="G1804" s="7"/>
    </row>
    <row r="1805">
      <c r="F1805" s="3"/>
      <c r="G1805" s="7"/>
    </row>
    <row r="1806">
      <c r="F1806" s="3"/>
      <c r="G1806" s="7"/>
    </row>
    <row r="1807">
      <c r="F1807" s="3"/>
      <c r="G1807" s="7"/>
    </row>
    <row r="1808">
      <c r="F1808" s="3"/>
      <c r="G1808" s="7"/>
    </row>
    <row r="1809">
      <c r="F1809" s="3"/>
      <c r="G1809" s="7"/>
    </row>
    <row r="1810">
      <c r="F1810" s="3"/>
      <c r="G1810" s="7"/>
    </row>
    <row r="1811">
      <c r="F1811" s="3"/>
      <c r="G1811" s="7"/>
    </row>
    <row r="1812">
      <c r="F1812" s="3"/>
      <c r="G1812" s="7"/>
    </row>
    <row r="1813">
      <c r="F1813" s="3"/>
      <c r="G1813" s="7"/>
    </row>
    <row r="1814">
      <c r="F1814" s="3"/>
      <c r="G1814" s="7"/>
    </row>
    <row r="1815">
      <c r="F1815" s="3"/>
      <c r="G1815" s="7"/>
    </row>
    <row r="1816">
      <c r="F1816" s="3"/>
      <c r="G1816" s="7"/>
    </row>
    <row r="1817">
      <c r="F1817" s="3"/>
      <c r="G1817" s="7"/>
    </row>
    <row r="1818">
      <c r="F1818" s="3"/>
      <c r="G1818" s="7"/>
    </row>
    <row r="1819">
      <c r="F1819" s="3"/>
      <c r="G1819" s="7"/>
    </row>
    <row r="1820">
      <c r="F1820" s="3"/>
      <c r="G1820" s="7"/>
    </row>
    <row r="1821">
      <c r="F1821" s="3"/>
      <c r="G1821" s="7"/>
    </row>
    <row r="1822">
      <c r="F1822" s="3"/>
      <c r="G1822" s="7"/>
    </row>
    <row r="1823">
      <c r="F1823" s="3"/>
      <c r="G1823" s="7"/>
    </row>
    <row r="1824">
      <c r="F1824" s="3"/>
      <c r="G1824" s="7"/>
    </row>
    <row r="1825">
      <c r="F1825" s="3"/>
      <c r="G1825" s="7"/>
    </row>
    <row r="1826">
      <c r="F1826" s="3"/>
      <c r="G1826" s="7"/>
    </row>
    <row r="1827">
      <c r="F1827" s="3"/>
      <c r="G1827" s="7"/>
    </row>
    <row r="1828">
      <c r="F1828" s="3"/>
      <c r="G1828" s="7"/>
    </row>
    <row r="1829">
      <c r="F1829" s="3"/>
      <c r="G1829" s="7"/>
    </row>
    <row r="1830">
      <c r="F1830" s="3"/>
      <c r="G1830" s="7"/>
    </row>
    <row r="1831">
      <c r="F1831" s="3"/>
      <c r="G1831" s="7"/>
    </row>
    <row r="1832">
      <c r="F1832" s="3"/>
      <c r="G1832" s="7"/>
    </row>
    <row r="1833">
      <c r="F1833" s="3"/>
      <c r="G1833" s="7"/>
    </row>
    <row r="1834">
      <c r="F1834" s="3"/>
      <c r="G1834" s="7"/>
    </row>
    <row r="1835">
      <c r="F1835" s="3"/>
      <c r="G1835" s="7"/>
    </row>
    <row r="1836">
      <c r="F1836" s="3"/>
      <c r="G1836" s="7"/>
    </row>
    <row r="1837">
      <c r="F1837" s="3"/>
      <c r="G1837" s="7"/>
    </row>
    <row r="1838">
      <c r="F1838" s="3"/>
      <c r="G1838" s="7"/>
    </row>
    <row r="1839">
      <c r="F1839" s="3"/>
      <c r="G1839" s="7"/>
    </row>
    <row r="1840">
      <c r="F1840" s="3"/>
      <c r="G1840" s="7"/>
    </row>
    <row r="1841">
      <c r="F1841" s="3"/>
      <c r="G1841" s="7"/>
    </row>
  </sheetData>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 t="s">
        <v>175</v>
      </c>
      <c r="B1" s="44" t="s">
        <v>176</v>
      </c>
      <c r="C1" s="44" t="s">
        <v>3</v>
      </c>
      <c r="D1" s="44" t="s">
        <v>4</v>
      </c>
      <c r="E1" s="44" t="s">
        <v>64</v>
      </c>
      <c r="F1" s="44" t="s">
        <v>79</v>
      </c>
      <c r="G1" s="45"/>
      <c r="H1" s="45"/>
      <c r="I1" s="46" t="s">
        <v>177</v>
      </c>
      <c r="J1" s="46" t="s">
        <v>178</v>
      </c>
      <c r="K1" s="46" t="s">
        <v>68</v>
      </c>
      <c r="L1" s="46" t="s">
        <v>179</v>
      </c>
      <c r="M1" s="44" t="s">
        <v>67</v>
      </c>
      <c r="N1" s="47" t="s">
        <v>71</v>
      </c>
    </row>
    <row r="2">
      <c r="A2" s="48">
        <v>532.0</v>
      </c>
      <c r="B2" s="49">
        <v>45306.0</v>
      </c>
      <c r="C2" s="50">
        <v>3000.0</v>
      </c>
      <c r="D2" s="51">
        <v>21998.88038635254</v>
      </c>
      <c r="E2" s="52" t="s">
        <v>46</v>
      </c>
      <c r="F2" s="52" t="s">
        <v>112</v>
      </c>
      <c r="G2" s="52" t="s">
        <v>180</v>
      </c>
      <c r="H2" s="53"/>
      <c r="I2" s="54" t="s">
        <v>181</v>
      </c>
      <c r="J2" s="54">
        <v>1.0</v>
      </c>
      <c r="K2" s="54" t="s">
        <v>77</v>
      </c>
      <c r="L2" s="54" t="s">
        <v>111</v>
      </c>
      <c r="M2" s="52" t="s">
        <v>73</v>
      </c>
      <c r="N2" s="55" t="s">
        <v>80</v>
      </c>
    </row>
    <row r="3">
      <c r="A3" s="48">
        <v>534.0</v>
      </c>
      <c r="B3" s="49">
        <v>45309.0</v>
      </c>
      <c r="C3" s="50">
        <v>433.5</v>
      </c>
      <c r="D3" s="51">
        <v>2950.972444295883</v>
      </c>
      <c r="E3" s="52" t="s">
        <v>81</v>
      </c>
      <c r="F3" s="52" t="s">
        <v>86</v>
      </c>
      <c r="G3" s="52" t="s">
        <v>182</v>
      </c>
      <c r="H3" s="53"/>
      <c r="I3" s="54" t="s">
        <v>181</v>
      </c>
      <c r="J3" s="54">
        <v>1.0</v>
      </c>
      <c r="K3" s="54" t="s">
        <v>77</v>
      </c>
      <c r="L3" s="54" t="s">
        <v>111</v>
      </c>
      <c r="M3" s="52" t="s">
        <v>73</v>
      </c>
      <c r="N3" s="55" t="s">
        <v>80</v>
      </c>
    </row>
    <row r="4">
      <c r="A4" s="48">
        <v>537.0</v>
      </c>
      <c r="B4" s="49">
        <v>45293.0</v>
      </c>
      <c r="C4" s="50">
        <v>1987.0</v>
      </c>
      <c r="D4" s="51">
        <v>15660.492663860321</v>
      </c>
      <c r="E4" s="52" t="s">
        <v>81</v>
      </c>
      <c r="F4" s="52" t="s">
        <v>97</v>
      </c>
      <c r="G4" s="52" t="s">
        <v>183</v>
      </c>
      <c r="H4" s="53"/>
      <c r="I4" s="54" t="s">
        <v>181</v>
      </c>
      <c r="J4" s="54">
        <v>1.0</v>
      </c>
      <c r="K4" s="54" t="s">
        <v>77</v>
      </c>
      <c r="L4" s="54" t="s">
        <v>111</v>
      </c>
      <c r="M4" s="52" t="s">
        <v>73</v>
      </c>
      <c r="N4" s="55" t="s">
        <v>80</v>
      </c>
    </row>
    <row r="5">
      <c r="A5" s="48">
        <v>538.0</v>
      </c>
      <c r="B5" s="49">
        <v>45297.0</v>
      </c>
      <c r="C5" s="50">
        <v>277.0</v>
      </c>
      <c r="D5" s="51">
        <v>2071.3916482925415</v>
      </c>
      <c r="E5" s="52" t="s">
        <v>81</v>
      </c>
      <c r="F5" s="52" t="s">
        <v>97</v>
      </c>
      <c r="G5" s="52" t="s">
        <v>184</v>
      </c>
      <c r="H5" s="53"/>
      <c r="I5" s="54" t="s">
        <v>181</v>
      </c>
      <c r="J5" s="54">
        <v>1.0</v>
      </c>
      <c r="K5" s="54" t="s">
        <v>77</v>
      </c>
      <c r="L5" s="54" t="s">
        <v>111</v>
      </c>
      <c r="M5" s="52" t="s">
        <v>73</v>
      </c>
      <c r="N5" s="55" t="s">
        <v>80</v>
      </c>
    </row>
    <row r="6">
      <c r="A6" s="48">
        <v>539.0</v>
      </c>
      <c r="B6" s="49">
        <v>45297.0</v>
      </c>
      <c r="C6" s="50">
        <v>744.5</v>
      </c>
      <c r="D6" s="51">
        <v>5567.332426548004</v>
      </c>
      <c r="E6" s="52" t="s">
        <v>81</v>
      </c>
      <c r="F6" s="52" t="s">
        <v>97</v>
      </c>
      <c r="G6" s="52" t="s">
        <v>185</v>
      </c>
      <c r="H6" s="53"/>
      <c r="I6" s="54" t="s">
        <v>181</v>
      </c>
      <c r="J6" s="54">
        <v>1.0</v>
      </c>
      <c r="K6" s="54" t="s">
        <v>77</v>
      </c>
      <c r="L6" s="54" t="s">
        <v>111</v>
      </c>
      <c r="M6" s="52" t="s">
        <v>73</v>
      </c>
      <c r="N6" s="55" t="s">
        <v>80</v>
      </c>
    </row>
    <row r="7">
      <c r="A7" s="48">
        <v>540.0</v>
      </c>
      <c r="B7" s="49">
        <v>45297.0</v>
      </c>
      <c r="C7" s="50">
        <v>288.0</v>
      </c>
      <c r="D7" s="51">
        <v>2153.6490783691406</v>
      </c>
      <c r="E7" s="52" t="s">
        <v>81</v>
      </c>
      <c r="F7" s="52" t="s">
        <v>86</v>
      </c>
      <c r="G7" s="52" t="s">
        <v>186</v>
      </c>
      <c r="H7" s="53"/>
      <c r="I7" s="54" t="s">
        <v>181</v>
      </c>
      <c r="J7" s="54">
        <v>1.0</v>
      </c>
      <c r="K7" s="54" t="s">
        <v>77</v>
      </c>
      <c r="L7" s="54" t="s">
        <v>111</v>
      </c>
      <c r="M7" s="52" t="s">
        <v>73</v>
      </c>
      <c r="N7" s="55" t="s">
        <v>80</v>
      </c>
    </row>
    <row r="8">
      <c r="A8" s="48">
        <v>541.0</v>
      </c>
      <c r="B8" s="49">
        <v>45297.0</v>
      </c>
      <c r="C8" s="50">
        <v>1172.3</v>
      </c>
      <c r="D8" s="51">
        <v>8766.398661708832</v>
      </c>
      <c r="E8" s="52" t="s">
        <v>81</v>
      </c>
      <c r="F8" s="52" t="s">
        <v>86</v>
      </c>
      <c r="G8" s="52" t="s">
        <v>187</v>
      </c>
      <c r="H8" s="53"/>
      <c r="I8" s="54" t="s">
        <v>181</v>
      </c>
      <c r="J8" s="54">
        <v>1.0</v>
      </c>
      <c r="K8" s="54" t="s">
        <v>77</v>
      </c>
      <c r="L8" s="54" t="s">
        <v>111</v>
      </c>
      <c r="M8" s="52" t="s">
        <v>73</v>
      </c>
      <c r="N8" s="55" t="s">
        <v>80</v>
      </c>
    </row>
    <row r="9">
      <c r="A9" s="48">
        <v>542.0</v>
      </c>
      <c r="B9" s="49">
        <v>45294.0</v>
      </c>
      <c r="C9" s="50">
        <v>935.5</v>
      </c>
      <c r="D9" s="51">
        <v>6678.376530170441</v>
      </c>
      <c r="E9" s="52" t="s">
        <v>81</v>
      </c>
      <c r="F9" s="52" t="s">
        <v>86</v>
      </c>
      <c r="G9" s="52" t="s">
        <v>188</v>
      </c>
      <c r="H9" s="53"/>
      <c r="I9" s="54" t="s">
        <v>181</v>
      </c>
      <c r="J9" s="54">
        <v>1.0</v>
      </c>
      <c r="K9" s="54" t="s">
        <v>77</v>
      </c>
      <c r="L9" s="54" t="s">
        <v>111</v>
      </c>
      <c r="M9" s="52" t="s">
        <v>73</v>
      </c>
      <c r="N9" s="55" t="s">
        <v>80</v>
      </c>
    </row>
    <row r="10">
      <c r="A10" s="48">
        <v>543.0</v>
      </c>
      <c r="B10" s="49">
        <v>45294.0</v>
      </c>
      <c r="C10" s="50">
        <v>11074.0</v>
      </c>
      <c r="D10" s="51">
        <v>79055.41602897644</v>
      </c>
      <c r="E10" s="52" t="s">
        <v>81</v>
      </c>
      <c r="F10" s="52" t="s">
        <v>86</v>
      </c>
      <c r="G10" s="52" t="s">
        <v>189</v>
      </c>
      <c r="H10" s="53"/>
      <c r="I10" s="54" t="s">
        <v>181</v>
      </c>
      <c r="J10" s="54">
        <v>1.0</v>
      </c>
      <c r="K10" s="54" t="s">
        <v>77</v>
      </c>
      <c r="L10" s="54" t="s">
        <v>111</v>
      </c>
      <c r="M10" s="52" t="s">
        <v>73</v>
      </c>
      <c r="N10" s="55" t="s">
        <v>80</v>
      </c>
    </row>
    <row r="11">
      <c r="A11" s="48">
        <v>547.0</v>
      </c>
      <c r="B11" s="49">
        <v>45294.0</v>
      </c>
      <c r="C11" s="50">
        <v>203.6031589339</v>
      </c>
      <c r="D11" s="51">
        <v>1453.4885709168573</v>
      </c>
      <c r="E11" s="52" t="s">
        <v>81</v>
      </c>
      <c r="F11" s="52" t="s">
        <v>93</v>
      </c>
      <c r="G11" s="52" t="s">
        <v>190</v>
      </c>
      <c r="H11" s="53"/>
      <c r="I11" s="54" t="s">
        <v>181</v>
      </c>
      <c r="J11" s="54">
        <v>1.0</v>
      </c>
      <c r="K11" s="54" t="s">
        <v>77</v>
      </c>
      <c r="L11" s="54" t="s">
        <v>111</v>
      </c>
      <c r="M11" s="52" t="s">
        <v>73</v>
      </c>
      <c r="N11" s="55" t="s">
        <v>80</v>
      </c>
    </row>
    <row r="12">
      <c r="A12" s="48">
        <v>548.0</v>
      </c>
      <c r="B12" s="49">
        <v>45294.0</v>
      </c>
      <c r="C12" s="50">
        <v>172.754195459</v>
      </c>
      <c r="D12" s="51">
        <v>1286.2520533274026</v>
      </c>
      <c r="E12" s="52" t="s">
        <v>81</v>
      </c>
      <c r="F12" s="52" t="s">
        <v>93</v>
      </c>
      <c r="G12" s="52" t="s">
        <v>191</v>
      </c>
      <c r="H12" s="53"/>
      <c r="I12" s="54" t="s">
        <v>181</v>
      </c>
      <c r="J12" s="54">
        <v>1.0</v>
      </c>
      <c r="K12" s="54" t="s">
        <v>77</v>
      </c>
      <c r="L12" s="54" t="s">
        <v>111</v>
      </c>
      <c r="M12" s="52" t="s">
        <v>73</v>
      </c>
      <c r="N12" s="55" t="s">
        <v>80</v>
      </c>
    </row>
    <row r="13">
      <c r="A13" s="48">
        <v>549.0</v>
      </c>
      <c r="B13" s="49">
        <v>45293.0</v>
      </c>
      <c r="C13" s="50">
        <v>172.754195459</v>
      </c>
      <c r="D13" s="51">
        <v>1286.2520533274026</v>
      </c>
      <c r="E13" s="52" t="s">
        <v>81</v>
      </c>
      <c r="F13" s="52" t="s">
        <v>93</v>
      </c>
      <c r="G13" s="52" t="s">
        <v>192</v>
      </c>
      <c r="H13" s="53"/>
      <c r="I13" s="54" t="s">
        <v>181</v>
      </c>
      <c r="J13" s="54">
        <v>1.0</v>
      </c>
      <c r="K13" s="54" t="s">
        <v>77</v>
      </c>
      <c r="L13" s="54" t="s">
        <v>111</v>
      </c>
      <c r="M13" s="52" t="s">
        <v>73</v>
      </c>
      <c r="N13" s="55" t="s">
        <v>80</v>
      </c>
    </row>
    <row r="14">
      <c r="A14" s="48">
        <v>550.0</v>
      </c>
      <c r="B14" s="49">
        <v>45293.0</v>
      </c>
      <c r="C14" s="50">
        <v>172.754195459</v>
      </c>
      <c r="D14" s="51">
        <v>1286.2520533274026</v>
      </c>
      <c r="E14" s="52" t="s">
        <v>81</v>
      </c>
      <c r="F14" s="52" t="s">
        <v>93</v>
      </c>
      <c r="G14" s="52" t="s">
        <v>193</v>
      </c>
      <c r="H14" s="53"/>
      <c r="I14" s="54" t="s">
        <v>181</v>
      </c>
      <c r="J14" s="54">
        <v>1.0</v>
      </c>
      <c r="K14" s="54" t="s">
        <v>77</v>
      </c>
      <c r="L14" s="54" t="s">
        <v>111</v>
      </c>
      <c r="M14" s="52" t="s">
        <v>73</v>
      </c>
      <c r="N14" s="55" t="s">
        <v>80</v>
      </c>
    </row>
    <row r="15">
      <c r="A15" s="48">
        <v>551.0</v>
      </c>
      <c r="B15" s="49">
        <v>45293.0</v>
      </c>
      <c r="C15" s="50">
        <v>172.754195459</v>
      </c>
      <c r="D15" s="51">
        <v>1286.2520533274026</v>
      </c>
      <c r="E15" s="52" t="s">
        <v>81</v>
      </c>
      <c r="F15" s="52" t="s">
        <v>93</v>
      </c>
      <c r="G15" s="52" t="s">
        <v>194</v>
      </c>
      <c r="H15" s="53"/>
      <c r="I15" s="54" t="s">
        <v>181</v>
      </c>
      <c r="J15" s="54">
        <v>1.0</v>
      </c>
      <c r="K15" s="54" t="s">
        <v>77</v>
      </c>
      <c r="L15" s="54" t="s">
        <v>111</v>
      </c>
      <c r="M15" s="52" t="s">
        <v>73</v>
      </c>
      <c r="N15" s="55" t="s">
        <v>80</v>
      </c>
    </row>
    <row r="16">
      <c r="A16" s="48">
        <v>552.0</v>
      </c>
      <c r="B16" s="49">
        <v>45293.0</v>
      </c>
      <c r="C16" s="50">
        <v>172.754195459</v>
      </c>
      <c r="D16" s="51">
        <v>1286.2520533274026</v>
      </c>
      <c r="E16" s="52" t="s">
        <v>81</v>
      </c>
      <c r="F16" s="52" t="s">
        <v>93</v>
      </c>
      <c r="G16" s="52" t="s">
        <v>195</v>
      </c>
      <c r="H16" s="53"/>
      <c r="I16" s="54" t="s">
        <v>181</v>
      </c>
      <c r="J16" s="54">
        <v>1.0</v>
      </c>
      <c r="K16" s="54" t="s">
        <v>77</v>
      </c>
      <c r="L16" s="54" t="s">
        <v>111</v>
      </c>
      <c r="M16" s="52" t="s">
        <v>73</v>
      </c>
      <c r="N16" s="55" t="s">
        <v>80</v>
      </c>
    </row>
    <row r="17">
      <c r="A17" s="48">
        <v>553.0</v>
      </c>
      <c r="B17" s="49">
        <v>45293.0</v>
      </c>
      <c r="C17" s="50">
        <v>189.4126357354</v>
      </c>
      <c r="D17" s="51">
        <v>1410.283501326804</v>
      </c>
      <c r="E17" s="52" t="s">
        <v>81</v>
      </c>
      <c r="F17" s="52" t="s">
        <v>93</v>
      </c>
      <c r="G17" s="52" t="s">
        <v>196</v>
      </c>
      <c r="H17" s="53"/>
      <c r="I17" s="54" t="s">
        <v>181</v>
      </c>
      <c r="J17" s="54">
        <v>1.0</v>
      </c>
      <c r="K17" s="54" t="s">
        <v>77</v>
      </c>
      <c r="L17" s="54" t="s">
        <v>111</v>
      </c>
      <c r="M17" s="52" t="s">
        <v>73</v>
      </c>
      <c r="N17" s="55" t="s">
        <v>80</v>
      </c>
    </row>
    <row r="18">
      <c r="A18" s="48">
        <v>554.0</v>
      </c>
      <c r="B18" s="49">
        <v>45293.0</v>
      </c>
      <c r="C18" s="50">
        <v>189.4126357354</v>
      </c>
      <c r="D18" s="51">
        <v>1410.283501326804</v>
      </c>
      <c r="E18" s="52" t="s">
        <v>81</v>
      </c>
      <c r="F18" s="52" t="s">
        <v>93</v>
      </c>
      <c r="G18" s="52" t="s">
        <v>197</v>
      </c>
      <c r="H18" s="53"/>
      <c r="I18" s="54" t="s">
        <v>181</v>
      </c>
      <c r="J18" s="54">
        <v>1.0</v>
      </c>
      <c r="K18" s="54" t="s">
        <v>77</v>
      </c>
      <c r="L18" s="54" t="s">
        <v>111</v>
      </c>
      <c r="M18" s="52" t="s">
        <v>73</v>
      </c>
      <c r="N18" s="55" t="s">
        <v>80</v>
      </c>
    </row>
    <row r="19">
      <c r="A19" s="48">
        <v>555.0</v>
      </c>
      <c r="B19" s="49">
        <v>45293.0</v>
      </c>
      <c r="C19" s="50">
        <v>172.754195459</v>
      </c>
      <c r="D19" s="51">
        <v>1286.2520533274026</v>
      </c>
      <c r="E19" s="52" t="s">
        <v>81</v>
      </c>
      <c r="F19" s="52" t="s">
        <v>93</v>
      </c>
      <c r="G19" s="52" t="s">
        <v>198</v>
      </c>
      <c r="H19" s="53"/>
      <c r="I19" s="54" t="s">
        <v>181</v>
      </c>
      <c r="J19" s="54">
        <v>1.0</v>
      </c>
      <c r="K19" s="54" t="s">
        <v>77</v>
      </c>
      <c r="L19" s="54" t="s">
        <v>111</v>
      </c>
      <c r="M19" s="52" t="s">
        <v>73</v>
      </c>
      <c r="N19" s="55" t="s">
        <v>80</v>
      </c>
    </row>
    <row r="20">
      <c r="A20" s="48">
        <v>556.0</v>
      </c>
      <c r="B20" s="49">
        <v>45294.0</v>
      </c>
      <c r="C20" s="50">
        <v>172.754195459</v>
      </c>
      <c r="D20" s="51">
        <v>1286.2520533274026</v>
      </c>
      <c r="E20" s="52" t="s">
        <v>81</v>
      </c>
      <c r="F20" s="52" t="s">
        <v>93</v>
      </c>
      <c r="G20" s="52" t="s">
        <v>199</v>
      </c>
      <c r="H20" s="53"/>
      <c r="I20" s="54" t="s">
        <v>181</v>
      </c>
      <c r="J20" s="54">
        <v>1.0</v>
      </c>
      <c r="K20" s="54" t="s">
        <v>77</v>
      </c>
      <c r="L20" s="54" t="s">
        <v>111</v>
      </c>
      <c r="M20" s="52" t="s">
        <v>73</v>
      </c>
      <c r="N20" s="55" t="s">
        <v>80</v>
      </c>
    </row>
    <row r="21">
      <c r="A21" s="48">
        <v>557.0</v>
      </c>
      <c r="B21" s="49">
        <v>45304.0</v>
      </c>
      <c r="C21" s="50">
        <v>172.754195459</v>
      </c>
      <c r="D21" s="51">
        <v>1298.7292413059508</v>
      </c>
      <c r="E21" s="52" t="s">
        <v>81</v>
      </c>
      <c r="F21" s="52" t="s">
        <v>93</v>
      </c>
      <c r="G21" s="52" t="s">
        <v>200</v>
      </c>
      <c r="H21" s="53"/>
      <c r="I21" s="54" t="s">
        <v>181</v>
      </c>
      <c r="J21" s="54">
        <v>1.0</v>
      </c>
      <c r="K21" s="54" t="s">
        <v>77</v>
      </c>
      <c r="L21" s="54" t="s">
        <v>111</v>
      </c>
      <c r="M21" s="52" t="s">
        <v>73</v>
      </c>
      <c r="N21" s="55" t="s">
        <v>80</v>
      </c>
    </row>
    <row r="22">
      <c r="A22" s="48">
        <v>558.0</v>
      </c>
      <c r="B22" s="49">
        <v>45293.0</v>
      </c>
      <c r="C22" s="50">
        <v>172.754195459</v>
      </c>
      <c r="D22" s="51">
        <v>1286.2520533274026</v>
      </c>
      <c r="E22" s="52" t="s">
        <v>81</v>
      </c>
      <c r="F22" s="52" t="s">
        <v>93</v>
      </c>
      <c r="G22" s="52" t="s">
        <v>201</v>
      </c>
      <c r="H22" s="53"/>
      <c r="I22" s="54" t="s">
        <v>181</v>
      </c>
      <c r="J22" s="54">
        <v>1.0</v>
      </c>
      <c r="K22" s="54" t="s">
        <v>77</v>
      </c>
      <c r="L22" s="54" t="s">
        <v>111</v>
      </c>
      <c r="M22" s="52" t="s">
        <v>73</v>
      </c>
      <c r="N22" s="55" t="s">
        <v>80</v>
      </c>
    </row>
    <row r="23">
      <c r="A23" s="48">
        <v>559.0</v>
      </c>
      <c r="B23" s="49">
        <v>45296.0</v>
      </c>
      <c r="C23" s="50">
        <v>172.754195459</v>
      </c>
      <c r="D23" s="51">
        <v>1191.2840846022743</v>
      </c>
      <c r="E23" s="52" t="s">
        <v>81</v>
      </c>
      <c r="F23" s="52" t="s">
        <v>93</v>
      </c>
      <c r="G23" s="52" t="s">
        <v>202</v>
      </c>
      <c r="H23" s="53"/>
      <c r="I23" s="54" t="s">
        <v>181</v>
      </c>
      <c r="J23" s="54">
        <v>1.0</v>
      </c>
      <c r="K23" s="54" t="s">
        <v>77</v>
      </c>
      <c r="L23" s="54" t="s">
        <v>111</v>
      </c>
      <c r="M23" s="52" t="s">
        <v>73</v>
      </c>
      <c r="N23" s="55" t="s">
        <v>80</v>
      </c>
    </row>
    <row r="24">
      <c r="A24" s="48">
        <v>560.0</v>
      </c>
      <c r="B24" s="49">
        <v>45321.0</v>
      </c>
      <c r="C24" s="50">
        <v>9379.0</v>
      </c>
      <c r="D24" s="51">
        <v>63693.512467861176</v>
      </c>
      <c r="E24" s="52" t="s">
        <v>46</v>
      </c>
      <c r="F24" s="52" t="s">
        <v>112</v>
      </c>
      <c r="G24" s="52" t="s">
        <v>203</v>
      </c>
      <c r="H24" s="53"/>
      <c r="I24" s="54" t="s">
        <v>181</v>
      </c>
      <c r="J24" s="54">
        <v>1.0</v>
      </c>
      <c r="K24" s="54" t="s">
        <v>77</v>
      </c>
      <c r="L24" s="54" t="s">
        <v>111</v>
      </c>
      <c r="M24" s="52" t="s">
        <v>73</v>
      </c>
      <c r="N24" s="55" t="s">
        <v>80</v>
      </c>
    </row>
    <row r="25">
      <c r="A25" s="48">
        <v>561.0</v>
      </c>
      <c r="B25" s="49">
        <v>45327.0</v>
      </c>
      <c r="C25" s="50">
        <v>5876.0</v>
      </c>
      <c r="D25" s="51">
        <v>40779.0284576416</v>
      </c>
      <c r="E25" s="52" t="s">
        <v>46</v>
      </c>
      <c r="F25" s="52" t="s">
        <v>112</v>
      </c>
      <c r="G25" s="52" t="s">
        <v>204</v>
      </c>
      <c r="H25" s="53"/>
      <c r="I25" s="54" t="s">
        <v>181</v>
      </c>
      <c r="J25" s="54">
        <v>2.0</v>
      </c>
      <c r="K25" s="54" t="s">
        <v>77</v>
      </c>
      <c r="L25" s="54" t="s">
        <v>113</v>
      </c>
      <c r="M25" s="52" t="s">
        <v>73</v>
      </c>
      <c r="N25" s="55" t="s">
        <v>80</v>
      </c>
    </row>
    <row r="26">
      <c r="A26" s="48">
        <v>562.0</v>
      </c>
      <c r="B26" s="49">
        <v>45300.0</v>
      </c>
      <c r="C26" s="50">
        <v>198.487713</v>
      </c>
      <c r="D26" s="51">
        <v>1621.6821102949448</v>
      </c>
      <c r="E26" s="52" t="s">
        <v>50</v>
      </c>
      <c r="F26" s="52" t="s">
        <v>157</v>
      </c>
      <c r="G26" s="52" t="s">
        <v>205</v>
      </c>
      <c r="H26" s="53"/>
      <c r="I26" s="54" t="s">
        <v>181</v>
      </c>
      <c r="J26" s="54">
        <v>1.0</v>
      </c>
      <c r="K26" s="54" t="s">
        <v>77</v>
      </c>
      <c r="L26" s="54" t="s">
        <v>111</v>
      </c>
      <c r="M26" s="52" t="s">
        <v>73</v>
      </c>
      <c r="N26" s="55" t="s">
        <v>80</v>
      </c>
    </row>
    <row r="27">
      <c r="A27" s="48">
        <v>563.0</v>
      </c>
      <c r="B27" s="49">
        <v>45304.0</v>
      </c>
      <c r="C27" s="50">
        <v>85.0661626</v>
      </c>
      <c r="D27" s="51">
        <v>639.5092896052214</v>
      </c>
      <c r="E27" s="52" t="s">
        <v>50</v>
      </c>
      <c r="F27" s="52" t="s">
        <v>157</v>
      </c>
      <c r="G27" s="52" t="s">
        <v>206</v>
      </c>
      <c r="H27" s="53"/>
      <c r="I27" s="54" t="s">
        <v>181</v>
      </c>
      <c r="J27" s="54">
        <v>1.0</v>
      </c>
      <c r="K27" s="54" t="s">
        <v>77</v>
      </c>
      <c r="L27" s="54" t="s">
        <v>111</v>
      </c>
      <c r="M27" s="52" t="s">
        <v>73</v>
      </c>
      <c r="N27" s="55" t="s">
        <v>80</v>
      </c>
    </row>
    <row r="28">
      <c r="A28" s="48">
        <v>564.0</v>
      </c>
      <c r="B28" s="49">
        <v>45301.0</v>
      </c>
      <c r="C28" s="50">
        <v>70.888468</v>
      </c>
      <c r="D28" s="51">
        <v>539.6728530648785</v>
      </c>
      <c r="E28" s="52" t="s">
        <v>50</v>
      </c>
      <c r="F28" s="52" t="s">
        <v>157</v>
      </c>
      <c r="G28" s="52" t="s">
        <v>207</v>
      </c>
      <c r="H28" s="53"/>
      <c r="I28" s="54" t="s">
        <v>181</v>
      </c>
      <c r="J28" s="54">
        <v>1.0</v>
      </c>
      <c r="K28" s="54" t="s">
        <v>77</v>
      </c>
      <c r="L28" s="54" t="s">
        <v>111</v>
      </c>
      <c r="M28" s="52" t="s">
        <v>73</v>
      </c>
      <c r="N28" s="55" t="s">
        <v>80</v>
      </c>
    </row>
    <row r="29">
      <c r="A29" s="48">
        <v>565.0</v>
      </c>
      <c r="B29" s="49">
        <v>45301.0</v>
      </c>
      <c r="C29" s="50">
        <v>59.073724</v>
      </c>
      <c r="D29" s="51">
        <v>447.14520012408826</v>
      </c>
      <c r="E29" s="52" t="s">
        <v>50</v>
      </c>
      <c r="F29" s="52" t="s">
        <v>157</v>
      </c>
      <c r="G29" s="52" t="s">
        <v>208</v>
      </c>
      <c r="H29" s="53"/>
      <c r="I29" s="54" t="s">
        <v>181</v>
      </c>
      <c r="J29" s="54">
        <v>1.0</v>
      </c>
      <c r="K29" s="54" t="s">
        <v>77</v>
      </c>
      <c r="L29" s="54" t="s">
        <v>111</v>
      </c>
      <c r="M29" s="52" t="s">
        <v>73</v>
      </c>
      <c r="N29" s="55" t="s">
        <v>80</v>
      </c>
    </row>
    <row r="30">
      <c r="A30" s="48">
        <v>566.0</v>
      </c>
      <c r="B30" s="49">
        <v>45300.0</v>
      </c>
      <c r="C30" s="50">
        <v>59.073724</v>
      </c>
      <c r="D30" s="51">
        <v>482.6434843314514</v>
      </c>
      <c r="E30" s="52" t="s">
        <v>50</v>
      </c>
      <c r="F30" s="52" t="s">
        <v>157</v>
      </c>
      <c r="G30" s="52" t="s">
        <v>209</v>
      </c>
      <c r="H30" s="53"/>
      <c r="I30" s="54" t="s">
        <v>181</v>
      </c>
      <c r="J30" s="54">
        <v>1.0</v>
      </c>
      <c r="K30" s="54" t="s">
        <v>77</v>
      </c>
      <c r="L30" s="54" t="s">
        <v>111</v>
      </c>
      <c r="M30" s="52" t="s">
        <v>73</v>
      </c>
      <c r="N30" s="55" t="s">
        <v>80</v>
      </c>
    </row>
    <row r="31">
      <c r="A31" s="48">
        <v>567.0</v>
      </c>
      <c r="B31" s="49">
        <v>45300.0</v>
      </c>
      <c r="C31" s="50">
        <v>170.132325</v>
      </c>
      <c r="D31" s="51">
        <v>1390.0132338941576</v>
      </c>
      <c r="E31" s="52" t="s">
        <v>50</v>
      </c>
      <c r="F31" s="52" t="s">
        <v>157</v>
      </c>
      <c r="G31" s="52" t="s">
        <v>210</v>
      </c>
      <c r="H31" s="53"/>
      <c r="I31" s="54" t="s">
        <v>181</v>
      </c>
      <c r="J31" s="54">
        <v>1.0</v>
      </c>
      <c r="K31" s="54" t="s">
        <v>77</v>
      </c>
      <c r="L31" s="54" t="s">
        <v>111</v>
      </c>
      <c r="M31" s="52" t="s">
        <v>73</v>
      </c>
      <c r="N31" s="55" t="s">
        <v>80</v>
      </c>
    </row>
    <row r="32">
      <c r="A32" s="48">
        <v>568.0</v>
      </c>
      <c r="B32" s="49">
        <v>45302.0</v>
      </c>
      <c r="C32" s="50">
        <v>170.132325</v>
      </c>
      <c r="D32" s="51">
        <v>1246.5763622488976</v>
      </c>
      <c r="E32" s="52" t="s">
        <v>50</v>
      </c>
      <c r="F32" s="52" t="s">
        <v>157</v>
      </c>
      <c r="G32" s="52" t="s">
        <v>211</v>
      </c>
      <c r="H32" s="53"/>
      <c r="I32" s="54" t="s">
        <v>181</v>
      </c>
      <c r="J32" s="54">
        <v>1.0</v>
      </c>
      <c r="K32" s="54" t="s">
        <v>77</v>
      </c>
      <c r="L32" s="54" t="s">
        <v>111</v>
      </c>
      <c r="M32" s="52" t="s">
        <v>73</v>
      </c>
      <c r="N32" s="55" t="s">
        <v>80</v>
      </c>
    </row>
    <row r="33">
      <c r="A33" s="48">
        <v>569.0</v>
      </c>
      <c r="B33" s="49">
        <v>45302.0</v>
      </c>
      <c r="C33" s="50">
        <v>85.0661626</v>
      </c>
      <c r="D33" s="51">
        <v>623.2881818571586</v>
      </c>
      <c r="E33" s="52" t="s">
        <v>50</v>
      </c>
      <c r="F33" s="52" t="s">
        <v>157</v>
      </c>
      <c r="G33" s="52" t="s">
        <v>212</v>
      </c>
      <c r="H33" s="53"/>
      <c r="I33" s="54" t="s">
        <v>181</v>
      </c>
      <c r="J33" s="54">
        <v>1.0</v>
      </c>
      <c r="K33" s="54" t="s">
        <v>77</v>
      </c>
      <c r="L33" s="54" t="s">
        <v>111</v>
      </c>
      <c r="M33" s="52" t="s">
        <v>73</v>
      </c>
      <c r="N33" s="55" t="s">
        <v>80</v>
      </c>
    </row>
    <row r="34">
      <c r="A34" s="48">
        <v>570.0</v>
      </c>
      <c r="B34" s="49">
        <v>45300.0</v>
      </c>
      <c r="C34" s="50">
        <v>19.494328</v>
      </c>
      <c r="D34" s="51">
        <v>147.5579090772171</v>
      </c>
      <c r="E34" s="52" t="s">
        <v>50</v>
      </c>
      <c r="F34" s="52" t="s">
        <v>157</v>
      </c>
      <c r="G34" s="52" t="s">
        <v>213</v>
      </c>
      <c r="H34" s="53"/>
      <c r="I34" s="54" t="s">
        <v>181</v>
      </c>
      <c r="J34" s="54">
        <v>1.0</v>
      </c>
      <c r="K34" s="54" t="s">
        <v>77</v>
      </c>
      <c r="L34" s="54" t="s">
        <v>111</v>
      </c>
      <c r="M34" s="52" t="s">
        <v>73</v>
      </c>
      <c r="N34" s="55" t="s">
        <v>80</v>
      </c>
    </row>
    <row r="35">
      <c r="A35" s="48">
        <v>571.0</v>
      </c>
      <c r="B35" s="49">
        <v>45300.0</v>
      </c>
      <c r="C35" s="50">
        <v>141.776938</v>
      </c>
      <c r="D35" s="51">
        <v>1073.1484833255215</v>
      </c>
      <c r="E35" s="52" t="s">
        <v>50</v>
      </c>
      <c r="F35" s="52" t="s">
        <v>157</v>
      </c>
      <c r="G35" s="52" t="s">
        <v>214</v>
      </c>
      <c r="H35" s="53"/>
      <c r="I35" s="54" t="s">
        <v>181</v>
      </c>
      <c r="J35" s="54">
        <v>1.0</v>
      </c>
      <c r="K35" s="54" t="s">
        <v>77</v>
      </c>
      <c r="L35" s="54" t="s">
        <v>111</v>
      </c>
      <c r="M35" s="52" t="s">
        <v>73</v>
      </c>
      <c r="N35" s="55" t="s">
        <v>80</v>
      </c>
    </row>
    <row r="36">
      <c r="A36" s="48">
        <v>572.0</v>
      </c>
      <c r="B36" s="49">
        <v>45300.0</v>
      </c>
      <c r="C36" s="50">
        <v>59.073724</v>
      </c>
      <c r="D36" s="51">
        <v>447.14520012408826</v>
      </c>
      <c r="E36" s="52" t="s">
        <v>50</v>
      </c>
      <c r="F36" s="52" t="s">
        <v>157</v>
      </c>
      <c r="G36" s="52" t="s">
        <v>215</v>
      </c>
      <c r="H36" s="53"/>
      <c r="I36" s="54" t="s">
        <v>181</v>
      </c>
      <c r="J36" s="54">
        <v>1.0</v>
      </c>
      <c r="K36" s="54" t="s">
        <v>77</v>
      </c>
      <c r="L36" s="54" t="s">
        <v>111</v>
      </c>
      <c r="M36" s="52" t="s">
        <v>73</v>
      </c>
      <c r="N36" s="55" t="s">
        <v>80</v>
      </c>
    </row>
    <row r="37">
      <c r="A37" s="48">
        <v>573.0</v>
      </c>
      <c r="B37" s="49">
        <v>45302.0</v>
      </c>
      <c r="C37" s="50">
        <v>827.53</v>
      </c>
      <c r="D37" s="51">
        <v>6063.394108390808</v>
      </c>
      <c r="E37" s="52" t="s">
        <v>50</v>
      </c>
      <c r="F37" s="52" t="s">
        <v>157</v>
      </c>
      <c r="G37" s="52" t="s">
        <v>216</v>
      </c>
      <c r="H37" s="53"/>
      <c r="I37" s="54" t="s">
        <v>181</v>
      </c>
      <c r="J37" s="54">
        <v>1.0</v>
      </c>
      <c r="K37" s="54" t="s">
        <v>77</v>
      </c>
      <c r="L37" s="54" t="s">
        <v>111</v>
      </c>
      <c r="M37" s="52" t="s">
        <v>73</v>
      </c>
      <c r="N37" s="55" t="s">
        <v>80</v>
      </c>
    </row>
    <row r="38">
      <c r="A38" s="48">
        <v>574.0</v>
      </c>
      <c r="B38" s="49">
        <v>45304.0</v>
      </c>
      <c r="C38" s="50">
        <v>317.82</v>
      </c>
      <c r="D38" s="51">
        <v>2389.3030578804014</v>
      </c>
      <c r="E38" s="52" t="s">
        <v>50</v>
      </c>
      <c r="F38" s="52" t="s">
        <v>157</v>
      </c>
      <c r="G38" s="52" t="s">
        <v>217</v>
      </c>
      <c r="H38" s="53"/>
      <c r="I38" s="54" t="s">
        <v>181</v>
      </c>
      <c r="J38" s="54">
        <v>1.0</v>
      </c>
      <c r="K38" s="54" t="s">
        <v>77</v>
      </c>
      <c r="L38" s="54" t="s">
        <v>111</v>
      </c>
      <c r="M38" s="52" t="s">
        <v>73</v>
      </c>
      <c r="N38" s="55" t="s">
        <v>80</v>
      </c>
    </row>
    <row r="39">
      <c r="A39" s="48">
        <v>575.0</v>
      </c>
      <c r="B39" s="49">
        <v>45300.0</v>
      </c>
      <c r="C39" s="50">
        <v>324.79</v>
      </c>
      <c r="D39" s="51">
        <v>2458.4244857883455</v>
      </c>
      <c r="E39" s="52" t="s">
        <v>50</v>
      </c>
      <c r="F39" s="52" t="s">
        <v>157</v>
      </c>
      <c r="G39" s="52" t="s">
        <v>218</v>
      </c>
      <c r="H39" s="53"/>
      <c r="I39" s="54" t="s">
        <v>181</v>
      </c>
      <c r="J39" s="54">
        <v>1.0</v>
      </c>
      <c r="K39" s="54" t="s">
        <v>77</v>
      </c>
      <c r="L39" s="54" t="s">
        <v>111</v>
      </c>
      <c r="M39" s="52" t="s">
        <v>73</v>
      </c>
      <c r="N39" s="55" t="s">
        <v>80</v>
      </c>
    </row>
    <row r="40">
      <c r="A40" s="48">
        <v>576.0</v>
      </c>
      <c r="B40" s="49">
        <v>45302.0</v>
      </c>
      <c r="C40" s="50">
        <v>47.3933649</v>
      </c>
      <c r="D40" s="51">
        <v>347.25586928748896</v>
      </c>
      <c r="E40" s="52" t="s">
        <v>50</v>
      </c>
      <c r="F40" s="52" t="s">
        <v>157</v>
      </c>
      <c r="G40" s="52" t="s">
        <v>219</v>
      </c>
      <c r="H40" s="53"/>
      <c r="I40" s="54" t="s">
        <v>181</v>
      </c>
      <c r="J40" s="54">
        <v>1.0</v>
      </c>
      <c r="K40" s="54" t="s">
        <v>77</v>
      </c>
      <c r="L40" s="54" t="s">
        <v>111</v>
      </c>
      <c r="M40" s="52" t="s">
        <v>73</v>
      </c>
      <c r="N40" s="55" t="s">
        <v>80</v>
      </c>
    </row>
    <row r="41">
      <c r="A41" s="48">
        <v>577.0</v>
      </c>
      <c r="B41" s="49">
        <v>45302.0</v>
      </c>
      <c r="C41" s="50">
        <v>47.3933649</v>
      </c>
      <c r="D41" s="51">
        <v>347.25586928748896</v>
      </c>
      <c r="E41" s="52" t="s">
        <v>50</v>
      </c>
      <c r="F41" s="52" t="s">
        <v>157</v>
      </c>
      <c r="G41" s="52" t="s">
        <v>220</v>
      </c>
      <c r="H41" s="53"/>
      <c r="I41" s="54" t="s">
        <v>181</v>
      </c>
      <c r="J41" s="54">
        <v>1.0</v>
      </c>
      <c r="K41" s="54" t="s">
        <v>77</v>
      </c>
      <c r="L41" s="54" t="s">
        <v>111</v>
      </c>
      <c r="M41" s="52" t="s">
        <v>73</v>
      </c>
      <c r="N41" s="55" t="s">
        <v>80</v>
      </c>
    </row>
    <row r="42">
      <c r="A42" s="48">
        <v>578.0</v>
      </c>
      <c r="B42" s="49">
        <v>45304.0</v>
      </c>
      <c r="C42" s="50">
        <v>47.3933649</v>
      </c>
      <c r="D42" s="51">
        <v>356.2932215682201</v>
      </c>
      <c r="E42" s="52" t="s">
        <v>50</v>
      </c>
      <c r="F42" s="52" t="s">
        <v>157</v>
      </c>
      <c r="G42" s="52" t="s">
        <v>221</v>
      </c>
      <c r="H42" s="53"/>
      <c r="I42" s="54" t="s">
        <v>181</v>
      </c>
      <c r="J42" s="54">
        <v>1.0</v>
      </c>
      <c r="K42" s="54" t="s">
        <v>77</v>
      </c>
      <c r="L42" s="54" t="s">
        <v>111</v>
      </c>
      <c r="M42" s="52" t="s">
        <v>73</v>
      </c>
      <c r="N42" s="55" t="s">
        <v>80</v>
      </c>
    </row>
    <row r="43">
      <c r="A43" s="48">
        <v>579.0</v>
      </c>
      <c r="B43" s="49">
        <v>45304.0</v>
      </c>
      <c r="C43" s="50">
        <v>141.78</v>
      </c>
      <c r="D43" s="51">
        <v>1061.940685901642</v>
      </c>
      <c r="E43" s="52" t="s">
        <v>50</v>
      </c>
      <c r="F43" s="52" t="s">
        <v>157</v>
      </c>
      <c r="G43" s="52" t="s">
        <v>222</v>
      </c>
      <c r="H43" s="53"/>
      <c r="I43" s="54" t="s">
        <v>181</v>
      </c>
      <c r="J43" s="54">
        <v>1.0</v>
      </c>
      <c r="K43" s="54" t="s">
        <v>77</v>
      </c>
      <c r="L43" s="54" t="s">
        <v>111</v>
      </c>
      <c r="M43" s="52" t="s">
        <v>73</v>
      </c>
      <c r="N43" s="55" t="s">
        <v>80</v>
      </c>
    </row>
    <row r="44">
      <c r="A44" s="48">
        <v>580.0</v>
      </c>
      <c r="B44" s="49">
        <v>45306.0</v>
      </c>
      <c r="C44" s="50">
        <v>59.07</v>
      </c>
      <c r="D44" s="51">
        <v>413.9411190032959</v>
      </c>
      <c r="E44" s="52" t="s">
        <v>50</v>
      </c>
      <c r="F44" s="52" t="s">
        <v>157</v>
      </c>
      <c r="G44" s="52" t="s">
        <v>223</v>
      </c>
      <c r="H44" s="53"/>
      <c r="I44" s="54" t="s">
        <v>181</v>
      </c>
      <c r="J44" s="54">
        <v>1.0</v>
      </c>
      <c r="K44" s="54" t="s">
        <v>77</v>
      </c>
      <c r="L44" s="54" t="s">
        <v>111</v>
      </c>
      <c r="M44" s="52" t="s">
        <v>73</v>
      </c>
      <c r="N44" s="55" t="s">
        <v>80</v>
      </c>
    </row>
    <row r="45">
      <c r="A45" s="48">
        <v>581.0</v>
      </c>
      <c r="B45" s="49">
        <v>45336.0</v>
      </c>
      <c r="C45" s="50">
        <v>18360.0</v>
      </c>
      <c r="D45" s="51">
        <v>141451.93593978882</v>
      </c>
      <c r="E45" s="52" t="s">
        <v>46</v>
      </c>
      <c r="F45" s="52" t="s">
        <v>112</v>
      </c>
      <c r="G45" s="52" t="s">
        <v>224</v>
      </c>
      <c r="H45" s="53"/>
      <c r="I45" s="54" t="s">
        <v>181</v>
      </c>
      <c r="J45" s="54">
        <v>2.0</v>
      </c>
      <c r="K45" s="54" t="s">
        <v>77</v>
      </c>
      <c r="L45" s="54" t="s">
        <v>113</v>
      </c>
      <c r="M45" s="52" t="s">
        <v>73</v>
      </c>
      <c r="N45" s="55" t="s">
        <v>80</v>
      </c>
    </row>
    <row r="46">
      <c r="A46" s="48">
        <v>582.0</v>
      </c>
      <c r="B46" s="49">
        <v>45308.0</v>
      </c>
      <c r="C46" s="50">
        <v>1071.0</v>
      </c>
      <c r="D46" s="51">
        <v>7388.716316699982</v>
      </c>
      <c r="E46" s="52" t="s">
        <v>46</v>
      </c>
      <c r="F46" s="52" t="s">
        <v>114</v>
      </c>
      <c r="G46" s="52" t="s">
        <v>225</v>
      </c>
      <c r="H46" s="53"/>
      <c r="I46" s="54" t="s">
        <v>181</v>
      </c>
      <c r="J46" s="54">
        <v>1.0</v>
      </c>
      <c r="K46" s="54" t="s">
        <v>77</v>
      </c>
      <c r="L46" s="54" t="s">
        <v>111</v>
      </c>
      <c r="M46" s="52" t="s">
        <v>73</v>
      </c>
      <c r="N46" s="55" t="s">
        <v>80</v>
      </c>
    </row>
    <row r="47">
      <c r="A47" s="48">
        <v>583.0</v>
      </c>
      <c r="B47" s="49">
        <v>45320.0</v>
      </c>
      <c r="C47" s="50">
        <v>15642.0</v>
      </c>
      <c r="D47" s="51">
        <v>104109.02203559875</v>
      </c>
      <c r="E47" s="52" t="s">
        <v>46</v>
      </c>
      <c r="F47" s="52" t="s">
        <v>112</v>
      </c>
      <c r="G47" s="52" t="s">
        <v>226</v>
      </c>
      <c r="H47" s="53"/>
      <c r="I47" s="54" t="s">
        <v>181</v>
      </c>
      <c r="J47" s="54">
        <v>1.0</v>
      </c>
      <c r="K47" s="54" t="s">
        <v>77</v>
      </c>
      <c r="L47" s="54" t="s">
        <v>111</v>
      </c>
      <c r="M47" s="52" t="s">
        <v>73</v>
      </c>
      <c r="N47" s="55" t="s">
        <v>80</v>
      </c>
    </row>
    <row r="48">
      <c r="A48" s="48">
        <v>584.0</v>
      </c>
      <c r="B48" s="49">
        <v>45318.0</v>
      </c>
      <c r="C48" s="50">
        <v>13993.0</v>
      </c>
      <c r="D48" s="51">
        <v>95739.64571237564</v>
      </c>
      <c r="E48" s="52" t="s">
        <v>81</v>
      </c>
      <c r="F48" s="52" t="s">
        <v>97</v>
      </c>
      <c r="G48" s="52" t="s">
        <v>227</v>
      </c>
      <c r="H48" s="53"/>
      <c r="I48" s="54" t="s">
        <v>181</v>
      </c>
      <c r="J48" s="54">
        <v>1.0</v>
      </c>
      <c r="K48" s="54" t="s">
        <v>77</v>
      </c>
      <c r="L48" s="54" t="s">
        <v>111</v>
      </c>
      <c r="M48" s="52" t="s">
        <v>73</v>
      </c>
      <c r="N48" s="55" t="s">
        <v>80</v>
      </c>
    </row>
    <row r="49">
      <c r="A49" s="48">
        <v>585.0</v>
      </c>
      <c r="B49" s="49">
        <v>45382.0</v>
      </c>
      <c r="C49" s="50">
        <v>1769.3</v>
      </c>
      <c r="D49" s="51">
        <v>14921.488241100311</v>
      </c>
      <c r="E49" s="52" t="s">
        <v>81</v>
      </c>
      <c r="F49" s="52" t="s">
        <v>97</v>
      </c>
      <c r="G49" s="52" t="s">
        <v>228</v>
      </c>
      <c r="H49" s="53"/>
      <c r="I49" s="54" t="s">
        <v>181</v>
      </c>
      <c r="J49" s="54">
        <v>3.0</v>
      </c>
      <c r="K49" s="54" t="s">
        <v>77</v>
      </c>
      <c r="L49" s="54" t="s">
        <v>115</v>
      </c>
      <c r="M49" s="52" t="s">
        <v>73</v>
      </c>
      <c r="N49" s="55" t="s">
        <v>80</v>
      </c>
    </row>
    <row r="50">
      <c r="A50" s="48">
        <v>586.0</v>
      </c>
      <c r="B50" s="49">
        <v>45320.0</v>
      </c>
      <c r="C50" s="50">
        <v>23286.0</v>
      </c>
      <c r="D50" s="51">
        <v>158137.0222120285</v>
      </c>
      <c r="E50" s="52" t="s">
        <v>81</v>
      </c>
      <c r="F50" s="52" t="s">
        <v>86</v>
      </c>
      <c r="G50" s="52" t="s">
        <v>229</v>
      </c>
      <c r="H50" s="53"/>
      <c r="I50" s="54" t="s">
        <v>181</v>
      </c>
      <c r="J50" s="54">
        <v>1.0</v>
      </c>
      <c r="K50" s="54" t="s">
        <v>77</v>
      </c>
      <c r="L50" s="54" t="s">
        <v>111</v>
      </c>
      <c r="M50" s="52" t="s">
        <v>73</v>
      </c>
      <c r="N50" s="55" t="s">
        <v>80</v>
      </c>
    </row>
    <row r="51">
      <c r="A51" s="48">
        <v>587.0</v>
      </c>
      <c r="B51" s="49">
        <v>45315.0</v>
      </c>
      <c r="C51" s="50">
        <v>294.2</v>
      </c>
      <c r="D51" s="51">
        <v>1962.3866903305052</v>
      </c>
      <c r="E51" s="52" t="s">
        <v>81</v>
      </c>
      <c r="F51" s="52" t="s">
        <v>97</v>
      </c>
      <c r="G51" s="52" t="s">
        <v>230</v>
      </c>
      <c r="H51" s="53"/>
      <c r="I51" s="54" t="s">
        <v>181</v>
      </c>
      <c r="J51" s="54">
        <v>1.0</v>
      </c>
      <c r="K51" s="54" t="s">
        <v>77</v>
      </c>
      <c r="L51" s="54" t="s">
        <v>111</v>
      </c>
      <c r="M51" s="52" t="s">
        <v>73</v>
      </c>
      <c r="N51" s="55" t="s">
        <v>80</v>
      </c>
    </row>
    <row r="52">
      <c r="A52" s="48">
        <v>589.0</v>
      </c>
      <c r="B52" s="49">
        <v>45320.0</v>
      </c>
      <c r="C52" s="50">
        <v>174.6</v>
      </c>
      <c r="D52" s="51">
        <v>1162.0915002822876</v>
      </c>
      <c r="E52" s="52" t="s">
        <v>81</v>
      </c>
      <c r="F52" s="52" t="s">
        <v>97</v>
      </c>
      <c r="G52" s="52" t="s">
        <v>231</v>
      </c>
      <c r="H52" s="53"/>
      <c r="I52" s="54" t="s">
        <v>181</v>
      </c>
      <c r="J52" s="54">
        <v>1.0</v>
      </c>
      <c r="K52" s="54" t="s">
        <v>77</v>
      </c>
      <c r="L52" s="54" t="s">
        <v>111</v>
      </c>
      <c r="M52" s="52" t="s">
        <v>73</v>
      </c>
      <c r="N52" s="55" t="s">
        <v>80</v>
      </c>
    </row>
    <row r="53">
      <c r="A53" s="48">
        <v>590.0</v>
      </c>
      <c r="B53" s="49">
        <v>45319.0</v>
      </c>
      <c r="C53" s="50">
        <v>19.4</v>
      </c>
      <c r="D53" s="51">
        <v>129.12127780914307</v>
      </c>
      <c r="E53" s="52" t="s">
        <v>81</v>
      </c>
      <c r="F53" s="52" t="s">
        <v>97</v>
      </c>
      <c r="G53" s="52" t="s">
        <v>232</v>
      </c>
      <c r="H53" s="53"/>
      <c r="I53" s="54" t="s">
        <v>181</v>
      </c>
      <c r="J53" s="54">
        <v>1.0</v>
      </c>
      <c r="K53" s="54" t="s">
        <v>77</v>
      </c>
      <c r="L53" s="54" t="s">
        <v>111</v>
      </c>
      <c r="M53" s="52" t="s">
        <v>73</v>
      </c>
      <c r="N53" s="55" t="s">
        <v>80</v>
      </c>
    </row>
    <row r="54">
      <c r="A54" s="48">
        <v>591.0</v>
      </c>
      <c r="B54" s="49">
        <v>45321.0</v>
      </c>
      <c r="C54" s="50">
        <v>31.43</v>
      </c>
      <c r="D54" s="51">
        <v>218.00554978370667</v>
      </c>
      <c r="E54" s="52" t="s">
        <v>50</v>
      </c>
      <c r="F54" s="52" t="s">
        <v>157</v>
      </c>
      <c r="G54" s="52" t="s">
        <v>233</v>
      </c>
      <c r="H54" s="53"/>
      <c r="I54" s="54" t="s">
        <v>181</v>
      </c>
      <c r="J54" s="54">
        <v>1.0</v>
      </c>
      <c r="K54" s="54" t="s">
        <v>77</v>
      </c>
      <c r="L54" s="54" t="s">
        <v>111</v>
      </c>
      <c r="M54" s="52" t="s">
        <v>73</v>
      </c>
      <c r="N54" s="55" t="s">
        <v>80</v>
      </c>
    </row>
    <row r="55">
      <c r="A55" s="48">
        <v>592.0</v>
      </c>
      <c r="B55" s="49">
        <v>45321.0</v>
      </c>
      <c r="C55" s="50">
        <v>56.69</v>
      </c>
      <c r="D55" s="51">
        <v>393.2145917034149</v>
      </c>
      <c r="E55" s="52" t="s">
        <v>50</v>
      </c>
      <c r="F55" s="52" t="s">
        <v>157</v>
      </c>
      <c r="G55" s="52" t="s">
        <v>234</v>
      </c>
      <c r="H55" s="53"/>
      <c r="I55" s="54" t="s">
        <v>181</v>
      </c>
      <c r="J55" s="54">
        <v>1.0</v>
      </c>
      <c r="K55" s="54" t="s">
        <v>77</v>
      </c>
      <c r="L55" s="54" t="s">
        <v>111</v>
      </c>
      <c r="M55" s="52" t="s">
        <v>73</v>
      </c>
      <c r="N55" s="55" t="s">
        <v>80</v>
      </c>
    </row>
    <row r="56">
      <c r="A56" s="48">
        <v>593.0</v>
      </c>
      <c r="B56" s="49">
        <v>45323.0</v>
      </c>
      <c r="C56" s="50">
        <v>67.91</v>
      </c>
      <c r="D56" s="51">
        <v>463.92648860454557</v>
      </c>
      <c r="E56" s="52" t="s">
        <v>50</v>
      </c>
      <c r="F56" s="52" t="s">
        <v>157</v>
      </c>
      <c r="G56" s="52" t="s">
        <v>235</v>
      </c>
      <c r="H56" s="53"/>
      <c r="I56" s="54" t="s">
        <v>181</v>
      </c>
      <c r="J56" s="54">
        <v>2.0</v>
      </c>
      <c r="K56" s="54" t="s">
        <v>77</v>
      </c>
      <c r="L56" s="54" t="s">
        <v>113</v>
      </c>
      <c r="M56" s="52" t="s">
        <v>73</v>
      </c>
      <c r="N56" s="55" t="s">
        <v>80</v>
      </c>
    </row>
    <row r="57">
      <c r="A57" s="48">
        <v>594.0</v>
      </c>
      <c r="B57" s="49">
        <v>45327.0</v>
      </c>
      <c r="C57" s="50">
        <v>4833.0</v>
      </c>
      <c r="D57" s="51">
        <v>33540.681507110596</v>
      </c>
      <c r="E57" s="52" t="s">
        <v>46</v>
      </c>
      <c r="F57" s="52" t="s">
        <v>112</v>
      </c>
      <c r="G57" s="52" t="s">
        <v>236</v>
      </c>
      <c r="H57" s="53"/>
      <c r="I57" s="54" t="s">
        <v>181</v>
      </c>
      <c r="J57" s="54">
        <v>2.0</v>
      </c>
      <c r="K57" s="54" t="s">
        <v>77</v>
      </c>
      <c r="L57" s="54" t="s">
        <v>113</v>
      </c>
      <c r="M57" s="52" t="s">
        <v>73</v>
      </c>
      <c r="N57" s="55" t="s">
        <v>80</v>
      </c>
    </row>
    <row r="58">
      <c r="A58" s="48">
        <v>595.0</v>
      </c>
      <c r="B58" s="49">
        <v>45327.0</v>
      </c>
      <c r="C58" s="50">
        <v>6828.0</v>
      </c>
      <c r="D58" s="51">
        <v>47385.84178161621</v>
      </c>
      <c r="E58" s="52" t="s">
        <v>46</v>
      </c>
      <c r="F58" s="52" t="s">
        <v>112</v>
      </c>
      <c r="G58" s="52" t="s">
        <v>237</v>
      </c>
      <c r="H58" s="53"/>
      <c r="I58" s="54" t="s">
        <v>181</v>
      </c>
      <c r="J58" s="54">
        <v>2.0</v>
      </c>
      <c r="K58" s="54" t="s">
        <v>77</v>
      </c>
      <c r="L58" s="54" t="s">
        <v>113</v>
      </c>
      <c r="M58" s="52" t="s">
        <v>73</v>
      </c>
      <c r="N58" s="55" t="s">
        <v>80</v>
      </c>
    </row>
    <row r="59">
      <c r="A59" s="48">
        <v>596.0</v>
      </c>
      <c r="B59" s="49">
        <v>45323.0</v>
      </c>
      <c r="C59" s="50">
        <v>212.7</v>
      </c>
      <c r="D59" s="51">
        <v>1418.119442796707</v>
      </c>
      <c r="E59" s="52" t="s">
        <v>81</v>
      </c>
      <c r="F59" s="52" t="s">
        <v>93</v>
      </c>
      <c r="G59" s="52" t="s">
        <v>238</v>
      </c>
      <c r="H59" s="53"/>
      <c r="I59" s="54" t="s">
        <v>181</v>
      </c>
      <c r="J59" s="54">
        <v>2.0</v>
      </c>
      <c r="K59" s="54" t="s">
        <v>77</v>
      </c>
      <c r="L59" s="54" t="s">
        <v>113</v>
      </c>
      <c r="M59" s="52" t="s">
        <v>73</v>
      </c>
      <c r="N59" s="55" t="s">
        <v>80</v>
      </c>
    </row>
    <row r="60">
      <c r="A60" s="48">
        <v>597.0</v>
      </c>
      <c r="B60" s="49">
        <v>45324.0</v>
      </c>
      <c r="C60" s="50">
        <v>212.7</v>
      </c>
      <c r="D60" s="51">
        <v>1418.119442796707</v>
      </c>
      <c r="E60" s="52" t="s">
        <v>81</v>
      </c>
      <c r="F60" s="52" t="s">
        <v>93</v>
      </c>
      <c r="G60" s="52" t="s">
        <v>239</v>
      </c>
      <c r="H60" s="53"/>
      <c r="I60" s="54" t="s">
        <v>181</v>
      </c>
      <c r="J60" s="54">
        <v>2.0</v>
      </c>
      <c r="K60" s="54" t="s">
        <v>77</v>
      </c>
      <c r="L60" s="54" t="s">
        <v>113</v>
      </c>
      <c r="M60" s="52" t="s">
        <v>73</v>
      </c>
      <c r="N60" s="55" t="s">
        <v>80</v>
      </c>
    </row>
    <row r="61">
      <c r="A61" s="48">
        <v>598.0</v>
      </c>
      <c r="B61" s="49">
        <v>45324.0</v>
      </c>
      <c r="C61" s="50">
        <v>233.21</v>
      </c>
      <c r="D61" s="51">
        <v>1554.864293627739</v>
      </c>
      <c r="E61" s="52" t="s">
        <v>81</v>
      </c>
      <c r="F61" s="52" t="s">
        <v>93</v>
      </c>
      <c r="G61" s="52" t="s">
        <v>240</v>
      </c>
      <c r="H61" s="53"/>
      <c r="I61" s="54" t="s">
        <v>181</v>
      </c>
      <c r="J61" s="54">
        <v>2.0</v>
      </c>
      <c r="K61" s="54" t="s">
        <v>77</v>
      </c>
      <c r="L61" s="54" t="s">
        <v>113</v>
      </c>
      <c r="M61" s="52" t="s">
        <v>73</v>
      </c>
      <c r="N61" s="55" t="s">
        <v>80</v>
      </c>
    </row>
    <row r="62">
      <c r="A62" s="48">
        <v>599.0</v>
      </c>
      <c r="B62" s="49">
        <v>45327.0</v>
      </c>
      <c r="C62" s="50">
        <v>212.7</v>
      </c>
      <c r="D62" s="51">
        <v>1476.1231029510498</v>
      </c>
      <c r="E62" s="52" t="s">
        <v>81</v>
      </c>
      <c r="F62" s="52" t="s">
        <v>93</v>
      </c>
      <c r="G62" s="52" t="s">
        <v>241</v>
      </c>
      <c r="H62" s="53"/>
      <c r="I62" s="54" t="s">
        <v>181</v>
      </c>
      <c r="J62" s="54">
        <v>2.0</v>
      </c>
      <c r="K62" s="54" t="s">
        <v>77</v>
      </c>
      <c r="L62" s="54" t="s">
        <v>113</v>
      </c>
      <c r="M62" s="52" t="s">
        <v>73</v>
      </c>
      <c r="N62" s="55" t="s">
        <v>80</v>
      </c>
    </row>
    <row r="63">
      <c r="A63" s="48">
        <v>600.0</v>
      </c>
      <c r="B63" s="49">
        <v>45324.0</v>
      </c>
      <c r="C63" s="50">
        <v>250.68</v>
      </c>
      <c r="D63" s="51">
        <v>1671.3407706642151</v>
      </c>
      <c r="E63" s="52" t="s">
        <v>81</v>
      </c>
      <c r="F63" s="52" t="s">
        <v>93</v>
      </c>
      <c r="G63" s="52" t="s">
        <v>242</v>
      </c>
      <c r="H63" s="53"/>
      <c r="I63" s="54" t="s">
        <v>181</v>
      </c>
      <c r="J63" s="54">
        <v>2.0</v>
      </c>
      <c r="K63" s="54" t="s">
        <v>77</v>
      </c>
      <c r="L63" s="54" t="s">
        <v>113</v>
      </c>
      <c r="M63" s="52" t="s">
        <v>73</v>
      </c>
      <c r="N63" s="55" t="s">
        <v>80</v>
      </c>
    </row>
    <row r="64">
      <c r="A64" s="48">
        <v>601.0</v>
      </c>
      <c r="B64" s="49">
        <v>45327.0</v>
      </c>
      <c r="C64" s="50">
        <v>212.7</v>
      </c>
      <c r="D64" s="51">
        <v>1476.1231029510498</v>
      </c>
      <c r="E64" s="52" t="s">
        <v>81</v>
      </c>
      <c r="F64" s="52" t="s">
        <v>93</v>
      </c>
      <c r="G64" s="52" t="s">
        <v>243</v>
      </c>
      <c r="H64" s="53"/>
      <c r="I64" s="54" t="s">
        <v>181</v>
      </c>
      <c r="J64" s="54">
        <v>2.0</v>
      </c>
      <c r="K64" s="54" t="s">
        <v>77</v>
      </c>
      <c r="L64" s="54" t="s">
        <v>113</v>
      </c>
      <c r="M64" s="52" t="s">
        <v>73</v>
      </c>
      <c r="N64" s="55" t="s">
        <v>80</v>
      </c>
    </row>
    <row r="65">
      <c r="A65" s="48">
        <v>602.0</v>
      </c>
      <c r="B65" s="49">
        <v>45324.0</v>
      </c>
      <c r="C65" s="50">
        <v>212.7</v>
      </c>
      <c r="D65" s="51">
        <v>1418.119442796707</v>
      </c>
      <c r="E65" s="52" t="s">
        <v>81</v>
      </c>
      <c r="F65" s="52" t="s">
        <v>93</v>
      </c>
      <c r="G65" s="52" t="s">
        <v>244</v>
      </c>
      <c r="H65" s="53"/>
      <c r="I65" s="54" t="s">
        <v>181</v>
      </c>
      <c r="J65" s="54">
        <v>2.0</v>
      </c>
      <c r="K65" s="54" t="s">
        <v>77</v>
      </c>
      <c r="L65" s="54" t="s">
        <v>113</v>
      </c>
      <c r="M65" s="52" t="s">
        <v>73</v>
      </c>
      <c r="N65" s="55" t="s">
        <v>80</v>
      </c>
    </row>
    <row r="66">
      <c r="A66" s="48">
        <v>603.0</v>
      </c>
      <c r="B66" s="49">
        <v>45324.0</v>
      </c>
      <c r="C66" s="50">
        <v>233.21</v>
      </c>
      <c r="D66" s="51">
        <v>1568.7835973787307</v>
      </c>
      <c r="E66" s="52" t="s">
        <v>81</v>
      </c>
      <c r="F66" s="52" t="s">
        <v>93</v>
      </c>
      <c r="G66" s="52" t="s">
        <v>245</v>
      </c>
      <c r="H66" s="53"/>
      <c r="I66" s="54" t="s">
        <v>181</v>
      </c>
      <c r="J66" s="54">
        <v>2.0</v>
      </c>
      <c r="K66" s="54" t="s">
        <v>77</v>
      </c>
      <c r="L66" s="54" t="s">
        <v>113</v>
      </c>
      <c r="M66" s="52" t="s">
        <v>73</v>
      </c>
      <c r="N66" s="55" t="s">
        <v>80</v>
      </c>
    </row>
    <row r="67">
      <c r="A67" s="48">
        <v>604.0</v>
      </c>
      <c r="B67" s="49">
        <v>45324.0</v>
      </c>
      <c r="C67" s="50">
        <v>212.7</v>
      </c>
      <c r="D67" s="51">
        <v>1430.8145926952361</v>
      </c>
      <c r="E67" s="52" t="s">
        <v>81</v>
      </c>
      <c r="F67" s="52" t="s">
        <v>93</v>
      </c>
      <c r="G67" s="52" t="s">
        <v>246</v>
      </c>
      <c r="H67" s="53"/>
      <c r="I67" s="54" t="s">
        <v>181</v>
      </c>
      <c r="J67" s="54">
        <v>2.0</v>
      </c>
      <c r="K67" s="54" t="s">
        <v>77</v>
      </c>
      <c r="L67" s="54" t="s">
        <v>113</v>
      </c>
      <c r="M67" s="52" t="s">
        <v>73</v>
      </c>
      <c r="N67" s="55" t="s">
        <v>80</v>
      </c>
    </row>
    <row r="68">
      <c r="A68" s="48">
        <v>605.0</v>
      </c>
      <c r="B68" s="49">
        <v>45324.0</v>
      </c>
      <c r="C68" s="50">
        <v>212.7</v>
      </c>
      <c r="D68" s="51">
        <v>1418.119442796707</v>
      </c>
      <c r="E68" s="52" t="s">
        <v>81</v>
      </c>
      <c r="F68" s="52" t="s">
        <v>93</v>
      </c>
      <c r="G68" s="52" t="s">
        <v>247</v>
      </c>
      <c r="H68" s="53"/>
      <c r="I68" s="54" t="s">
        <v>181</v>
      </c>
      <c r="J68" s="54">
        <v>2.0</v>
      </c>
      <c r="K68" s="54" t="s">
        <v>77</v>
      </c>
      <c r="L68" s="54" t="s">
        <v>113</v>
      </c>
      <c r="M68" s="52" t="s">
        <v>73</v>
      </c>
      <c r="N68" s="55" t="s">
        <v>80</v>
      </c>
    </row>
    <row r="69">
      <c r="A69" s="48">
        <v>606.0</v>
      </c>
      <c r="B69" s="49">
        <v>45324.0</v>
      </c>
      <c r="C69" s="50">
        <v>212.7</v>
      </c>
      <c r="D69" s="51">
        <v>1418.119442796707</v>
      </c>
      <c r="E69" s="52" t="s">
        <v>81</v>
      </c>
      <c r="F69" s="52" t="s">
        <v>93</v>
      </c>
      <c r="G69" s="52" t="s">
        <v>248</v>
      </c>
      <c r="H69" s="53"/>
      <c r="I69" s="54" t="s">
        <v>181</v>
      </c>
      <c r="J69" s="54">
        <v>2.0</v>
      </c>
      <c r="K69" s="54" t="s">
        <v>77</v>
      </c>
      <c r="L69" s="54" t="s">
        <v>113</v>
      </c>
      <c r="M69" s="52" t="s">
        <v>73</v>
      </c>
      <c r="N69" s="55" t="s">
        <v>80</v>
      </c>
    </row>
    <row r="70">
      <c r="A70" s="48">
        <v>607.0</v>
      </c>
      <c r="B70" s="49">
        <v>45324.0</v>
      </c>
      <c r="C70" s="50">
        <v>212.7</v>
      </c>
      <c r="D70" s="51">
        <v>1430.8145926952361</v>
      </c>
      <c r="E70" s="52" t="s">
        <v>81</v>
      </c>
      <c r="F70" s="52" t="s">
        <v>93</v>
      </c>
      <c r="G70" s="52" t="s">
        <v>249</v>
      </c>
      <c r="H70" s="53"/>
      <c r="I70" s="54" t="s">
        <v>181</v>
      </c>
      <c r="J70" s="54">
        <v>2.0</v>
      </c>
      <c r="K70" s="54" t="s">
        <v>77</v>
      </c>
      <c r="L70" s="54" t="s">
        <v>113</v>
      </c>
      <c r="M70" s="52" t="s">
        <v>73</v>
      </c>
      <c r="N70" s="55" t="s">
        <v>80</v>
      </c>
    </row>
    <row r="71">
      <c r="A71" s="48">
        <v>608.0</v>
      </c>
      <c r="B71" s="49">
        <v>45324.0</v>
      </c>
      <c r="C71" s="50">
        <v>212.7</v>
      </c>
      <c r="D71" s="51">
        <v>1418.119442796707</v>
      </c>
      <c r="E71" s="52" t="s">
        <v>81</v>
      </c>
      <c r="F71" s="52" t="s">
        <v>93</v>
      </c>
      <c r="G71" s="52" t="s">
        <v>250</v>
      </c>
      <c r="H71" s="53"/>
      <c r="I71" s="54" t="s">
        <v>181</v>
      </c>
      <c r="J71" s="54">
        <v>2.0</v>
      </c>
      <c r="K71" s="54" t="s">
        <v>77</v>
      </c>
      <c r="L71" s="54" t="s">
        <v>113</v>
      </c>
      <c r="M71" s="52" t="s">
        <v>73</v>
      </c>
      <c r="N71" s="55" t="s">
        <v>80</v>
      </c>
    </row>
    <row r="72">
      <c r="A72" s="48">
        <v>609.0</v>
      </c>
      <c r="B72" s="49">
        <v>45328.0</v>
      </c>
      <c r="C72" s="50">
        <v>20722.0</v>
      </c>
      <c r="D72" s="51">
        <v>149022.07913398743</v>
      </c>
      <c r="E72" s="52" t="s">
        <v>81</v>
      </c>
      <c r="F72" s="52" t="s">
        <v>86</v>
      </c>
      <c r="G72" s="52" t="s">
        <v>251</v>
      </c>
      <c r="H72" s="53"/>
      <c r="I72" s="54" t="s">
        <v>181</v>
      </c>
      <c r="J72" s="54">
        <v>2.0</v>
      </c>
      <c r="K72" s="54" t="s">
        <v>77</v>
      </c>
      <c r="L72" s="54" t="s">
        <v>113</v>
      </c>
      <c r="M72" s="52" t="s">
        <v>73</v>
      </c>
      <c r="N72" s="55" t="s">
        <v>80</v>
      </c>
    </row>
    <row r="73">
      <c r="A73" s="48">
        <v>610.0</v>
      </c>
      <c r="B73" s="49">
        <v>45332.0</v>
      </c>
      <c r="C73" s="50">
        <v>8324.0</v>
      </c>
      <c r="D73" s="51">
        <v>61289.055614471436</v>
      </c>
      <c r="E73" s="52" t="s">
        <v>81</v>
      </c>
      <c r="F73" s="52" t="s">
        <v>86</v>
      </c>
      <c r="G73" s="52" t="s">
        <v>252</v>
      </c>
      <c r="H73" s="53"/>
      <c r="I73" s="54" t="s">
        <v>181</v>
      </c>
      <c r="J73" s="54">
        <v>2.0</v>
      </c>
      <c r="K73" s="54" t="s">
        <v>77</v>
      </c>
      <c r="L73" s="54" t="s">
        <v>113</v>
      </c>
      <c r="M73" s="52" t="s">
        <v>73</v>
      </c>
      <c r="N73" s="55" t="s">
        <v>80</v>
      </c>
    </row>
    <row r="74">
      <c r="A74" s="48">
        <v>611.0</v>
      </c>
      <c r="B74" s="49">
        <v>45331.0</v>
      </c>
      <c r="C74" s="50">
        <v>29.546</v>
      </c>
      <c r="D74" s="51">
        <v>217.04678144741058</v>
      </c>
      <c r="E74" s="52" t="s">
        <v>50</v>
      </c>
      <c r="F74" s="52" t="s">
        <v>157</v>
      </c>
      <c r="G74" s="52" t="s">
        <v>253</v>
      </c>
      <c r="H74" s="53"/>
      <c r="I74" s="54" t="s">
        <v>181</v>
      </c>
      <c r="J74" s="54">
        <v>2.0</v>
      </c>
      <c r="K74" s="54" t="s">
        <v>77</v>
      </c>
      <c r="L74" s="54" t="s">
        <v>113</v>
      </c>
      <c r="M74" s="52" t="s">
        <v>73</v>
      </c>
      <c r="N74" s="55" t="s">
        <v>80</v>
      </c>
    </row>
    <row r="75">
      <c r="A75" s="48">
        <v>612.0</v>
      </c>
      <c r="B75" s="49">
        <v>45331.0</v>
      </c>
      <c r="C75" s="50">
        <v>212.734</v>
      </c>
      <c r="D75" s="51">
        <v>1562.75739539814</v>
      </c>
      <c r="E75" s="52" t="s">
        <v>50</v>
      </c>
      <c r="F75" s="52" t="s">
        <v>157</v>
      </c>
      <c r="G75" s="52" t="s">
        <v>254</v>
      </c>
      <c r="H75" s="53"/>
      <c r="I75" s="54" t="s">
        <v>181</v>
      </c>
      <c r="J75" s="54">
        <v>2.0</v>
      </c>
      <c r="K75" s="54" t="s">
        <v>77</v>
      </c>
      <c r="L75" s="54" t="s">
        <v>113</v>
      </c>
      <c r="M75" s="52" t="s">
        <v>73</v>
      </c>
      <c r="N75" s="55" t="s">
        <v>80</v>
      </c>
    </row>
    <row r="76">
      <c r="A76" s="48">
        <v>613.0</v>
      </c>
      <c r="B76" s="49">
        <v>45331.0</v>
      </c>
      <c r="C76" s="50">
        <v>177.278</v>
      </c>
      <c r="D76" s="51">
        <v>1302.2953808107375</v>
      </c>
      <c r="E76" s="52" t="s">
        <v>50</v>
      </c>
      <c r="F76" s="52" t="s">
        <v>157</v>
      </c>
      <c r="G76" s="52" t="s">
        <v>255</v>
      </c>
      <c r="H76" s="53"/>
      <c r="I76" s="54" t="s">
        <v>181</v>
      </c>
      <c r="J76" s="54">
        <v>2.0</v>
      </c>
      <c r="K76" s="54" t="s">
        <v>77</v>
      </c>
      <c r="L76" s="54" t="s">
        <v>113</v>
      </c>
      <c r="M76" s="52" t="s">
        <v>73</v>
      </c>
      <c r="N76" s="55" t="s">
        <v>80</v>
      </c>
    </row>
    <row r="77">
      <c r="A77" s="48">
        <v>614.0</v>
      </c>
      <c r="B77" s="49">
        <v>45331.0</v>
      </c>
      <c r="C77" s="50">
        <v>73.866</v>
      </c>
      <c r="D77" s="51">
        <v>542.6242996816635</v>
      </c>
      <c r="E77" s="52" t="s">
        <v>50</v>
      </c>
      <c r="F77" s="52" t="s">
        <v>157</v>
      </c>
      <c r="G77" s="52" t="s">
        <v>256</v>
      </c>
      <c r="H77" s="53"/>
      <c r="I77" s="54" t="s">
        <v>181</v>
      </c>
      <c r="J77" s="54">
        <v>2.0</v>
      </c>
      <c r="K77" s="54" t="s">
        <v>77</v>
      </c>
      <c r="L77" s="54" t="s">
        <v>113</v>
      </c>
      <c r="M77" s="52" t="s">
        <v>73</v>
      </c>
      <c r="N77" s="55" t="s">
        <v>80</v>
      </c>
    </row>
    <row r="78">
      <c r="A78" s="48">
        <v>618.0</v>
      </c>
      <c r="B78" s="49">
        <v>45332.0</v>
      </c>
      <c r="C78" s="50">
        <v>73.866</v>
      </c>
      <c r="D78" s="51">
        <v>542.6242996816635</v>
      </c>
      <c r="E78" s="52" t="s">
        <v>50</v>
      </c>
      <c r="F78" s="52" t="s">
        <v>157</v>
      </c>
      <c r="G78" s="52" t="s">
        <v>257</v>
      </c>
      <c r="H78" s="53"/>
      <c r="I78" s="54" t="s">
        <v>181</v>
      </c>
      <c r="J78" s="54">
        <v>2.0</v>
      </c>
      <c r="K78" s="54" t="s">
        <v>77</v>
      </c>
      <c r="L78" s="54" t="s">
        <v>113</v>
      </c>
      <c r="M78" s="52" t="s">
        <v>73</v>
      </c>
      <c r="N78" s="55" t="s">
        <v>80</v>
      </c>
    </row>
    <row r="79">
      <c r="A79" s="48">
        <v>619.0</v>
      </c>
      <c r="B79" s="49">
        <v>45332.0</v>
      </c>
      <c r="C79" s="50">
        <v>35.46</v>
      </c>
      <c r="D79" s="51">
        <v>261.0896098136902</v>
      </c>
      <c r="E79" s="52" t="s">
        <v>50</v>
      </c>
      <c r="F79" s="52" t="s">
        <v>157</v>
      </c>
      <c r="G79" s="52" t="s">
        <v>258</v>
      </c>
      <c r="H79" s="53"/>
      <c r="I79" s="54" t="s">
        <v>181</v>
      </c>
      <c r="J79" s="54">
        <v>2.0</v>
      </c>
      <c r="K79" s="54" t="s">
        <v>77</v>
      </c>
      <c r="L79" s="54" t="s">
        <v>113</v>
      </c>
      <c r="M79" s="52" t="s">
        <v>73</v>
      </c>
      <c r="N79" s="55" t="s">
        <v>80</v>
      </c>
    </row>
    <row r="80">
      <c r="A80" s="48">
        <v>620.0</v>
      </c>
      <c r="B80" s="49">
        <v>45332.0</v>
      </c>
      <c r="C80" s="50">
        <v>212.73</v>
      </c>
      <c r="D80" s="51">
        <v>1566.3167708873748</v>
      </c>
      <c r="E80" s="52" t="s">
        <v>50</v>
      </c>
      <c r="F80" s="52" t="s">
        <v>157</v>
      </c>
      <c r="G80" s="52" t="s">
        <v>259</v>
      </c>
      <c r="H80" s="53"/>
      <c r="I80" s="54" t="s">
        <v>181</v>
      </c>
      <c r="J80" s="54">
        <v>2.0</v>
      </c>
      <c r="K80" s="54" t="s">
        <v>77</v>
      </c>
      <c r="L80" s="54" t="s">
        <v>113</v>
      </c>
      <c r="M80" s="52" t="s">
        <v>73</v>
      </c>
      <c r="N80" s="55" t="s">
        <v>80</v>
      </c>
    </row>
    <row r="81">
      <c r="A81" s="48">
        <v>621.0</v>
      </c>
      <c r="B81" s="49">
        <v>45331.0</v>
      </c>
      <c r="C81" s="50">
        <v>177.28</v>
      </c>
      <c r="D81" s="51">
        <v>1302.3100729370117</v>
      </c>
      <c r="E81" s="52" t="s">
        <v>50</v>
      </c>
      <c r="F81" s="52" t="s">
        <v>157</v>
      </c>
      <c r="G81" s="52" t="s">
        <v>260</v>
      </c>
      <c r="H81" s="53"/>
      <c r="I81" s="54" t="s">
        <v>181</v>
      </c>
      <c r="J81" s="54">
        <v>2.0</v>
      </c>
      <c r="K81" s="54" t="s">
        <v>77</v>
      </c>
      <c r="L81" s="54" t="s">
        <v>113</v>
      </c>
      <c r="M81" s="52" t="s">
        <v>73</v>
      </c>
      <c r="N81" s="55" t="s">
        <v>80</v>
      </c>
    </row>
    <row r="82">
      <c r="A82" s="48">
        <v>622.0</v>
      </c>
      <c r="B82" s="49">
        <v>45332.0</v>
      </c>
      <c r="C82" s="50">
        <v>106.37</v>
      </c>
      <c r="D82" s="51">
        <v>781.4007358884812</v>
      </c>
      <c r="E82" s="52" t="s">
        <v>50</v>
      </c>
      <c r="F82" s="52" t="s">
        <v>157</v>
      </c>
      <c r="G82" s="52" t="s">
        <v>261</v>
      </c>
      <c r="H82" s="53"/>
      <c r="I82" s="54" t="s">
        <v>181</v>
      </c>
      <c r="J82" s="54">
        <v>2.0</v>
      </c>
      <c r="K82" s="54" t="s">
        <v>77</v>
      </c>
      <c r="L82" s="54" t="s">
        <v>113</v>
      </c>
      <c r="M82" s="52" t="s">
        <v>73</v>
      </c>
      <c r="N82" s="55" t="s">
        <v>80</v>
      </c>
    </row>
    <row r="83">
      <c r="A83" s="48">
        <v>623.0</v>
      </c>
      <c r="B83" s="49">
        <v>45332.0</v>
      </c>
      <c r="C83" s="50">
        <v>88.64</v>
      </c>
      <c r="D83" s="51">
        <v>651.1550364685058</v>
      </c>
      <c r="E83" s="52" t="s">
        <v>50</v>
      </c>
      <c r="F83" s="52" t="s">
        <v>157</v>
      </c>
      <c r="G83" s="52" t="s">
        <v>262</v>
      </c>
      <c r="H83" s="53"/>
      <c r="I83" s="54" t="s">
        <v>181</v>
      </c>
      <c r="J83" s="54">
        <v>2.0</v>
      </c>
      <c r="K83" s="54" t="s">
        <v>77</v>
      </c>
      <c r="L83" s="54" t="s">
        <v>113</v>
      </c>
      <c r="M83" s="52" t="s">
        <v>73</v>
      </c>
      <c r="N83" s="55" t="s">
        <v>80</v>
      </c>
    </row>
    <row r="84">
      <c r="A84" s="48">
        <v>624.0</v>
      </c>
      <c r="B84" s="49">
        <v>45332.0</v>
      </c>
      <c r="C84" s="50">
        <v>73.87</v>
      </c>
      <c r="D84" s="51">
        <v>543.8998724460602</v>
      </c>
      <c r="E84" s="52" t="s">
        <v>50</v>
      </c>
      <c r="F84" s="52" t="s">
        <v>157</v>
      </c>
      <c r="G84" s="52" t="s">
        <v>263</v>
      </c>
      <c r="H84" s="53"/>
      <c r="I84" s="54" t="s">
        <v>181</v>
      </c>
      <c r="J84" s="54">
        <v>2.0</v>
      </c>
      <c r="K84" s="54" t="s">
        <v>77</v>
      </c>
      <c r="L84" s="54" t="s">
        <v>113</v>
      </c>
      <c r="M84" s="52" t="s">
        <v>73</v>
      </c>
      <c r="N84" s="55" t="s">
        <v>80</v>
      </c>
    </row>
    <row r="85">
      <c r="A85" s="48">
        <v>625.0</v>
      </c>
      <c r="B85" s="49">
        <v>45332.0</v>
      </c>
      <c r="C85" s="50">
        <v>58.9188392988</v>
      </c>
      <c r="D85" s="51">
        <v>433.8154755555332</v>
      </c>
      <c r="E85" s="52" t="s">
        <v>50</v>
      </c>
      <c r="F85" s="52" t="s">
        <v>157</v>
      </c>
      <c r="G85" s="52" t="s">
        <v>264</v>
      </c>
      <c r="H85" s="53"/>
      <c r="I85" s="54" t="s">
        <v>181</v>
      </c>
      <c r="J85" s="54">
        <v>2.0</v>
      </c>
      <c r="K85" s="54" t="s">
        <v>77</v>
      </c>
      <c r="L85" s="54" t="s">
        <v>113</v>
      </c>
      <c r="M85" s="52" t="s">
        <v>73</v>
      </c>
      <c r="N85" s="55" t="s">
        <v>80</v>
      </c>
    </row>
    <row r="86">
      <c r="A86" s="48">
        <v>626.0</v>
      </c>
      <c r="B86" s="49">
        <v>45333.0</v>
      </c>
      <c r="C86" s="50">
        <v>58.9188392988</v>
      </c>
      <c r="D86" s="51">
        <v>433.8154755555332</v>
      </c>
      <c r="E86" s="52" t="s">
        <v>50</v>
      </c>
      <c r="F86" s="52" t="s">
        <v>157</v>
      </c>
      <c r="G86" s="52" t="s">
        <v>265</v>
      </c>
      <c r="H86" s="53"/>
      <c r="I86" s="54" t="s">
        <v>181</v>
      </c>
      <c r="J86" s="54">
        <v>2.0</v>
      </c>
      <c r="K86" s="54" t="s">
        <v>77</v>
      </c>
      <c r="L86" s="54" t="s">
        <v>113</v>
      </c>
      <c r="M86" s="52" t="s">
        <v>73</v>
      </c>
      <c r="N86" s="55" t="s">
        <v>80</v>
      </c>
    </row>
    <row r="87">
      <c r="A87" s="48">
        <v>627.0</v>
      </c>
      <c r="B87" s="49">
        <v>45332.0</v>
      </c>
      <c r="C87" s="50">
        <v>58.9188392988</v>
      </c>
      <c r="D87" s="51">
        <v>433.8154755555332</v>
      </c>
      <c r="E87" s="52" t="s">
        <v>50</v>
      </c>
      <c r="F87" s="52" t="s">
        <v>157</v>
      </c>
      <c r="G87" s="52" t="s">
        <v>266</v>
      </c>
      <c r="H87" s="53"/>
      <c r="I87" s="54" t="s">
        <v>181</v>
      </c>
      <c r="J87" s="54">
        <v>2.0</v>
      </c>
      <c r="K87" s="54" t="s">
        <v>77</v>
      </c>
      <c r="L87" s="54" t="s">
        <v>113</v>
      </c>
      <c r="M87" s="52" t="s">
        <v>73</v>
      </c>
      <c r="N87" s="55" t="s">
        <v>80</v>
      </c>
    </row>
    <row r="88">
      <c r="A88" s="48">
        <v>628.0</v>
      </c>
      <c r="B88" s="49">
        <v>45332.0</v>
      </c>
      <c r="C88" s="50">
        <v>14.3467</v>
      </c>
      <c r="D88" s="51">
        <v>105.63379315042496</v>
      </c>
      <c r="E88" s="52" t="s">
        <v>50</v>
      </c>
      <c r="F88" s="52" t="s">
        <v>157</v>
      </c>
      <c r="G88" s="52" t="s">
        <v>267</v>
      </c>
      <c r="H88" s="53"/>
      <c r="I88" s="54" t="s">
        <v>181</v>
      </c>
      <c r="J88" s="54">
        <v>2.0</v>
      </c>
      <c r="K88" s="54" t="s">
        <v>77</v>
      </c>
      <c r="L88" s="54" t="s">
        <v>113</v>
      </c>
      <c r="M88" s="52" t="s">
        <v>73</v>
      </c>
      <c r="N88" s="55" t="s">
        <v>80</v>
      </c>
    </row>
    <row r="89">
      <c r="A89" s="48">
        <v>629.0</v>
      </c>
      <c r="B89" s="49">
        <v>45337.0</v>
      </c>
      <c r="C89" s="50">
        <v>7.0525</v>
      </c>
      <c r="D89" s="51">
        <v>55.36254132628441</v>
      </c>
      <c r="E89" s="52" t="s">
        <v>50</v>
      </c>
      <c r="F89" s="52" t="s">
        <v>157</v>
      </c>
      <c r="G89" s="52" t="s">
        <v>268</v>
      </c>
      <c r="H89" s="53"/>
      <c r="I89" s="54" t="s">
        <v>181</v>
      </c>
      <c r="J89" s="54">
        <v>2.0</v>
      </c>
      <c r="K89" s="54" t="s">
        <v>77</v>
      </c>
      <c r="L89" s="54" t="s">
        <v>113</v>
      </c>
      <c r="M89" s="52" t="s">
        <v>73</v>
      </c>
      <c r="N89" s="55" t="s">
        <v>80</v>
      </c>
    </row>
    <row r="90">
      <c r="A90" s="48">
        <v>630.0</v>
      </c>
      <c r="B90" s="49">
        <v>45333.0</v>
      </c>
      <c r="C90" s="50">
        <v>246.442717</v>
      </c>
      <c r="D90" s="51">
        <v>1814.5412527624273</v>
      </c>
      <c r="E90" s="52" t="s">
        <v>50</v>
      </c>
      <c r="F90" s="52" t="s">
        <v>157</v>
      </c>
      <c r="G90" s="52" t="s">
        <v>269</v>
      </c>
      <c r="H90" s="53"/>
      <c r="I90" s="54" t="s">
        <v>181</v>
      </c>
      <c r="J90" s="54">
        <v>2.0</v>
      </c>
      <c r="K90" s="54" t="s">
        <v>77</v>
      </c>
      <c r="L90" s="54" t="s">
        <v>113</v>
      </c>
      <c r="M90" s="52" t="s">
        <v>73</v>
      </c>
      <c r="N90" s="55" t="s">
        <v>80</v>
      </c>
    </row>
    <row r="91">
      <c r="A91" s="48">
        <v>631.0</v>
      </c>
      <c r="B91" s="49">
        <v>45333.0</v>
      </c>
      <c r="C91" s="50">
        <v>105.618307</v>
      </c>
      <c r="D91" s="51">
        <v>808.8531973308802</v>
      </c>
      <c r="E91" s="52" t="s">
        <v>50</v>
      </c>
      <c r="F91" s="52" t="s">
        <v>157</v>
      </c>
      <c r="G91" s="52" t="s">
        <v>270</v>
      </c>
      <c r="H91" s="53"/>
      <c r="I91" s="54" t="s">
        <v>181</v>
      </c>
      <c r="J91" s="54">
        <v>2.0</v>
      </c>
      <c r="K91" s="54" t="s">
        <v>77</v>
      </c>
      <c r="L91" s="54" t="s">
        <v>113</v>
      </c>
      <c r="M91" s="52" t="s">
        <v>73</v>
      </c>
      <c r="N91" s="55" t="s">
        <v>80</v>
      </c>
    </row>
    <row r="92">
      <c r="A92" s="48">
        <v>632.0</v>
      </c>
      <c r="B92" s="49">
        <v>45334.0</v>
      </c>
      <c r="C92" s="50">
        <v>73.3460466</v>
      </c>
      <c r="D92" s="51">
        <v>561.7036098106527</v>
      </c>
      <c r="E92" s="52" t="s">
        <v>50</v>
      </c>
      <c r="F92" s="52" t="s">
        <v>157</v>
      </c>
      <c r="G92" s="52" t="s">
        <v>271</v>
      </c>
      <c r="H92" s="53"/>
      <c r="I92" s="54" t="s">
        <v>181</v>
      </c>
      <c r="J92" s="54">
        <v>2.0</v>
      </c>
      <c r="K92" s="54" t="s">
        <v>77</v>
      </c>
      <c r="L92" s="54" t="s">
        <v>113</v>
      </c>
      <c r="M92" s="52" t="s">
        <v>73</v>
      </c>
      <c r="N92" s="55" t="s">
        <v>80</v>
      </c>
    </row>
    <row r="93">
      <c r="A93" s="48">
        <v>633.0</v>
      </c>
      <c r="B93" s="49">
        <v>45335.0</v>
      </c>
      <c r="C93" s="50">
        <v>5167.0</v>
      </c>
      <c r="D93" s="51">
        <v>39566.725192546844</v>
      </c>
      <c r="E93" s="52" t="s">
        <v>46</v>
      </c>
      <c r="F93" s="52" t="s">
        <v>114</v>
      </c>
      <c r="G93" s="52" t="s">
        <v>272</v>
      </c>
      <c r="H93" s="53"/>
      <c r="I93" s="54" t="s">
        <v>181</v>
      </c>
      <c r="J93" s="54">
        <v>2.0</v>
      </c>
      <c r="K93" s="54" t="s">
        <v>77</v>
      </c>
      <c r="L93" s="54" t="s">
        <v>113</v>
      </c>
      <c r="M93" s="52" t="s">
        <v>73</v>
      </c>
      <c r="N93" s="55" t="s">
        <v>80</v>
      </c>
    </row>
    <row r="94">
      <c r="A94" s="48">
        <v>634.0</v>
      </c>
      <c r="B94" s="49">
        <v>45353.0</v>
      </c>
      <c r="C94" s="50">
        <v>1008.0</v>
      </c>
      <c r="D94" s="51">
        <v>9405.031173706055</v>
      </c>
      <c r="E94" s="52" t="s">
        <v>46</v>
      </c>
      <c r="F94" s="52" t="s">
        <v>112</v>
      </c>
      <c r="G94" s="52" t="s">
        <v>273</v>
      </c>
      <c r="H94" s="53"/>
      <c r="I94" s="54" t="s">
        <v>181</v>
      </c>
      <c r="J94" s="54">
        <v>3.0</v>
      </c>
      <c r="K94" s="54" t="s">
        <v>77</v>
      </c>
      <c r="L94" s="54" t="s">
        <v>115</v>
      </c>
      <c r="M94" s="52" t="s">
        <v>73</v>
      </c>
      <c r="N94" s="55" t="s">
        <v>80</v>
      </c>
    </row>
    <row r="95">
      <c r="A95" s="48">
        <v>635.0</v>
      </c>
      <c r="B95" s="49">
        <v>45336.0</v>
      </c>
      <c r="C95" s="50">
        <v>81.4107274063</v>
      </c>
      <c r="D95" s="51">
        <v>627.2170478152265</v>
      </c>
      <c r="E95" s="52" t="s">
        <v>50</v>
      </c>
      <c r="F95" s="52" t="s">
        <v>157</v>
      </c>
      <c r="G95" s="52" t="s">
        <v>274</v>
      </c>
      <c r="H95" s="53"/>
      <c r="I95" s="54" t="s">
        <v>181</v>
      </c>
      <c r="J95" s="54">
        <v>2.0</v>
      </c>
      <c r="K95" s="54" t="s">
        <v>77</v>
      </c>
      <c r="L95" s="54" t="s">
        <v>113</v>
      </c>
      <c r="M95" s="52" t="s">
        <v>73</v>
      </c>
      <c r="N95" s="55" t="s">
        <v>80</v>
      </c>
    </row>
    <row r="96">
      <c r="A96" s="48">
        <v>636.0</v>
      </c>
      <c r="B96" s="49">
        <v>45344.0</v>
      </c>
      <c r="C96" s="50">
        <v>367.6708302719</v>
      </c>
      <c r="D96" s="51">
        <v>2913.078727834608</v>
      </c>
      <c r="E96" s="52" t="s">
        <v>50</v>
      </c>
      <c r="F96" s="52" t="s">
        <v>157</v>
      </c>
      <c r="G96" s="52" t="s">
        <v>275</v>
      </c>
      <c r="H96" s="53"/>
      <c r="I96" s="54" t="s">
        <v>181</v>
      </c>
      <c r="J96" s="54">
        <v>2.0</v>
      </c>
      <c r="K96" s="54" t="s">
        <v>77</v>
      </c>
      <c r="L96" s="54" t="s">
        <v>113</v>
      </c>
      <c r="M96" s="52" t="s">
        <v>73</v>
      </c>
      <c r="N96" s="55" t="s">
        <v>80</v>
      </c>
    </row>
    <row r="97">
      <c r="A97" s="48">
        <v>637.0</v>
      </c>
      <c r="B97" s="49">
        <v>45341.0</v>
      </c>
      <c r="C97" s="50">
        <v>267.8912564291</v>
      </c>
      <c r="D97" s="51">
        <v>2000.693128601259</v>
      </c>
      <c r="E97" s="52" t="s">
        <v>50</v>
      </c>
      <c r="F97" s="52" t="s">
        <v>157</v>
      </c>
      <c r="G97" s="52" t="s">
        <v>276</v>
      </c>
      <c r="H97" s="53"/>
      <c r="I97" s="54" t="s">
        <v>181</v>
      </c>
      <c r="J97" s="54">
        <v>2.0</v>
      </c>
      <c r="K97" s="54" t="s">
        <v>77</v>
      </c>
      <c r="L97" s="54" t="s">
        <v>113</v>
      </c>
      <c r="M97" s="52" t="s">
        <v>73</v>
      </c>
      <c r="N97" s="55" t="s">
        <v>80</v>
      </c>
    </row>
    <row r="98">
      <c r="A98" s="48">
        <v>638.0</v>
      </c>
      <c r="B98" s="49">
        <v>45340.0</v>
      </c>
      <c r="C98" s="50">
        <v>367.5238795004</v>
      </c>
      <c r="D98" s="51">
        <v>2842.1377948592535</v>
      </c>
      <c r="E98" s="52" t="s">
        <v>50</v>
      </c>
      <c r="F98" s="52" t="s">
        <v>157</v>
      </c>
      <c r="G98" s="52" t="s">
        <v>277</v>
      </c>
      <c r="H98" s="53"/>
      <c r="I98" s="54" t="s">
        <v>181</v>
      </c>
      <c r="J98" s="54">
        <v>2.0</v>
      </c>
      <c r="K98" s="54" t="s">
        <v>77</v>
      </c>
      <c r="L98" s="54" t="s">
        <v>113</v>
      </c>
      <c r="M98" s="52" t="s">
        <v>73</v>
      </c>
      <c r="N98" s="55" t="s">
        <v>80</v>
      </c>
    </row>
    <row r="99">
      <c r="A99" s="48">
        <v>642.0</v>
      </c>
      <c r="B99" s="49">
        <v>45336.0</v>
      </c>
      <c r="C99" s="50">
        <v>1034.84</v>
      </c>
      <c r="D99" s="51">
        <v>7972.773496074676</v>
      </c>
      <c r="E99" s="52" t="s">
        <v>50</v>
      </c>
      <c r="F99" s="52" t="s">
        <v>157</v>
      </c>
      <c r="G99" s="52" t="s">
        <v>278</v>
      </c>
      <c r="H99" s="53"/>
      <c r="I99" s="54" t="s">
        <v>181</v>
      </c>
      <c r="J99" s="54">
        <v>2.0</v>
      </c>
      <c r="K99" s="54" t="s">
        <v>77</v>
      </c>
      <c r="L99" s="54" t="s">
        <v>113</v>
      </c>
      <c r="M99" s="52" t="s">
        <v>73</v>
      </c>
      <c r="N99" s="55" t="s">
        <v>80</v>
      </c>
    </row>
    <row r="100">
      <c r="A100" s="48">
        <v>643.0</v>
      </c>
      <c r="B100" s="49">
        <v>45339.0</v>
      </c>
      <c r="C100" s="50">
        <v>473.66</v>
      </c>
      <c r="D100" s="51">
        <v>3803.0894519233707</v>
      </c>
      <c r="E100" s="52" t="s">
        <v>50</v>
      </c>
      <c r="F100" s="52" t="s">
        <v>157</v>
      </c>
      <c r="G100" s="52" t="s">
        <v>279</v>
      </c>
      <c r="H100" s="53"/>
      <c r="I100" s="54" t="s">
        <v>181</v>
      </c>
      <c r="J100" s="54">
        <v>2.0</v>
      </c>
      <c r="K100" s="54" t="s">
        <v>77</v>
      </c>
      <c r="L100" s="54" t="s">
        <v>113</v>
      </c>
      <c r="M100" s="52" t="s">
        <v>73</v>
      </c>
      <c r="N100" s="55" t="s">
        <v>80</v>
      </c>
    </row>
    <row r="101">
      <c r="A101" s="48">
        <v>644.0</v>
      </c>
      <c r="B101" s="49">
        <v>45336.0</v>
      </c>
      <c r="C101" s="50">
        <v>800.12</v>
      </c>
      <c r="D101" s="51">
        <v>6164.407569942475</v>
      </c>
      <c r="E101" s="52" t="s">
        <v>50</v>
      </c>
      <c r="F101" s="52" t="s">
        <v>157</v>
      </c>
      <c r="G101" s="52" t="s">
        <v>280</v>
      </c>
      <c r="H101" s="53"/>
      <c r="I101" s="54" t="s">
        <v>181</v>
      </c>
      <c r="J101" s="54">
        <v>2.0</v>
      </c>
      <c r="K101" s="54" t="s">
        <v>77</v>
      </c>
      <c r="L101" s="54" t="s">
        <v>113</v>
      </c>
      <c r="M101" s="52" t="s">
        <v>73</v>
      </c>
      <c r="N101" s="55" t="s">
        <v>80</v>
      </c>
    </row>
    <row r="102">
      <c r="A102" s="48">
        <v>654.0</v>
      </c>
      <c r="B102" s="49">
        <v>45339.0</v>
      </c>
      <c r="C102" s="50">
        <v>40697.67</v>
      </c>
      <c r="D102" s="51">
        <v>314723.45749872207</v>
      </c>
      <c r="E102" s="52" t="s">
        <v>81</v>
      </c>
      <c r="F102" s="52" t="s">
        <v>84</v>
      </c>
      <c r="G102" s="52" t="s">
        <v>281</v>
      </c>
      <c r="H102" s="53"/>
      <c r="I102" s="54" t="s">
        <v>181</v>
      </c>
      <c r="J102" s="54">
        <v>2.0</v>
      </c>
      <c r="K102" s="54" t="s">
        <v>77</v>
      </c>
      <c r="L102" s="54" t="s">
        <v>113</v>
      </c>
      <c r="M102" s="52" t="s">
        <v>73</v>
      </c>
      <c r="N102" s="55" t="s">
        <v>80</v>
      </c>
    </row>
    <row r="103">
      <c r="A103" s="48">
        <v>655.0</v>
      </c>
      <c r="B103" s="49">
        <v>45339.0</v>
      </c>
      <c r="C103" s="50">
        <v>59.2865094581</v>
      </c>
      <c r="D103" s="51">
        <v>458.47477852378086</v>
      </c>
      <c r="E103" s="52" t="s">
        <v>49</v>
      </c>
      <c r="F103" s="52" t="s">
        <v>140</v>
      </c>
      <c r="G103" s="52" t="s">
        <v>282</v>
      </c>
      <c r="H103" s="53"/>
      <c r="I103" s="54" t="s">
        <v>181</v>
      </c>
      <c r="J103" s="54">
        <v>2.0</v>
      </c>
      <c r="K103" s="54" t="s">
        <v>77</v>
      </c>
      <c r="L103" s="54" t="s">
        <v>113</v>
      </c>
      <c r="M103" s="52" t="s">
        <v>73</v>
      </c>
      <c r="N103" s="55" t="s">
        <v>80</v>
      </c>
    </row>
    <row r="104">
      <c r="A104" s="48">
        <v>656.0</v>
      </c>
      <c r="B104" s="49">
        <v>45339.0</v>
      </c>
      <c r="C104" s="50">
        <v>59.2073119835</v>
      </c>
      <c r="D104" s="51">
        <v>457.86232815423193</v>
      </c>
      <c r="E104" s="52" t="s">
        <v>49</v>
      </c>
      <c r="F104" s="52" t="s">
        <v>140</v>
      </c>
      <c r="G104" s="52" t="s">
        <v>283</v>
      </c>
      <c r="H104" s="53"/>
      <c r="I104" s="54" t="s">
        <v>181</v>
      </c>
      <c r="J104" s="54">
        <v>2.0</v>
      </c>
      <c r="K104" s="54" t="s">
        <v>77</v>
      </c>
      <c r="L104" s="54" t="s">
        <v>113</v>
      </c>
      <c r="M104" s="52" t="s">
        <v>73</v>
      </c>
      <c r="N104" s="55" t="s">
        <v>80</v>
      </c>
    </row>
    <row r="105">
      <c r="A105" s="48">
        <v>657.0</v>
      </c>
      <c r="B105" s="49">
        <v>45339.0</v>
      </c>
      <c r="C105" s="50">
        <v>59.3189084249</v>
      </c>
      <c r="D105" s="51">
        <v>458.72532640159994</v>
      </c>
      <c r="E105" s="52" t="s">
        <v>49</v>
      </c>
      <c r="F105" s="52" t="s">
        <v>140</v>
      </c>
      <c r="G105" s="52" t="s">
        <v>284</v>
      </c>
      <c r="H105" s="53"/>
      <c r="I105" s="54" t="s">
        <v>181</v>
      </c>
      <c r="J105" s="54">
        <v>2.0</v>
      </c>
      <c r="K105" s="54" t="s">
        <v>77</v>
      </c>
      <c r="L105" s="54" t="s">
        <v>113</v>
      </c>
      <c r="M105" s="52" t="s">
        <v>73</v>
      </c>
      <c r="N105" s="55" t="s">
        <v>80</v>
      </c>
    </row>
    <row r="106">
      <c r="A106" s="48">
        <v>658.0</v>
      </c>
      <c r="B106" s="49">
        <v>45339.0</v>
      </c>
      <c r="C106" s="50">
        <v>59.3513073918</v>
      </c>
      <c r="D106" s="51">
        <v>458.9758742801924</v>
      </c>
      <c r="E106" s="52" t="s">
        <v>49</v>
      </c>
      <c r="F106" s="52" t="s">
        <v>140</v>
      </c>
      <c r="G106" s="52" t="s">
        <v>285</v>
      </c>
      <c r="H106" s="53"/>
      <c r="I106" s="54" t="s">
        <v>181</v>
      </c>
      <c r="J106" s="54">
        <v>2.0</v>
      </c>
      <c r="K106" s="54" t="s">
        <v>77</v>
      </c>
      <c r="L106" s="54" t="s">
        <v>113</v>
      </c>
      <c r="M106" s="52" t="s">
        <v>73</v>
      </c>
      <c r="N106" s="55" t="s">
        <v>80</v>
      </c>
    </row>
    <row r="107">
      <c r="A107" s="48">
        <v>659.0</v>
      </c>
      <c r="B107" s="49">
        <v>45339.0</v>
      </c>
      <c r="C107" s="50">
        <v>59.3261081953</v>
      </c>
      <c r="D107" s="51">
        <v>458.78100370778196</v>
      </c>
      <c r="E107" s="52" t="s">
        <v>49</v>
      </c>
      <c r="F107" s="52" t="s">
        <v>140</v>
      </c>
      <c r="G107" s="52" t="s">
        <v>286</v>
      </c>
      <c r="H107" s="53"/>
      <c r="I107" s="54" t="s">
        <v>181</v>
      </c>
      <c r="J107" s="54">
        <v>2.0</v>
      </c>
      <c r="K107" s="54" t="s">
        <v>77</v>
      </c>
      <c r="L107" s="54" t="s">
        <v>113</v>
      </c>
      <c r="M107" s="52" t="s">
        <v>73</v>
      </c>
      <c r="N107" s="55" t="s">
        <v>80</v>
      </c>
    </row>
    <row r="108">
      <c r="A108" s="48">
        <v>660.0</v>
      </c>
      <c r="B108" s="49">
        <v>45339.0</v>
      </c>
      <c r="C108" s="50">
        <v>58.9409204783</v>
      </c>
      <c r="D108" s="51">
        <v>455.8022678224038</v>
      </c>
      <c r="E108" s="52" t="s">
        <v>49</v>
      </c>
      <c r="F108" s="52" t="s">
        <v>140</v>
      </c>
      <c r="G108" s="52" t="s">
        <v>287</v>
      </c>
      <c r="H108" s="53"/>
      <c r="I108" s="54" t="s">
        <v>181</v>
      </c>
      <c r="J108" s="54">
        <v>2.0</v>
      </c>
      <c r="K108" s="54" t="s">
        <v>77</v>
      </c>
      <c r="L108" s="54" t="s">
        <v>113</v>
      </c>
      <c r="M108" s="52" t="s">
        <v>73</v>
      </c>
      <c r="N108" s="55" t="s">
        <v>80</v>
      </c>
    </row>
    <row r="109">
      <c r="A109" s="48">
        <v>661.0</v>
      </c>
      <c r="B109" s="49">
        <v>45339.0</v>
      </c>
      <c r="C109" s="50">
        <v>59.2469107208</v>
      </c>
      <c r="D109" s="51">
        <v>458.1685533390064</v>
      </c>
      <c r="E109" s="52" t="s">
        <v>49</v>
      </c>
      <c r="F109" s="52" t="s">
        <v>140</v>
      </c>
      <c r="G109" s="52" t="s">
        <v>288</v>
      </c>
      <c r="H109" s="53"/>
      <c r="I109" s="54" t="s">
        <v>181</v>
      </c>
      <c r="J109" s="54">
        <v>2.0</v>
      </c>
      <c r="K109" s="54" t="s">
        <v>77</v>
      </c>
      <c r="L109" s="54" t="s">
        <v>113</v>
      </c>
      <c r="M109" s="52" t="s">
        <v>73</v>
      </c>
      <c r="N109" s="55" t="s">
        <v>80</v>
      </c>
    </row>
    <row r="110">
      <c r="A110" s="48">
        <v>662.0</v>
      </c>
      <c r="B110" s="49">
        <v>45339.0</v>
      </c>
      <c r="C110" s="50">
        <v>44.0077013255</v>
      </c>
      <c r="D110" s="51">
        <v>340.3206109276638</v>
      </c>
      <c r="E110" s="52" t="s">
        <v>49</v>
      </c>
      <c r="F110" s="52" t="s">
        <v>140</v>
      </c>
      <c r="G110" s="52" t="s">
        <v>289</v>
      </c>
      <c r="H110" s="53"/>
      <c r="I110" s="54" t="s">
        <v>181</v>
      </c>
      <c r="J110" s="54">
        <v>2.0</v>
      </c>
      <c r="K110" s="54" t="s">
        <v>77</v>
      </c>
      <c r="L110" s="54" t="s">
        <v>113</v>
      </c>
      <c r="M110" s="52" t="s">
        <v>73</v>
      </c>
      <c r="N110" s="55" t="s">
        <v>80</v>
      </c>
    </row>
    <row r="111">
      <c r="A111" s="48">
        <v>663.0</v>
      </c>
      <c r="B111" s="49">
        <v>45339.0</v>
      </c>
      <c r="C111" s="50">
        <v>44.0665172801</v>
      </c>
      <c r="D111" s="51">
        <v>340.7754468086319</v>
      </c>
      <c r="E111" s="52" t="s">
        <v>49</v>
      </c>
      <c r="F111" s="52" t="s">
        <v>140</v>
      </c>
      <c r="G111" s="52" t="s">
        <v>290</v>
      </c>
      <c r="H111" s="53"/>
      <c r="I111" s="54" t="s">
        <v>181</v>
      </c>
      <c r="J111" s="54">
        <v>2.0</v>
      </c>
      <c r="K111" s="54" t="s">
        <v>77</v>
      </c>
      <c r="L111" s="54" t="s">
        <v>113</v>
      </c>
      <c r="M111" s="52" t="s">
        <v>73</v>
      </c>
      <c r="N111" s="55" t="s">
        <v>80</v>
      </c>
    </row>
    <row r="112">
      <c r="A112" s="48">
        <v>664.0</v>
      </c>
      <c r="B112" s="49">
        <v>45339.0</v>
      </c>
      <c r="C112" s="50">
        <v>44.0157216829</v>
      </c>
      <c r="D112" s="51">
        <v>340.38263400198974</v>
      </c>
      <c r="E112" s="52" t="s">
        <v>49</v>
      </c>
      <c r="F112" s="52" t="s">
        <v>140</v>
      </c>
      <c r="G112" s="52" t="s">
        <v>291</v>
      </c>
      <c r="H112" s="53"/>
      <c r="I112" s="54" t="s">
        <v>181</v>
      </c>
      <c r="J112" s="54">
        <v>2.0</v>
      </c>
      <c r="K112" s="54" t="s">
        <v>77</v>
      </c>
      <c r="L112" s="54" t="s">
        <v>113</v>
      </c>
      <c r="M112" s="52" t="s">
        <v>73</v>
      </c>
      <c r="N112" s="55" t="s">
        <v>80</v>
      </c>
    </row>
    <row r="113">
      <c r="A113" s="48">
        <v>665.0</v>
      </c>
      <c r="B113" s="49">
        <v>45339.0</v>
      </c>
      <c r="C113" s="50">
        <v>44.0852314475</v>
      </c>
      <c r="D113" s="51">
        <v>340.9201673164236</v>
      </c>
      <c r="E113" s="52" t="s">
        <v>49</v>
      </c>
      <c r="F113" s="52" t="s">
        <v>140</v>
      </c>
      <c r="G113" s="52" t="s">
        <v>292</v>
      </c>
      <c r="H113" s="53"/>
      <c r="I113" s="54" t="s">
        <v>181</v>
      </c>
      <c r="J113" s="54">
        <v>2.0</v>
      </c>
      <c r="K113" s="54" t="s">
        <v>77</v>
      </c>
      <c r="L113" s="54" t="s">
        <v>113</v>
      </c>
      <c r="M113" s="52" t="s">
        <v>73</v>
      </c>
      <c r="N113" s="55" t="s">
        <v>80</v>
      </c>
    </row>
    <row r="114">
      <c r="A114" s="48">
        <v>666.0</v>
      </c>
      <c r="B114" s="49">
        <v>45339.0</v>
      </c>
      <c r="C114" s="50">
        <v>10.6427783405</v>
      </c>
      <c r="D114" s="51">
        <v>82.30279514072112</v>
      </c>
      <c r="E114" s="52" t="s">
        <v>49</v>
      </c>
      <c r="F114" s="52" t="s">
        <v>140</v>
      </c>
      <c r="G114" s="52" t="s">
        <v>293</v>
      </c>
      <c r="H114" s="53"/>
      <c r="I114" s="54" t="s">
        <v>181</v>
      </c>
      <c r="J114" s="54">
        <v>2.0</v>
      </c>
      <c r="K114" s="54" t="s">
        <v>77</v>
      </c>
      <c r="L114" s="54" t="s">
        <v>113</v>
      </c>
      <c r="M114" s="52" t="s">
        <v>73</v>
      </c>
      <c r="N114" s="55" t="s">
        <v>80</v>
      </c>
    </row>
    <row r="115">
      <c r="A115" s="48">
        <v>667.0</v>
      </c>
      <c r="B115" s="49">
        <v>45339.0</v>
      </c>
      <c r="C115" s="50">
        <v>10.6427783405</v>
      </c>
      <c r="D115" s="51">
        <v>82.30279514072112</v>
      </c>
      <c r="E115" s="52" t="s">
        <v>49</v>
      </c>
      <c r="F115" s="52" t="s">
        <v>140</v>
      </c>
      <c r="G115" s="52" t="s">
        <v>294</v>
      </c>
      <c r="H115" s="53"/>
      <c r="I115" s="54" t="s">
        <v>181</v>
      </c>
      <c r="J115" s="54">
        <v>2.0</v>
      </c>
      <c r="K115" s="54" t="s">
        <v>77</v>
      </c>
      <c r="L115" s="54" t="s">
        <v>113</v>
      </c>
      <c r="M115" s="52" t="s">
        <v>73</v>
      </c>
      <c r="N115" s="55" t="s">
        <v>80</v>
      </c>
    </row>
    <row r="116">
      <c r="A116" s="48">
        <v>668.0</v>
      </c>
      <c r="B116" s="49">
        <v>45339.0</v>
      </c>
      <c r="C116" s="50">
        <v>10.6427783405</v>
      </c>
      <c r="D116" s="51">
        <v>82.30279514072112</v>
      </c>
      <c r="E116" s="52" t="s">
        <v>49</v>
      </c>
      <c r="F116" s="52" t="s">
        <v>140</v>
      </c>
      <c r="G116" s="52" t="s">
        <v>295</v>
      </c>
      <c r="H116" s="53"/>
      <c r="I116" s="54" t="s">
        <v>181</v>
      </c>
      <c r="J116" s="54">
        <v>2.0</v>
      </c>
      <c r="K116" s="54" t="s">
        <v>77</v>
      </c>
      <c r="L116" s="54" t="s">
        <v>113</v>
      </c>
      <c r="M116" s="52" t="s">
        <v>73</v>
      </c>
      <c r="N116" s="55" t="s">
        <v>80</v>
      </c>
    </row>
    <row r="117">
      <c r="A117" s="48">
        <v>669.0</v>
      </c>
      <c r="B117" s="49">
        <v>45339.0</v>
      </c>
      <c r="C117" s="50">
        <v>3.6737692873</v>
      </c>
      <c r="D117" s="51">
        <v>28.41001394309974</v>
      </c>
      <c r="E117" s="52" t="s">
        <v>49</v>
      </c>
      <c r="F117" s="52" t="s">
        <v>140</v>
      </c>
      <c r="G117" s="52" t="s">
        <v>296</v>
      </c>
      <c r="H117" s="53"/>
      <c r="I117" s="54" t="s">
        <v>181</v>
      </c>
      <c r="J117" s="54">
        <v>2.0</v>
      </c>
      <c r="K117" s="54" t="s">
        <v>77</v>
      </c>
      <c r="L117" s="54" t="s">
        <v>113</v>
      </c>
      <c r="M117" s="52" t="s">
        <v>73</v>
      </c>
      <c r="N117" s="55" t="s">
        <v>80</v>
      </c>
    </row>
    <row r="118">
      <c r="A118" s="48">
        <v>670.0</v>
      </c>
      <c r="B118" s="49">
        <v>45339.0</v>
      </c>
      <c r="C118" s="50">
        <v>44.0397827553</v>
      </c>
      <c r="D118" s="51">
        <v>340.5687032265143</v>
      </c>
      <c r="E118" s="52" t="s">
        <v>49</v>
      </c>
      <c r="F118" s="52" t="s">
        <v>140</v>
      </c>
      <c r="G118" s="52" t="s">
        <v>297</v>
      </c>
      <c r="H118" s="53"/>
      <c r="I118" s="54" t="s">
        <v>181</v>
      </c>
      <c r="J118" s="54">
        <v>2.0</v>
      </c>
      <c r="K118" s="54" t="s">
        <v>77</v>
      </c>
      <c r="L118" s="54" t="s">
        <v>113</v>
      </c>
      <c r="M118" s="52" t="s">
        <v>73</v>
      </c>
      <c r="N118" s="55" t="s">
        <v>80</v>
      </c>
    </row>
    <row r="119">
      <c r="A119" s="48">
        <v>671.0</v>
      </c>
      <c r="B119" s="49">
        <v>45339.0</v>
      </c>
      <c r="C119" s="50">
        <v>3.6737692873</v>
      </c>
      <c r="D119" s="51">
        <v>28.41001394309974</v>
      </c>
      <c r="E119" s="52" t="s">
        <v>49</v>
      </c>
      <c r="F119" s="52" t="s">
        <v>140</v>
      </c>
      <c r="G119" s="52" t="s">
        <v>296</v>
      </c>
      <c r="H119" s="53"/>
      <c r="I119" s="54" t="s">
        <v>181</v>
      </c>
      <c r="J119" s="54">
        <v>2.0</v>
      </c>
      <c r="K119" s="54" t="s">
        <v>77</v>
      </c>
      <c r="L119" s="54" t="s">
        <v>113</v>
      </c>
      <c r="M119" s="52" t="s">
        <v>73</v>
      </c>
      <c r="N119" s="55" t="s">
        <v>80</v>
      </c>
    </row>
    <row r="120">
      <c r="A120" s="48">
        <v>672.0</v>
      </c>
      <c r="B120" s="49">
        <v>45339.0</v>
      </c>
      <c r="C120" s="50">
        <v>43.6816869549</v>
      </c>
      <c r="D120" s="51">
        <v>337.79947470759265</v>
      </c>
      <c r="E120" s="52" t="s">
        <v>49</v>
      </c>
      <c r="F120" s="52" t="s">
        <v>140</v>
      </c>
      <c r="G120" s="52" t="s">
        <v>298</v>
      </c>
      <c r="H120" s="53"/>
      <c r="I120" s="54" t="s">
        <v>181</v>
      </c>
      <c r="J120" s="54">
        <v>2.0</v>
      </c>
      <c r="K120" s="54" t="s">
        <v>77</v>
      </c>
      <c r="L120" s="54" t="s">
        <v>113</v>
      </c>
      <c r="M120" s="52" t="s">
        <v>73</v>
      </c>
      <c r="N120" s="55" t="s">
        <v>80</v>
      </c>
    </row>
    <row r="121">
      <c r="A121" s="48">
        <v>673.0</v>
      </c>
      <c r="B121" s="49">
        <v>45339.0</v>
      </c>
      <c r="C121" s="50">
        <v>59.2253611655</v>
      </c>
      <c r="D121" s="51">
        <v>458.00190619307455</v>
      </c>
      <c r="E121" s="52" t="s">
        <v>49</v>
      </c>
      <c r="F121" s="52" t="s">
        <v>140</v>
      </c>
      <c r="G121" s="52" t="s">
        <v>299</v>
      </c>
      <c r="H121" s="53"/>
      <c r="I121" s="54" t="s">
        <v>181</v>
      </c>
      <c r="J121" s="54">
        <v>2.0</v>
      </c>
      <c r="K121" s="54" t="s">
        <v>77</v>
      </c>
      <c r="L121" s="54" t="s">
        <v>113</v>
      </c>
      <c r="M121" s="52" t="s">
        <v>73</v>
      </c>
      <c r="N121" s="55" t="s">
        <v>80</v>
      </c>
    </row>
    <row r="122">
      <c r="A122" s="48">
        <v>674.0</v>
      </c>
      <c r="B122" s="49">
        <v>45339.0</v>
      </c>
      <c r="C122" s="50">
        <v>59.3009312581</v>
      </c>
      <c r="D122" s="51">
        <v>458.58630527111933</v>
      </c>
      <c r="E122" s="52" t="s">
        <v>49</v>
      </c>
      <c r="F122" s="52" t="s">
        <v>140</v>
      </c>
      <c r="G122" s="52" t="s">
        <v>300</v>
      </c>
      <c r="H122" s="53"/>
      <c r="I122" s="54" t="s">
        <v>181</v>
      </c>
      <c r="J122" s="54">
        <v>2.0</v>
      </c>
      <c r="K122" s="54" t="s">
        <v>77</v>
      </c>
      <c r="L122" s="54" t="s">
        <v>113</v>
      </c>
      <c r="M122" s="52" t="s">
        <v>73</v>
      </c>
      <c r="N122" s="55" t="s">
        <v>80</v>
      </c>
    </row>
    <row r="123">
      <c r="A123" s="48">
        <v>675.0</v>
      </c>
      <c r="B123" s="49">
        <v>45339.0</v>
      </c>
      <c r="C123" s="50">
        <v>59.3009312581</v>
      </c>
      <c r="D123" s="51">
        <v>458.58630527111933</v>
      </c>
      <c r="E123" s="52" t="s">
        <v>49</v>
      </c>
      <c r="F123" s="52" t="s">
        <v>140</v>
      </c>
      <c r="G123" s="52" t="s">
        <v>301</v>
      </c>
      <c r="H123" s="53"/>
      <c r="I123" s="54" t="s">
        <v>181</v>
      </c>
      <c r="J123" s="54">
        <v>2.0</v>
      </c>
      <c r="K123" s="54" t="s">
        <v>77</v>
      </c>
      <c r="L123" s="54" t="s">
        <v>113</v>
      </c>
      <c r="M123" s="52" t="s">
        <v>73</v>
      </c>
      <c r="N123" s="55" t="s">
        <v>80</v>
      </c>
    </row>
    <row r="124">
      <c r="A124" s="48">
        <v>676.0</v>
      </c>
      <c r="B124" s="49">
        <v>45339.0</v>
      </c>
      <c r="C124" s="50">
        <v>59.347712744</v>
      </c>
      <c r="D124" s="51">
        <v>458.94807612899336</v>
      </c>
      <c r="E124" s="52" t="s">
        <v>49</v>
      </c>
      <c r="F124" s="52" t="s">
        <v>140</v>
      </c>
      <c r="G124" s="52" t="s">
        <v>302</v>
      </c>
      <c r="H124" s="53"/>
      <c r="I124" s="54" t="s">
        <v>181</v>
      </c>
      <c r="J124" s="54">
        <v>2.0</v>
      </c>
      <c r="K124" s="54" t="s">
        <v>77</v>
      </c>
      <c r="L124" s="54" t="s">
        <v>113</v>
      </c>
      <c r="M124" s="52" t="s">
        <v>73</v>
      </c>
      <c r="N124" s="55" t="s">
        <v>80</v>
      </c>
    </row>
    <row r="125">
      <c r="A125" s="48">
        <v>677.0</v>
      </c>
      <c r="B125" s="49">
        <v>45339.0</v>
      </c>
      <c r="C125" s="50">
        <v>59.214565438</v>
      </c>
      <c r="D125" s="51">
        <v>457.9184206106072</v>
      </c>
      <c r="E125" s="52" t="s">
        <v>49</v>
      </c>
      <c r="F125" s="52" t="s">
        <v>140</v>
      </c>
      <c r="G125" s="52" t="s">
        <v>303</v>
      </c>
      <c r="H125" s="53"/>
      <c r="I125" s="54" t="s">
        <v>181</v>
      </c>
      <c r="J125" s="54">
        <v>2.0</v>
      </c>
      <c r="K125" s="54" t="s">
        <v>77</v>
      </c>
      <c r="L125" s="54" t="s">
        <v>113</v>
      </c>
      <c r="M125" s="52" t="s">
        <v>73</v>
      </c>
      <c r="N125" s="55" t="s">
        <v>80</v>
      </c>
    </row>
    <row r="126">
      <c r="A126" s="48">
        <v>678.0</v>
      </c>
      <c r="B126" s="49">
        <v>45339.0</v>
      </c>
      <c r="C126" s="50">
        <v>59.326121289</v>
      </c>
      <c r="D126" s="51">
        <v>458.78110496405867</v>
      </c>
      <c r="E126" s="52" t="s">
        <v>49</v>
      </c>
      <c r="F126" s="52" t="s">
        <v>140</v>
      </c>
      <c r="G126" s="52" t="s">
        <v>304</v>
      </c>
      <c r="H126" s="53"/>
      <c r="I126" s="54" t="s">
        <v>181</v>
      </c>
      <c r="J126" s="54">
        <v>2.0</v>
      </c>
      <c r="K126" s="54" t="s">
        <v>77</v>
      </c>
      <c r="L126" s="54" t="s">
        <v>113</v>
      </c>
      <c r="M126" s="52" t="s">
        <v>73</v>
      </c>
      <c r="N126" s="55" t="s">
        <v>80</v>
      </c>
    </row>
    <row r="127">
      <c r="A127" s="48">
        <v>679.0</v>
      </c>
      <c r="B127" s="49">
        <v>45339.0</v>
      </c>
      <c r="C127" s="50">
        <v>59.1713825279</v>
      </c>
      <c r="D127" s="51">
        <v>457.58447827996446</v>
      </c>
      <c r="E127" s="52" t="s">
        <v>49</v>
      </c>
      <c r="F127" s="52" t="s">
        <v>140</v>
      </c>
      <c r="G127" s="52" t="s">
        <v>305</v>
      </c>
      <c r="H127" s="53"/>
      <c r="I127" s="54" t="s">
        <v>181</v>
      </c>
      <c r="J127" s="54">
        <v>2.0</v>
      </c>
      <c r="K127" s="54" t="s">
        <v>77</v>
      </c>
      <c r="L127" s="54" t="s">
        <v>113</v>
      </c>
      <c r="M127" s="52" t="s">
        <v>73</v>
      </c>
      <c r="N127" s="55" t="s">
        <v>80</v>
      </c>
    </row>
    <row r="128">
      <c r="A128" s="48">
        <v>680.0</v>
      </c>
      <c r="B128" s="49">
        <v>45339.0</v>
      </c>
      <c r="C128" s="50">
        <v>44.0237644056</v>
      </c>
      <c r="D128" s="51">
        <v>340.4448300317833</v>
      </c>
      <c r="E128" s="52" t="s">
        <v>49</v>
      </c>
      <c r="F128" s="52" t="s">
        <v>140</v>
      </c>
      <c r="G128" s="52" t="s">
        <v>306</v>
      </c>
      <c r="H128" s="53"/>
      <c r="I128" s="54" t="s">
        <v>181</v>
      </c>
      <c r="J128" s="54">
        <v>2.0</v>
      </c>
      <c r="K128" s="54" t="s">
        <v>77</v>
      </c>
      <c r="L128" s="54" t="s">
        <v>113</v>
      </c>
      <c r="M128" s="52" t="s">
        <v>73</v>
      </c>
      <c r="N128" s="55" t="s">
        <v>80</v>
      </c>
    </row>
    <row r="129">
      <c r="A129" s="48">
        <v>681.0</v>
      </c>
      <c r="B129" s="49">
        <v>45339.0</v>
      </c>
      <c r="C129" s="50">
        <v>43.9836772043</v>
      </c>
      <c r="D129" s="51">
        <v>340.13482745437324</v>
      </c>
      <c r="E129" s="52" t="s">
        <v>49</v>
      </c>
      <c r="F129" s="52" t="s">
        <v>140</v>
      </c>
      <c r="G129" s="52" t="s">
        <v>307</v>
      </c>
      <c r="H129" s="53"/>
      <c r="I129" s="54" t="s">
        <v>181</v>
      </c>
      <c r="J129" s="54">
        <v>2.0</v>
      </c>
      <c r="K129" s="54" t="s">
        <v>77</v>
      </c>
      <c r="L129" s="54" t="s">
        <v>113</v>
      </c>
      <c r="M129" s="52" t="s">
        <v>73</v>
      </c>
      <c r="N129" s="55" t="s">
        <v>80</v>
      </c>
    </row>
    <row r="130">
      <c r="A130" s="48">
        <v>682.0</v>
      </c>
      <c r="B130" s="49">
        <v>45339.0</v>
      </c>
      <c r="C130" s="50">
        <v>43.9916946446</v>
      </c>
      <c r="D130" s="51">
        <v>340.1968279701646</v>
      </c>
      <c r="E130" s="52" t="s">
        <v>49</v>
      </c>
      <c r="F130" s="52" t="s">
        <v>140</v>
      </c>
      <c r="G130" s="52" t="s">
        <v>308</v>
      </c>
      <c r="H130" s="53"/>
      <c r="I130" s="54" t="s">
        <v>181</v>
      </c>
      <c r="J130" s="54">
        <v>2.0</v>
      </c>
      <c r="K130" s="54" t="s">
        <v>77</v>
      </c>
      <c r="L130" s="54" t="s">
        <v>113</v>
      </c>
      <c r="M130" s="52" t="s">
        <v>73</v>
      </c>
      <c r="N130" s="55" t="s">
        <v>80</v>
      </c>
    </row>
    <row r="131">
      <c r="A131" s="48">
        <v>683.0</v>
      </c>
      <c r="B131" s="49">
        <v>45339.0</v>
      </c>
      <c r="C131" s="50">
        <v>44.0852314475</v>
      </c>
      <c r="D131" s="51">
        <v>340.9201673164236</v>
      </c>
      <c r="E131" s="52" t="s">
        <v>49</v>
      </c>
      <c r="F131" s="52" t="s">
        <v>140</v>
      </c>
      <c r="G131" s="52" t="s">
        <v>309</v>
      </c>
      <c r="H131" s="53"/>
      <c r="I131" s="54" t="s">
        <v>181</v>
      </c>
      <c r="J131" s="54">
        <v>2.0</v>
      </c>
      <c r="K131" s="54" t="s">
        <v>77</v>
      </c>
      <c r="L131" s="54" t="s">
        <v>113</v>
      </c>
      <c r="M131" s="52" t="s">
        <v>73</v>
      </c>
      <c r="N131" s="55" t="s">
        <v>80</v>
      </c>
    </row>
    <row r="132">
      <c r="A132" s="48">
        <v>684.0</v>
      </c>
      <c r="B132" s="49">
        <v>45339.0</v>
      </c>
      <c r="C132" s="50">
        <v>10.6387804937</v>
      </c>
      <c r="D132" s="51">
        <v>82.27187896867869</v>
      </c>
      <c r="E132" s="52" t="s">
        <v>49</v>
      </c>
      <c r="F132" s="52" t="s">
        <v>140</v>
      </c>
      <c r="G132" s="52" t="s">
        <v>310</v>
      </c>
      <c r="H132" s="53"/>
      <c r="I132" s="54" t="s">
        <v>181</v>
      </c>
      <c r="J132" s="54">
        <v>2.0</v>
      </c>
      <c r="K132" s="54" t="s">
        <v>77</v>
      </c>
      <c r="L132" s="54" t="s">
        <v>113</v>
      </c>
      <c r="M132" s="52" t="s">
        <v>73</v>
      </c>
      <c r="N132" s="55" t="s">
        <v>80</v>
      </c>
    </row>
    <row r="133">
      <c r="A133" s="48">
        <v>685.0</v>
      </c>
      <c r="B133" s="49">
        <v>45339.0</v>
      </c>
      <c r="C133" s="50">
        <v>10.6387804937</v>
      </c>
      <c r="D133" s="51">
        <v>82.27187896867869</v>
      </c>
      <c r="E133" s="52" t="s">
        <v>49</v>
      </c>
      <c r="F133" s="52" t="s">
        <v>140</v>
      </c>
      <c r="G133" s="52" t="s">
        <v>311</v>
      </c>
      <c r="H133" s="53"/>
      <c r="I133" s="54" t="s">
        <v>181</v>
      </c>
      <c r="J133" s="54">
        <v>2.0</v>
      </c>
      <c r="K133" s="54" t="s">
        <v>77</v>
      </c>
      <c r="L133" s="54" t="s">
        <v>113</v>
      </c>
      <c r="M133" s="52" t="s">
        <v>73</v>
      </c>
      <c r="N133" s="55" t="s">
        <v>80</v>
      </c>
    </row>
    <row r="134">
      <c r="A134" s="48">
        <v>686.0</v>
      </c>
      <c r="B134" s="49">
        <v>45339.0</v>
      </c>
      <c r="C134" s="50">
        <v>10.6387804937</v>
      </c>
      <c r="D134" s="51">
        <v>82.27187896867869</v>
      </c>
      <c r="E134" s="52" t="s">
        <v>49</v>
      </c>
      <c r="F134" s="52" t="s">
        <v>140</v>
      </c>
      <c r="G134" s="52" t="s">
        <v>312</v>
      </c>
      <c r="H134" s="53"/>
      <c r="I134" s="54" t="s">
        <v>181</v>
      </c>
      <c r="J134" s="54">
        <v>2.0</v>
      </c>
      <c r="K134" s="54" t="s">
        <v>77</v>
      </c>
      <c r="L134" s="54" t="s">
        <v>113</v>
      </c>
      <c r="M134" s="52" t="s">
        <v>73</v>
      </c>
      <c r="N134" s="55" t="s">
        <v>80</v>
      </c>
    </row>
    <row r="135">
      <c r="A135" s="48">
        <v>687.0</v>
      </c>
      <c r="B135" s="49">
        <v>45339.0</v>
      </c>
      <c r="C135" s="50">
        <v>3.6737692873</v>
      </c>
      <c r="D135" s="51">
        <v>28.41001394309974</v>
      </c>
      <c r="E135" s="52" t="s">
        <v>49</v>
      </c>
      <c r="F135" s="52" t="s">
        <v>140</v>
      </c>
      <c r="G135" s="52" t="s">
        <v>296</v>
      </c>
      <c r="H135" s="53"/>
      <c r="I135" s="54" t="s">
        <v>181</v>
      </c>
      <c r="J135" s="54">
        <v>2.0</v>
      </c>
      <c r="K135" s="54" t="s">
        <v>77</v>
      </c>
      <c r="L135" s="54" t="s">
        <v>113</v>
      </c>
      <c r="M135" s="52" t="s">
        <v>73</v>
      </c>
      <c r="N135" s="55" t="s">
        <v>80</v>
      </c>
    </row>
    <row r="136">
      <c r="A136" s="48">
        <v>688.0</v>
      </c>
      <c r="B136" s="49">
        <v>45339.0</v>
      </c>
      <c r="C136" s="50">
        <v>43.9206510466</v>
      </c>
      <c r="D136" s="51">
        <v>339.64743320639286</v>
      </c>
      <c r="E136" s="52" t="s">
        <v>49</v>
      </c>
      <c r="F136" s="52" t="s">
        <v>140</v>
      </c>
      <c r="G136" s="52" t="s">
        <v>313</v>
      </c>
      <c r="H136" s="53"/>
      <c r="I136" s="54" t="s">
        <v>181</v>
      </c>
      <c r="J136" s="54">
        <v>2.0</v>
      </c>
      <c r="K136" s="54" t="s">
        <v>77</v>
      </c>
      <c r="L136" s="54" t="s">
        <v>113</v>
      </c>
      <c r="M136" s="52" t="s">
        <v>73</v>
      </c>
      <c r="N136" s="55" t="s">
        <v>80</v>
      </c>
    </row>
    <row r="137">
      <c r="A137" s="48">
        <v>689.0</v>
      </c>
      <c r="B137" s="49">
        <v>45339.0</v>
      </c>
      <c r="C137" s="50">
        <v>44.0071254945</v>
      </c>
      <c r="D137" s="51">
        <v>340.3161579080375</v>
      </c>
      <c r="E137" s="52" t="s">
        <v>49</v>
      </c>
      <c r="F137" s="52" t="s">
        <v>140</v>
      </c>
      <c r="G137" s="52" t="s">
        <v>314</v>
      </c>
      <c r="H137" s="53"/>
      <c r="I137" s="54" t="s">
        <v>181</v>
      </c>
      <c r="J137" s="54">
        <v>2.0</v>
      </c>
      <c r="K137" s="54" t="s">
        <v>77</v>
      </c>
      <c r="L137" s="54" t="s">
        <v>113</v>
      </c>
      <c r="M137" s="52" t="s">
        <v>73</v>
      </c>
      <c r="N137" s="55" t="s">
        <v>80</v>
      </c>
    </row>
    <row r="138">
      <c r="A138" s="48">
        <v>690.0</v>
      </c>
      <c r="B138" s="49">
        <v>45339.0</v>
      </c>
      <c r="C138" s="50">
        <v>44.0573364643</v>
      </c>
      <c r="D138" s="51">
        <v>340.70444967068187</v>
      </c>
      <c r="E138" s="52" t="s">
        <v>49</v>
      </c>
      <c r="F138" s="52" t="s">
        <v>140</v>
      </c>
      <c r="G138" s="52" t="s">
        <v>315</v>
      </c>
      <c r="H138" s="53"/>
      <c r="I138" s="54" t="s">
        <v>181</v>
      </c>
      <c r="J138" s="54">
        <v>2.0</v>
      </c>
      <c r="K138" s="54" t="s">
        <v>77</v>
      </c>
      <c r="L138" s="54" t="s">
        <v>113</v>
      </c>
      <c r="M138" s="52" t="s">
        <v>73</v>
      </c>
      <c r="N138" s="55" t="s">
        <v>80</v>
      </c>
    </row>
    <row r="139">
      <c r="A139" s="48">
        <v>691.0</v>
      </c>
      <c r="B139" s="49">
        <v>45339.0</v>
      </c>
      <c r="C139" s="50">
        <v>44.0405994743</v>
      </c>
      <c r="D139" s="51">
        <v>340.5750190826182</v>
      </c>
      <c r="E139" s="52" t="s">
        <v>49</v>
      </c>
      <c r="F139" s="52" t="s">
        <v>140</v>
      </c>
      <c r="G139" s="52" t="s">
        <v>316</v>
      </c>
      <c r="H139" s="53"/>
      <c r="I139" s="54" t="s">
        <v>181</v>
      </c>
      <c r="J139" s="54">
        <v>2.0</v>
      </c>
      <c r="K139" s="54" t="s">
        <v>77</v>
      </c>
      <c r="L139" s="54" t="s">
        <v>113</v>
      </c>
      <c r="M139" s="52" t="s">
        <v>73</v>
      </c>
      <c r="N139" s="55" t="s">
        <v>80</v>
      </c>
    </row>
    <row r="140">
      <c r="A140" s="48">
        <v>692.0</v>
      </c>
      <c r="B140" s="49">
        <v>45339.0</v>
      </c>
      <c r="C140" s="50">
        <v>43.9903885046</v>
      </c>
      <c r="D140" s="51">
        <v>340.1867273207471</v>
      </c>
      <c r="E140" s="52" t="s">
        <v>49</v>
      </c>
      <c r="F140" s="52" t="s">
        <v>140</v>
      </c>
      <c r="G140" s="52" t="s">
        <v>317</v>
      </c>
      <c r="H140" s="53"/>
      <c r="I140" s="54" t="s">
        <v>181</v>
      </c>
      <c r="J140" s="54">
        <v>2.0</v>
      </c>
      <c r="K140" s="54" t="s">
        <v>77</v>
      </c>
      <c r="L140" s="54" t="s">
        <v>113</v>
      </c>
      <c r="M140" s="52" t="s">
        <v>73</v>
      </c>
      <c r="N140" s="55" t="s">
        <v>80</v>
      </c>
    </row>
    <row r="141">
      <c r="A141" s="48">
        <v>693.0</v>
      </c>
      <c r="B141" s="49">
        <v>45339.0</v>
      </c>
      <c r="C141" s="50">
        <v>59.1968366912</v>
      </c>
      <c r="D141" s="51">
        <v>457.7813205631102</v>
      </c>
      <c r="E141" s="52" t="s">
        <v>49</v>
      </c>
      <c r="F141" s="52" t="s">
        <v>140</v>
      </c>
      <c r="G141" s="52" t="s">
        <v>318</v>
      </c>
      <c r="H141" s="53"/>
      <c r="I141" s="54" t="s">
        <v>181</v>
      </c>
      <c r="J141" s="54">
        <v>2.0</v>
      </c>
      <c r="K141" s="54" t="s">
        <v>77</v>
      </c>
      <c r="L141" s="54" t="s">
        <v>113</v>
      </c>
      <c r="M141" s="52" t="s">
        <v>73</v>
      </c>
      <c r="N141" s="55" t="s">
        <v>80</v>
      </c>
    </row>
    <row r="142">
      <c r="A142" s="48">
        <v>694.0</v>
      </c>
      <c r="B142" s="49">
        <v>45339.0</v>
      </c>
      <c r="C142" s="50">
        <v>59.3621070474</v>
      </c>
      <c r="D142" s="51">
        <v>459.0593902394654</v>
      </c>
      <c r="E142" s="52" t="s">
        <v>49</v>
      </c>
      <c r="F142" s="52" t="s">
        <v>140</v>
      </c>
      <c r="G142" s="52" t="s">
        <v>319</v>
      </c>
      <c r="H142" s="53"/>
      <c r="I142" s="54" t="s">
        <v>181</v>
      </c>
      <c r="J142" s="54">
        <v>2.0</v>
      </c>
      <c r="K142" s="54" t="s">
        <v>77</v>
      </c>
      <c r="L142" s="54" t="s">
        <v>113</v>
      </c>
      <c r="M142" s="52" t="s">
        <v>73</v>
      </c>
      <c r="N142" s="55" t="s">
        <v>80</v>
      </c>
    </row>
    <row r="143">
      <c r="A143" s="48">
        <v>695.0</v>
      </c>
      <c r="B143" s="49">
        <v>45339.0</v>
      </c>
      <c r="C143" s="50">
        <v>59.2569350025</v>
      </c>
      <c r="D143" s="51">
        <v>458.24607317234245</v>
      </c>
      <c r="E143" s="52" t="s">
        <v>49</v>
      </c>
      <c r="F143" s="52" t="s">
        <v>140</v>
      </c>
      <c r="G143" s="52" t="s">
        <v>320</v>
      </c>
      <c r="H143" s="53"/>
      <c r="I143" s="54" t="s">
        <v>181</v>
      </c>
      <c r="J143" s="54">
        <v>2.0</v>
      </c>
      <c r="K143" s="54" t="s">
        <v>77</v>
      </c>
      <c r="L143" s="54" t="s">
        <v>113</v>
      </c>
      <c r="M143" s="52" t="s">
        <v>73</v>
      </c>
      <c r="N143" s="55" t="s">
        <v>80</v>
      </c>
    </row>
    <row r="144">
      <c r="A144" s="48">
        <v>696.0</v>
      </c>
      <c r="B144" s="49">
        <v>45339.0</v>
      </c>
      <c r="C144" s="50">
        <v>59.1292260909</v>
      </c>
      <c r="D144" s="51">
        <v>457.2584738770474</v>
      </c>
      <c r="E144" s="52" t="s">
        <v>49</v>
      </c>
      <c r="F144" s="52" t="s">
        <v>140</v>
      </c>
      <c r="G144" s="52" t="s">
        <v>321</v>
      </c>
      <c r="H144" s="53"/>
      <c r="I144" s="54" t="s">
        <v>181</v>
      </c>
      <c r="J144" s="54">
        <v>2.0</v>
      </c>
      <c r="K144" s="54" t="s">
        <v>77</v>
      </c>
      <c r="L144" s="54" t="s">
        <v>113</v>
      </c>
      <c r="M144" s="52" t="s">
        <v>73</v>
      </c>
      <c r="N144" s="55" t="s">
        <v>80</v>
      </c>
    </row>
    <row r="145">
      <c r="A145" s="48">
        <v>697.0</v>
      </c>
      <c r="B145" s="49">
        <v>45339.0</v>
      </c>
      <c r="C145" s="50">
        <v>59.2193735579</v>
      </c>
      <c r="D145" s="51">
        <v>457.95560279128233</v>
      </c>
      <c r="E145" s="52" t="s">
        <v>49</v>
      </c>
      <c r="F145" s="52" t="s">
        <v>140</v>
      </c>
      <c r="G145" s="52" t="s">
        <v>322</v>
      </c>
      <c r="H145" s="53"/>
      <c r="I145" s="54" t="s">
        <v>181</v>
      </c>
      <c r="J145" s="54">
        <v>2.0</v>
      </c>
      <c r="K145" s="54" t="s">
        <v>77</v>
      </c>
      <c r="L145" s="54" t="s">
        <v>113</v>
      </c>
      <c r="M145" s="52" t="s">
        <v>73</v>
      </c>
      <c r="N145" s="55" t="s">
        <v>80</v>
      </c>
    </row>
    <row r="146">
      <c r="A146" s="48">
        <v>698.0</v>
      </c>
      <c r="B146" s="49">
        <v>45339.0</v>
      </c>
      <c r="C146" s="50">
        <v>59.3395701806</v>
      </c>
      <c r="D146" s="51">
        <v>458.88510801052</v>
      </c>
      <c r="E146" s="52" t="s">
        <v>49</v>
      </c>
      <c r="F146" s="52" t="s">
        <v>140</v>
      </c>
      <c r="G146" s="52" t="s">
        <v>323</v>
      </c>
      <c r="H146" s="53"/>
      <c r="I146" s="54" t="s">
        <v>181</v>
      </c>
      <c r="J146" s="54">
        <v>2.0</v>
      </c>
      <c r="K146" s="54" t="s">
        <v>77</v>
      </c>
      <c r="L146" s="54" t="s">
        <v>113</v>
      </c>
      <c r="M146" s="52" t="s">
        <v>73</v>
      </c>
      <c r="N146" s="55" t="s">
        <v>80</v>
      </c>
    </row>
    <row r="147">
      <c r="A147" s="48">
        <v>699.0</v>
      </c>
      <c r="B147" s="49">
        <v>45339.0</v>
      </c>
      <c r="C147" s="50">
        <v>59.2081051245</v>
      </c>
      <c r="D147" s="51">
        <v>457.8684616768096</v>
      </c>
      <c r="E147" s="52" t="s">
        <v>49</v>
      </c>
      <c r="F147" s="52" t="s">
        <v>140</v>
      </c>
      <c r="G147" s="52" t="s">
        <v>324</v>
      </c>
      <c r="H147" s="53"/>
      <c r="I147" s="54" t="s">
        <v>181</v>
      </c>
      <c r="J147" s="54">
        <v>2.0</v>
      </c>
      <c r="K147" s="54" t="s">
        <v>77</v>
      </c>
      <c r="L147" s="54" t="s">
        <v>113</v>
      </c>
      <c r="M147" s="52" t="s">
        <v>73</v>
      </c>
      <c r="N147" s="55" t="s">
        <v>80</v>
      </c>
    </row>
    <row r="148">
      <c r="A148" s="48">
        <v>700.0</v>
      </c>
      <c r="B148" s="49">
        <v>45339.0</v>
      </c>
      <c r="C148" s="50">
        <v>10.6400337328</v>
      </c>
      <c r="D148" s="51">
        <v>82.28157052454968</v>
      </c>
      <c r="E148" s="52" t="s">
        <v>49</v>
      </c>
      <c r="F148" s="52" t="s">
        <v>140</v>
      </c>
      <c r="G148" s="52" t="s">
        <v>325</v>
      </c>
      <c r="H148" s="53"/>
      <c r="I148" s="54" t="s">
        <v>181</v>
      </c>
      <c r="J148" s="54">
        <v>2.0</v>
      </c>
      <c r="K148" s="54" t="s">
        <v>77</v>
      </c>
      <c r="L148" s="54" t="s">
        <v>113</v>
      </c>
      <c r="M148" s="52" t="s">
        <v>73</v>
      </c>
      <c r="N148" s="55" t="s">
        <v>80</v>
      </c>
    </row>
    <row r="149">
      <c r="A149" s="48">
        <v>701.0</v>
      </c>
      <c r="B149" s="49">
        <v>45339.0</v>
      </c>
      <c r="C149" s="50">
        <v>10.6400337328</v>
      </c>
      <c r="D149" s="51">
        <v>82.28157052454968</v>
      </c>
      <c r="E149" s="52" t="s">
        <v>49</v>
      </c>
      <c r="F149" s="52" t="s">
        <v>140</v>
      </c>
      <c r="G149" s="52" t="s">
        <v>326</v>
      </c>
      <c r="H149" s="53"/>
      <c r="I149" s="54" t="s">
        <v>181</v>
      </c>
      <c r="J149" s="54">
        <v>2.0</v>
      </c>
      <c r="K149" s="54" t="s">
        <v>77</v>
      </c>
      <c r="L149" s="54" t="s">
        <v>113</v>
      </c>
      <c r="M149" s="52" t="s">
        <v>73</v>
      </c>
      <c r="N149" s="55" t="s">
        <v>80</v>
      </c>
    </row>
    <row r="150">
      <c r="A150" s="48">
        <v>702.0</v>
      </c>
      <c r="B150" s="49">
        <v>45339.0</v>
      </c>
      <c r="C150" s="50">
        <v>10.6400337328</v>
      </c>
      <c r="D150" s="51">
        <v>82.28157052454968</v>
      </c>
      <c r="E150" s="52" t="s">
        <v>49</v>
      </c>
      <c r="F150" s="52" t="s">
        <v>140</v>
      </c>
      <c r="G150" s="52" t="s">
        <v>327</v>
      </c>
      <c r="H150" s="53"/>
      <c r="I150" s="54" t="s">
        <v>181</v>
      </c>
      <c r="J150" s="54">
        <v>2.0</v>
      </c>
      <c r="K150" s="54" t="s">
        <v>77</v>
      </c>
      <c r="L150" s="54" t="s">
        <v>113</v>
      </c>
      <c r="M150" s="52" t="s">
        <v>73</v>
      </c>
      <c r="N150" s="55" t="s">
        <v>80</v>
      </c>
    </row>
    <row r="151">
      <c r="A151" s="48">
        <v>703.0</v>
      </c>
      <c r="B151" s="49">
        <v>45339.0</v>
      </c>
      <c r="C151" s="50">
        <v>65.0</v>
      </c>
      <c r="D151" s="51">
        <v>502.6583766937256</v>
      </c>
      <c r="E151" s="52" t="s">
        <v>49</v>
      </c>
      <c r="F151" s="52" t="s">
        <v>140</v>
      </c>
      <c r="G151" s="52" t="s">
        <v>328</v>
      </c>
      <c r="H151" s="53"/>
      <c r="I151" s="54" t="s">
        <v>181</v>
      </c>
      <c r="J151" s="54">
        <v>2.0</v>
      </c>
      <c r="K151" s="54" t="s">
        <v>77</v>
      </c>
      <c r="L151" s="54" t="s">
        <v>113</v>
      </c>
      <c r="M151" s="52" t="s">
        <v>73</v>
      </c>
      <c r="N151" s="55" t="s">
        <v>80</v>
      </c>
    </row>
    <row r="152">
      <c r="A152" s="48">
        <v>704.0</v>
      </c>
      <c r="B152" s="49">
        <v>45393.0</v>
      </c>
      <c r="C152" s="50">
        <v>8.8170462895</v>
      </c>
      <c r="D152" s="51">
        <v>56.58760743492509</v>
      </c>
      <c r="E152" s="52" t="s">
        <v>49</v>
      </c>
      <c r="F152" s="52" t="s">
        <v>140</v>
      </c>
      <c r="G152" s="52" t="s">
        <v>329</v>
      </c>
      <c r="H152" s="53"/>
      <c r="I152" s="54" t="s">
        <v>181</v>
      </c>
      <c r="J152" s="54">
        <v>4.0</v>
      </c>
      <c r="K152" s="54" t="s">
        <v>78</v>
      </c>
      <c r="L152" s="54" t="s">
        <v>117</v>
      </c>
      <c r="M152" s="52" t="s">
        <v>73</v>
      </c>
      <c r="N152" s="55" t="s">
        <v>80</v>
      </c>
    </row>
    <row r="153">
      <c r="A153" s="48">
        <v>705.0</v>
      </c>
      <c r="B153" s="49">
        <v>45343.0</v>
      </c>
      <c r="C153" s="50">
        <v>244.89</v>
      </c>
      <c r="D153" s="51">
        <v>1852.2049452638626</v>
      </c>
      <c r="E153" s="52" t="s">
        <v>81</v>
      </c>
      <c r="F153" s="52" t="s">
        <v>87</v>
      </c>
      <c r="G153" s="52" t="s">
        <v>330</v>
      </c>
      <c r="H153" s="53"/>
      <c r="I153" s="54" t="s">
        <v>181</v>
      </c>
      <c r="J153" s="54">
        <v>2.0</v>
      </c>
      <c r="K153" s="54" t="s">
        <v>77</v>
      </c>
      <c r="L153" s="54" t="s">
        <v>113</v>
      </c>
      <c r="M153" s="52" t="s">
        <v>73</v>
      </c>
      <c r="N153" s="55" t="s">
        <v>80</v>
      </c>
    </row>
    <row r="154">
      <c r="A154" s="48">
        <v>706.0</v>
      </c>
      <c r="B154" s="49">
        <v>45347.0</v>
      </c>
      <c r="C154" s="50">
        <v>32.034</v>
      </c>
      <c r="D154" s="51">
        <v>267.2474551963806</v>
      </c>
      <c r="E154" s="52" t="s">
        <v>50</v>
      </c>
      <c r="F154" s="52" t="s">
        <v>157</v>
      </c>
      <c r="G154" s="52" t="s">
        <v>331</v>
      </c>
      <c r="H154" s="53"/>
      <c r="I154" s="54" t="s">
        <v>181</v>
      </c>
      <c r="J154" s="54">
        <v>2.0</v>
      </c>
      <c r="K154" s="54" t="s">
        <v>77</v>
      </c>
      <c r="L154" s="54" t="s">
        <v>113</v>
      </c>
      <c r="M154" s="52" t="s">
        <v>73</v>
      </c>
      <c r="N154" s="55" t="s">
        <v>80</v>
      </c>
    </row>
    <row r="155">
      <c r="A155" s="48">
        <v>707.0</v>
      </c>
      <c r="B155" s="49">
        <v>45345.0</v>
      </c>
      <c r="C155" s="50">
        <v>32.9</v>
      </c>
      <c r="D155" s="51">
        <v>266.6328983306885</v>
      </c>
      <c r="E155" s="52" t="s">
        <v>50</v>
      </c>
      <c r="F155" s="52" t="s">
        <v>157</v>
      </c>
      <c r="G155" s="52" t="s">
        <v>332</v>
      </c>
      <c r="H155" s="53"/>
      <c r="I155" s="54" t="s">
        <v>181</v>
      </c>
      <c r="J155" s="54">
        <v>2.0</v>
      </c>
      <c r="K155" s="54" t="s">
        <v>77</v>
      </c>
      <c r="L155" s="54" t="s">
        <v>113</v>
      </c>
      <c r="M155" s="52" t="s">
        <v>73</v>
      </c>
      <c r="N155" s="55" t="s">
        <v>80</v>
      </c>
    </row>
    <row r="156">
      <c r="A156" s="48">
        <v>708.0</v>
      </c>
      <c r="B156" s="49">
        <v>45343.0</v>
      </c>
      <c r="C156" s="50">
        <v>21685.91</v>
      </c>
      <c r="D156" s="51">
        <v>169353.9059617281</v>
      </c>
      <c r="E156" s="52" t="s">
        <v>81</v>
      </c>
      <c r="F156" s="52" t="s">
        <v>84</v>
      </c>
      <c r="G156" s="52" t="s">
        <v>333</v>
      </c>
      <c r="H156" s="53"/>
      <c r="I156" s="54" t="s">
        <v>181</v>
      </c>
      <c r="J156" s="54">
        <v>2.0</v>
      </c>
      <c r="K156" s="54" t="s">
        <v>77</v>
      </c>
      <c r="L156" s="54" t="s">
        <v>113</v>
      </c>
      <c r="M156" s="52" t="s">
        <v>73</v>
      </c>
      <c r="N156" s="55" t="s">
        <v>80</v>
      </c>
    </row>
    <row r="157">
      <c r="A157" s="48">
        <v>709.0</v>
      </c>
      <c r="B157" s="49">
        <v>45352.0</v>
      </c>
      <c r="C157" s="50">
        <v>16041.0</v>
      </c>
      <c r="D157" s="51">
        <v>157160.728225708</v>
      </c>
      <c r="E157" s="52" t="s">
        <v>46</v>
      </c>
      <c r="F157" s="52" t="s">
        <v>112</v>
      </c>
      <c r="G157" s="52" t="s">
        <v>334</v>
      </c>
      <c r="H157" s="53"/>
      <c r="I157" s="54" t="s">
        <v>181</v>
      </c>
      <c r="J157" s="54">
        <v>3.0</v>
      </c>
      <c r="K157" s="54" t="s">
        <v>77</v>
      </c>
      <c r="L157" s="54" t="s">
        <v>115</v>
      </c>
      <c r="M157" s="52" t="s">
        <v>73</v>
      </c>
      <c r="N157" s="55" t="s">
        <v>80</v>
      </c>
    </row>
    <row r="158">
      <c r="A158" s="48">
        <v>710.0</v>
      </c>
      <c r="B158" s="49">
        <v>45353.0</v>
      </c>
      <c r="C158" s="50">
        <v>18360.0</v>
      </c>
      <c r="D158" s="51">
        <v>171305.924949646</v>
      </c>
      <c r="E158" s="52" t="s">
        <v>46</v>
      </c>
      <c r="F158" s="52" t="s">
        <v>112</v>
      </c>
      <c r="G158" s="52" t="s">
        <v>335</v>
      </c>
      <c r="H158" s="53"/>
      <c r="I158" s="54" t="s">
        <v>181</v>
      </c>
      <c r="J158" s="54">
        <v>3.0</v>
      </c>
      <c r="K158" s="54" t="s">
        <v>77</v>
      </c>
      <c r="L158" s="54" t="s">
        <v>115</v>
      </c>
      <c r="M158" s="52" t="s">
        <v>73</v>
      </c>
      <c r="N158" s="55" t="s">
        <v>80</v>
      </c>
    </row>
    <row r="159">
      <c r="A159" s="48">
        <v>711.0</v>
      </c>
      <c r="B159" s="49">
        <v>45350.0</v>
      </c>
      <c r="C159" s="50">
        <v>9085.0</v>
      </c>
      <c r="D159" s="51">
        <v>85726.9772195816</v>
      </c>
      <c r="E159" s="52" t="s">
        <v>81</v>
      </c>
      <c r="F159" s="52" t="s">
        <v>86</v>
      </c>
      <c r="G159" s="52" t="s">
        <v>336</v>
      </c>
      <c r="H159" s="53"/>
      <c r="I159" s="54" t="s">
        <v>181</v>
      </c>
      <c r="J159" s="54">
        <v>2.0</v>
      </c>
      <c r="K159" s="54" t="s">
        <v>77</v>
      </c>
      <c r="L159" s="54" t="s">
        <v>113</v>
      </c>
      <c r="M159" s="52" t="s">
        <v>73</v>
      </c>
      <c r="N159" s="55" t="s">
        <v>80</v>
      </c>
    </row>
    <row r="160">
      <c r="A160" s="48">
        <v>712.0</v>
      </c>
      <c r="B160" s="49">
        <v>45357.0</v>
      </c>
      <c r="C160" s="50">
        <v>6008.0</v>
      </c>
      <c r="D160" s="51">
        <v>64076.11046600342</v>
      </c>
      <c r="E160" s="52" t="s">
        <v>81</v>
      </c>
      <c r="F160" s="52" t="s">
        <v>97</v>
      </c>
      <c r="G160" s="52" t="s">
        <v>337</v>
      </c>
      <c r="H160" s="53"/>
      <c r="I160" s="54" t="s">
        <v>181</v>
      </c>
      <c r="J160" s="54">
        <v>3.0</v>
      </c>
      <c r="K160" s="54" t="s">
        <v>77</v>
      </c>
      <c r="L160" s="54" t="s">
        <v>115</v>
      </c>
      <c r="M160" s="52" t="s">
        <v>73</v>
      </c>
      <c r="N160" s="55" t="s">
        <v>80</v>
      </c>
    </row>
    <row r="161">
      <c r="A161" s="48">
        <v>713.0</v>
      </c>
      <c r="B161" s="49">
        <v>45357.0</v>
      </c>
      <c r="C161" s="50">
        <v>42.1</v>
      </c>
      <c r="D161" s="51">
        <v>449.00203905105593</v>
      </c>
      <c r="E161" s="52" t="s">
        <v>81</v>
      </c>
      <c r="F161" s="52" t="s">
        <v>86</v>
      </c>
      <c r="G161" s="52" t="s">
        <v>338</v>
      </c>
      <c r="H161" s="53"/>
      <c r="I161" s="54" t="s">
        <v>181</v>
      </c>
      <c r="J161" s="54">
        <v>3.0</v>
      </c>
      <c r="K161" s="54" t="s">
        <v>77</v>
      </c>
      <c r="L161" s="54" t="s">
        <v>115</v>
      </c>
      <c r="M161" s="52" t="s">
        <v>73</v>
      </c>
      <c r="N161" s="55" t="s">
        <v>80</v>
      </c>
    </row>
    <row r="162">
      <c r="A162" s="48">
        <v>714.0</v>
      </c>
      <c r="B162" s="49">
        <v>45351.0</v>
      </c>
      <c r="C162" s="50">
        <v>132.8</v>
      </c>
      <c r="D162" s="51">
        <v>1253.1142074584961</v>
      </c>
      <c r="E162" s="52" t="s">
        <v>81</v>
      </c>
      <c r="F162" s="52" t="s">
        <v>86</v>
      </c>
      <c r="G162" s="52" t="s">
        <v>339</v>
      </c>
      <c r="H162" s="53"/>
      <c r="I162" s="54" t="s">
        <v>181</v>
      </c>
      <c r="J162" s="54">
        <v>2.0</v>
      </c>
      <c r="K162" s="54" t="s">
        <v>77</v>
      </c>
      <c r="L162" s="54" t="s">
        <v>113</v>
      </c>
      <c r="M162" s="52" t="s">
        <v>73</v>
      </c>
      <c r="N162" s="55" t="s">
        <v>80</v>
      </c>
    </row>
    <row r="163">
      <c r="A163" s="48">
        <v>715.0</v>
      </c>
      <c r="B163" s="49">
        <v>45363.0</v>
      </c>
      <c r="C163" s="50">
        <v>91.5</v>
      </c>
      <c r="D163" s="51">
        <v>1056.1755323410034</v>
      </c>
      <c r="E163" s="52" t="s">
        <v>81</v>
      </c>
      <c r="F163" s="52" t="s">
        <v>97</v>
      </c>
      <c r="G163" s="52" t="s">
        <v>340</v>
      </c>
      <c r="H163" s="53"/>
      <c r="I163" s="54" t="s">
        <v>181</v>
      </c>
      <c r="J163" s="54">
        <v>3.0</v>
      </c>
      <c r="K163" s="54" t="s">
        <v>77</v>
      </c>
      <c r="L163" s="54" t="s">
        <v>115</v>
      </c>
      <c r="M163" s="52" t="s">
        <v>73</v>
      </c>
      <c r="N163" s="55" t="s">
        <v>80</v>
      </c>
    </row>
    <row r="164">
      <c r="A164" s="48">
        <v>716.0</v>
      </c>
      <c r="B164" s="49">
        <v>45363.0</v>
      </c>
      <c r="C164" s="50">
        <v>193.5</v>
      </c>
      <c r="D164" s="51">
        <v>2233.5515356063843</v>
      </c>
      <c r="E164" s="52" t="s">
        <v>81</v>
      </c>
      <c r="F164" s="52" t="s">
        <v>97</v>
      </c>
      <c r="G164" s="52" t="s">
        <v>341</v>
      </c>
      <c r="H164" s="53"/>
      <c r="I164" s="54" t="s">
        <v>181</v>
      </c>
      <c r="J164" s="54">
        <v>3.0</v>
      </c>
      <c r="K164" s="54" t="s">
        <v>77</v>
      </c>
      <c r="L164" s="54" t="s">
        <v>115</v>
      </c>
      <c r="M164" s="52" t="s">
        <v>73</v>
      </c>
      <c r="N164" s="55" t="s">
        <v>80</v>
      </c>
    </row>
    <row r="165">
      <c r="A165" s="48">
        <v>717.0</v>
      </c>
      <c r="B165" s="49">
        <v>45350.0</v>
      </c>
      <c r="C165" s="50">
        <v>233.8</v>
      </c>
      <c r="D165" s="51">
        <v>2206.1604043960574</v>
      </c>
      <c r="E165" s="52" t="s">
        <v>81</v>
      </c>
      <c r="F165" s="52" t="s">
        <v>86</v>
      </c>
      <c r="G165" s="52" t="s">
        <v>342</v>
      </c>
      <c r="H165" s="53"/>
      <c r="I165" s="54" t="s">
        <v>181</v>
      </c>
      <c r="J165" s="54">
        <v>2.0</v>
      </c>
      <c r="K165" s="54" t="s">
        <v>77</v>
      </c>
      <c r="L165" s="54" t="s">
        <v>113</v>
      </c>
      <c r="M165" s="52" t="s">
        <v>73</v>
      </c>
      <c r="N165" s="55" t="s">
        <v>80</v>
      </c>
    </row>
    <row r="166">
      <c r="A166" s="48">
        <v>718.0</v>
      </c>
      <c r="B166" s="49">
        <v>45351.0</v>
      </c>
      <c r="C166" s="50">
        <v>768.5</v>
      </c>
      <c r="D166" s="51">
        <v>7251.643587589264</v>
      </c>
      <c r="E166" s="52" t="s">
        <v>81</v>
      </c>
      <c r="F166" s="52" t="s">
        <v>97</v>
      </c>
      <c r="G166" s="52" t="s">
        <v>343</v>
      </c>
      <c r="H166" s="53"/>
      <c r="I166" s="54" t="s">
        <v>181</v>
      </c>
      <c r="J166" s="54">
        <v>2.0</v>
      </c>
      <c r="K166" s="54" t="s">
        <v>77</v>
      </c>
      <c r="L166" s="54" t="s">
        <v>113</v>
      </c>
      <c r="M166" s="52" t="s">
        <v>73</v>
      </c>
      <c r="N166" s="55" t="s">
        <v>80</v>
      </c>
    </row>
    <row r="167">
      <c r="A167" s="48">
        <v>719.0</v>
      </c>
      <c r="B167" s="49">
        <v>45374.0</v>
      </c>
      <c r="C167" s="50">
        <v>768.5</v>
      </c>
      <c r="D167" s="51">
        <v>7483.360508918762</v>
      </c>
      <c r="E167" s="52" t="s">
        <v>81</v>
      </c>
      <c r="F167" s="52" t="s">
        <v>97</v>
      </c>
      <c r="G167" s="52" t="s">
        <v>344</v>
      </c>
      <c r="H167" s="53"/>
      <c r="I167" s="54" t="s">
        <v>181</v>
      </c>
      <c r="J167" s="54">
        <v>3.0</v>
      </c>
      <c r="K167" s="54" t="s">
        <v>77</v>
      </c>
      <c r="L167" s="54" t="s">
        <v>115</v>
      </c>
      <c r="M167" s="52" t="s">
        <v>73</v>
      </c>
      <c r="N167" s="55" t="s">
        <v>80</v>
      </c>
    </row>
    <row r="168">
      <c r="A168" s="48">
        <v>720.0</v>
      </c>
      <c r="B168" s="49">
        <v>45357.0</v>
      </c>
      <c r="C168" s="50">
        <v>768.5</v>
      </c>
      <c r="D168" s="51">
        <v>8196.15361070633</v>
      </c>
      <c r="E168" s="52" t="s">
        <v>81</v>
      </c>
      <c r="F168" s="52" t="s">
        <v>97</v>
      </c>
      <c r="G168" s="52" t="s">
        <v>345</v>
      </c>
      <c r="H168" s="53"/>
      <c r="I168" s="54" t="s">
        <v>181</v>
      </c>
      <c r="J168" s="54">
        <v>3.0</v>
      </c>
      <c r="K168" s="54" t="s">
        <v>77</v>
      </c>
      <c r="L168" s="54" t="s">
        <v>115</v>
      </c>
      <c r="M168" s="52" t="s">
        <v>73</v>
      </c>
      <c r="N168" s="55" t="s">
        <v>80</v>
      </c>
    </row>
    <row r="169">
      <c r="A169" s="48">
        <v>722.0</v>
      </c>
      <c r="B169" s="49">
        <v>45352.0</v>
      </c>
      <c r="C169" s="50">
        <v>796.6</v>
      </c>
      <c r="D169" s="51">
        <v>7895.238786315918</v>
      </c>
      <c r="E169" s="52" t="s">
        <v>81</v>
      </c>
      <c r="F169" s="52" t="s">
        <v>97</v>
      </c>
      <c r="G169" s="52" t="s">
        <v>346</v>
      </c>
      <c r="H169" s="53"/>
      <c r="I169" s="54" t="s">
        <v>181</v>
      </c>
      <c r="J169" s="54">
        <v>3.0</v>
      </c>
      <c r="K169" s="54" t="s">
        <v>77</v>
      </c>
      <c r="L169" s="54" t="s">
        <v>115</v>
      </c>
      <c r="M169" s="52" t="s">
        <v>73</v>
      </c>
      <c r="N169" s="55" t="s">
        <v>80</v>
      </c>
    </row>
    <row r="170">
      <c r="A170" s="48">
        <v>723.0</v>
      </c>
      <c r="B170" s="49">
        <v>45351.0</v>
      </c>
      <c r="C170" s="50">
        <v>950.0</v>
      </c>
      <c r="D170" s="51">
        <v>9307.567596435547</v>
      </c>
      <c r="E170" s="52" t="s">
        <v>81</v>
      </c>
      <c r="F170" s="52" t="s">
        <v>97</v>
      </c>
      <c r="G170" s="52" t="s">
        <v>347</v>
      </c>
      <c r="H170" s="53"/>
      <c r="I170" s="54" t="s">
        <v>181</v>
      </c>
      <c r="J170" s="54">
        <v>2.0</v>
      </c>
      <c r="K170" s="54" t="s">
        <v>77</v>
      </c>
      <c r="L170" s="54" t="s">
        <v>113</v>
      </c>
      <c r="M170" s="52" t="s">
        <v>73</v>
      </c>
      <c r="N170" s="55" t="s">
        <v>80</v>
      </c>
    </row>
    <row r="171">
      <c r="A171" s="48">
        <v>724.0</v>
      </c>
      <c r="B171" s="49">
        <v>45350.0</v>
      </c>
      <c r="C171" s="50">
        <v>371.0</v>
      </c>
      <c r="D171" s="51">
        <v>3500.7934560775757</v>
      </c>
      <c r="E171" s="52" t="s">
        <v>81</v>
      </c>
      <c r="F171" s="52" t="s">
        <v>86</v>
      </c>
      <c r="G171" s="52" t="s">
        <v>348</v>
      </c>
      <c r="H171" s="53"/>
      <c r="I171" s="54" t="s">
        <v>181</v>
      </c>
      <c r="J171" s="54">
        <v>2.0</v>
      </c>
      <c r="K171" s="54" t="s">
        <v>77</v>
      </c>
      <c r="L171" s="54" t="s">
        <v>113</v>
      </c>
      <c r="M171" s="52" t="s">
        <v>73</v>
      </c>
      <c r="N171" s="55" t="s">
        <v>80</v>
      </c>
    </row>
    <row r="172">
      <c r="A172" s="48">
        <v>725.0</v>
      </c>
      <c r="B172" s="49">
        <v>45348.0</v>
      </c>
      <c r="C172" s="50">
        <v>6678.0</v>
      </c>
      <c r="D172" s="51">
        <v>55127.05634880066</v>
      </c>
      <c r="E172" s="52" t="s">
        <v>46</v>
      </c>
      <c r="F172" s="52" t="s">
        <v>114</v>
      </c>
      <c r="G172" s="52" t="s">
        <v>349</v>
      </c>
      <c r="H172" s="53"/>
      <c r="I172" s="54" t="s">
        <v>181</v>
      </c>
      <c r="J172" s="54">
        <v>2.0</v>
      </c>
      <c r="K172" s="54" t="s">
        <v>77</v>
      </c>
      <c r="L172" s="54" t="s">
        <v>113</v>
      </c>
      <c r="M172" s="52" t="s">
        <v>73</v>
      </c>
      <c r="N172" s="55" t="s">
        <v>80</v>
      </c>
    </row>
    <row r="173">
      <c r="A173" s="48">
        <v>726.0</v>
      </c>
      <c r="B173" s="49">
        <v>45349.0</v>
      </c>
      <c r="C173" s="50">
        <v>23297.22</v>
      </c>
      <c r="D173" s="51">
        <v>202085.4358316231</v>
      </c>
      <c r="E173" s="52" t="s">
        <v>81</v>
      </c>
      <c r="F173" s="52" t="s">
        <v>92</v>
      </c>
      <c r="G173" s="52" t="s">
        <v>350</v>
      </c>
      <c r="H173" s="53"/>
      <c r="I173" s="54" t="s">
        <v>181</v>
      </c>
      <c r="J173" s="54">
        <v>2.0</v>
      </c>
      <c r="K173" s="54" t="s">
        <v>77</v>
      </c>
      <c r="L173" s="54" t="s">
        <v>113</v>
      </c>
      <c r="M173" s="52" t="s">
        <v>73</v>
      </c>
      <c r="N173" s="55" t="s">
        <v>80</v>
      </c>
    </row>
    <row r="174">
      <c r="A174" s="48">
        <v>727.0</v>
      </c>
      <c r="B174" s="49">
        <v>45369.0</v>
      </c>
      <c r="C174" s="50">
        <v>18360.0</v>
      </c>
      <c r="D174" s="51">
        <v>174270.53924560547</v>
      </c>
      <c r="E174" s="52" t="s">
        <v>46</v>
      </c>
      <c r="F174" s="52" t="s">
        <v>112</v>
      </c>
      <c r="G174" s="52" t="s">
        <v>351</v>
      </c>
      <c r="H174" s="53"/>
      <c r="I174" s="54" t="s">
        <v>181</v>
      </c>
      <c r="J174" s="54">
        <v>3.0</v>
      </c>
      <c r="K174" s="54" t="s">
        <v>77</v>
      </c>
      <c r="L174" s="54" t="s">
        <v>115</v>
      </c>
      <c r="M174" s="52" t="s">
        <v>73</v>
      </c>
      <c r="N174" s="55" t="s">
        <v>80</v>
      </c>
    </row>
    <row r="175">
      <c r="A175" s="48">
        <v>729.0</v>
      </c>
      <c r="B175" s="49">
        <v>45372.0</v>
      </c>
      <c r="C175" s="50">
        <v>7384.4</v>
      </c>
      <c r="D175" s="51">
        <v>69186.7285205841</v>
      </c>
      <c r="E175" s="52" t="s">
        <v>81</v>
      </c>
      <c r="F175" s="52" t="s">
        <v>86</v>
      </c>
      <c r="G175" s="52" t="s">
        <v>352</v>
      </c>
      <c r="H175" s="53"/>
      <c r="I175" s="54" t="s">
        <v>181</v>
      </c>
      <c r="J175" s="54">
        <v>3.0</v>
      </c>
      <c r="K175" s="54" t="s">
        <v>77</v>
      </c>
      <c r="L175" s="54" t="s">
        <v>115</v>
      </c>
      <c r="M175" s="52" t="s">
        <v>73</v>
      </c>
      <c r="N175" s="55" t="s">
        <v>80</v>
      </c>
    </row>
    <row r="176">
      <c r="A176" s="48">
        <v>730.0</v>
      </c>
      <c r="B176" s="49">
        <v>45370.0</v>
      </c>
      <c r="C176" s="50">
        <v>1145.9</v>
      </c>
      <c r="D176" s="51">
        <v>10220.577877044678</v>
      </c>
      <c r="E176" s="52" t="s">
        <v>81</v>
      </c>
      <c r="F176" s="52" t="s">
        <v>86</v>
      </c>
      <c r="G176" s="52" t="s">
        <v>353</v>
      </c>
      <c r="H176" s="53"/>
      <c r="I176" s="54" t="s">
        <v>181</v>
      </c>
      <c r="J176" s="54">
        <v>3.0</v>
      </c>
      <c r="K176" s="54" t="s">
        <v>77</v>
      </c>
      <c r="L176" s="54" t="s">
        <v>115</v>
      </c>
      <c r="M176" s="52" t="s">
        <v>73</v>
      </c>
      <c r="N176" s="55" t="s">
        <v>80</v>
      </c>
    </row>
    <row r="177">
      <c r="A177" s="48">
        <v>731.0</v>
      </c>
      <c r="B177" s="49">
        <v>45388.0</v>
      </c>
      <c r="C177" s="50">
        <v>39.6</v>
      </c>
      <c r="D177" s="51">
        <v>358.1681053161621</v>
      </c>
      <c r="E177" s="52" t="s">
        <v>81</v>
      </c>
      <c r="F177" s="52" t="s">
        <v>86</v>
      </c>
      <c r="G177" s="52" t="s">
        <v>354</v>
      </c>
      <c r="H177" s="53"/>
      <c r="I177" s="54" t="s">
        <v>181</v>
      </c>
      <c r="J177" s="54">
        <v>4.0</v>
      </c>
      <c r="K177" s="54" t="s">
        <v>78</v>
      </c>
      <c r="L177" s="54" t="s">
        <v>117</v>
      </c>
      <c r="M177" s="52" t="s">
        <v>73</v>
      </c>
      <c r="N177" s="55" t="s">
        <v>80</v>
      </c>
    </row>
    <row r="178">
      <c r="A178" s="48">
        <v>732.0</v>
      </c>
      <c r="B178" s="49">
        <v>45356.0</v>
      </c>
      <c r="C178" s="50">
        <v>196.85</v>
      </c>
      <c r="D178" s="51">
        <v>2051.5836399078366</v>
      </c>
      <c r="E178" s="52" t="s">
        <v>81</v>
      </c>
      <c r="F178" s="52" t="s">
        <v>93</v>
      </c>
      <c r="G178" s="52" t="s">
        <v>355</v>
      </c>
      <c r="H178" s="53"/>
      <c r="I178" s="54" t="s">
        <v>181</v>
      </c>
      <c r="J178" s="54">
        <v>3.0</v>
      </c>
      <c r="K178" s="54" t="s">
        <v>77</v>
      </c>
      <c r="L178" s="54" t="s">
        <v>115</v>
      </c>
      <c r="M178" s="52" t="s">
        <v>73</v>
      </c>
      <c r="N178" s="55" t="s">
        <v>80</v>
      </c>
    </row>
    <row r="179">
      <c r="A179" s="48">
        <v>733.0</v>
      </c>
      <c r="B179" s="49">
        <v>45356.0</v>
      </c>
      <c r="C179" s="50">
        <v>179.53</v>
      </c>
      <c r="D179" s="51">
        <v>1871.0734613800048</v>
      </c>
      <c r="E179" s="52" t="s">
        <v>81</v>
      </c>
      <c r="F179" s="52" t="s">
        <v>93</v>
      </c>
      <c r="G179" s="52" t="s">
        <v>356</v>
      </c>
      <c r="H179" s="53"/>
      <c r="I179" s="54" t="s">
        <v>181</v>
      </c>
      <c r="J179" s="54">
        <v>3.0</v>
      </c>
      <c r="K179" s="54" t="s">
        <v>77</v>
      </c>
      <c r="L179" s="54" t="s">
        <v>115</v>
      </c>
      <c r="M179" s="52" t="s">
        <v>73</v>
      </c>
      <c r="N179" s="55" t="s">
        <v>80</v>
      </c>
    </row>
    <row r="180">
      <c r="A180" s="48">
        <v>734.0</v>
      </c>
      <c r="B180" s="49">
        <v>45356.0</v>
      </c>
      <c r="C180" s="50">
        <v>179.53</v>
      </c>
      <c r="D180" s="51">
        <v>1871.0734613800048</v>
      </c>
      <c r="E180" s="52" t="s">
        <v>81</v>
      </c>
      <c r="F180" s="52" t="s">
        <v>93</v>
      </c>
      <c r="G180" s="52" t="s">
        <v>357</v>
      </c>
      <c r="H180" s="53"/>
      <c r="I180" s="54" t="s">
        <v>181</v>
      </c>
      <c r="J180" s="54">
        <v>3.0</v>
      </c>
      <c r="K180" s="54" t="s">
        <v>77</v>
      </c>
      <c r="L180" s="54" t="s">
        <v>115</v>
      </c>
      <c r="M180" s="52" t="s">
        <v>73</v>
      </c>
      <c r="N180" s="55" t="s">
        <v>80</v>
      </c>
    </row>
    <row r="181">
      <c r="A181" s="48">
        <v>735.0</v>
      </c>
      <c r="B181" s="49">
        <v>45356.0</v>
      </c>
      <c r="C181" s="50">
        <v>179.53</v>
      </c>
      <c r="D181" s="51">
        <v>1871.0734613800048</v>
      </c>
      <c r="E181" s="52" t="s">
        <v>81</v>
      </c>
      <c r="F181" s="52" t="s">
        <v>93</v>
      </c>
      <c r="G181" s="52" t="s">
        <v>358</v>
      </c>
      <c r="H181" s="53"/>
      <c r="I181" s="54" t="s">
        <v>181</v>
      </c>
      <c r="J181" s="54">
        <v>3.0</v>
      </c>
      <c r="K181" s="54" t="s">
        <v>77</v>
      </c>
      <c r="L181" s="54" t="s">
        <v>115</v>
      </c>
      <c r="M181" s="52" t="s">
        <v>73</v>
      </c>
      <c r="N181" s="55" t="s">
        <v>80</v>
      </c>
    </row>
    <row r="182">
      <c r="A182" s="48">
        <v>736.0</v>
      </c>
      <c r="B182" s="49">
        <v>45357.0</v>
      </c>
      <c r="C182" s="50">
        <v>179.53</v>
      </c>
      <c r="D182" s="51">
        <v>1914.7110705661773</v>
      </c>
      <c r="E182" s="52" t="s">
        <v>81</v>
      </c>
      <c r="F182" s="52" t="s">
        <v>93</v>
      </c>
      <c r="G182" s="52" t="s">
        <v>359</v>
      </c>
      <c r="H182" s="53"/>
      <c r="I182" s="54" t="s">
        <v>181</v>
      </c>
      <c r="J182" s="54">
        <v>3.0</v>
      </c>
      <c r="K182" s="54" t="s">
        <v>77</v>
      </c>
      <c r="L182" s="54" t="s">
        <v>115</v>
      </c>
      <c r="M182" s="52" t="s">
        <v>73</v>
      </c>
      <c r="N182" s="55" t="s">
        <v>80</v>
      </c>
    </row>
    <row r="183">
      <c r="A183" s="48">
        <v>737.0</v>
      </c>
      <c r="B183" s="49">
        <v>45358.0</v>
      </c>
      <c r="C183" s="50">
        <v>179.53</v>
      </c>
      <c r="D183" s="51">
        <v>1889.112136440277</v>
      </c>
      <c r="E183" s="52" t="s">
        <v>81</v>
      </c>
      <c r="F183" s="52" t="s">
        <v>93</v>
      </c>
      <c r="G183" s="52" t="s">
        <v>360</v>
      </c>
      <c r="H183" s="53"/>
      <c r="I183" s="54" t="s">
        <v>181</v>
      </c>
      <c r="J183" s="54">
        <v>3.0</v>
      </c>
      <c r="K183" s="54" t="s">
        <v>77</v>
      </c>
      <c r="L183" s="54" t="s">
        <v>115</v>
      </c>
      <c r="M183" s="52" t="s">
        <v>73</v>
      </c>
      <c r="N183" s="55" t="s">
        <v>80</v>
      </c>
    </row>
    <row r="184">
      <c r="A184" s="48">
        <v>738.0</v>
      </c>
      <c r="B184" s="49">
        <v>45356.0</v>
      </c>
      <c r="C184" s="50">
        <v>179.53</v>
      </c>
      <c r="D184" s="51">
        <v>1914.7110705661773</v>
      </c>
      <c r="E184" s="52" t="s">
        <v>81</v>
      </c>
      <c r="F184" s="52" t="s">
        <v>93</v>
      </c>
      <c r="G184" s="52" t="s">
        <v>361</v>
      </c>
      <c r="H184" s="53"/>
      <c r="I184" s="54" t="s">
        <v>181</v>
      </c>
      <c r="J184" s="54">
        <v>3.0</v>
      </c>
      <c r="K184" s="54" t="s">
        <v>77</v>
      </c>
      <c r="L184" s="54" t="s">
        <v>115</v>
      </c>
      <c r="M184" s="52" t="s">
        <v>73</v>
      </c>
      <c r="N184" s="55" t="s">
        <v>80</v>
      </c>
    </row>
    <row r="185">
      <c r="A185" s="48">
        <v>739.0</v>
      </c>
      <c r="B185" s="49">
        <v>45357.0</v>
      </c>
      <c r="C185" s="50">
        <v>179.53</v>
      </c>
      <c r="D185" s="51">
        <v>1889.112136440277</v>
      </c>
      <c r="E185" s="52" t="s">
        <v>81</v>
      </c>
      <c r="F185" s="52" t="s">
        <v>93</v>
      </c>
      <c r="G185" s="52" t="s">
        <v>362</v>
      </c>
      <c r="H185" s="53"/>
      <c r="I185" s="54" t="s">
        <v>181</v>
      </c>
      <c r="J185" s="54">
        <v>3.0</v>
      </c>
      <c r="K185" s="54" t="s">
        <v>77</v>
      </c>
      <c r="L185" s="54" t="s">
        <v>115</v>
      </c>
      <c r="M185" s="52" t="s">
        <v>73</v>
      </c>
      <c r="N185" s="55" t="s">
        <v>80</v>
      </c>
    </row>
    <row r="186">
      <c r="A186" s="48">
        <v>740.0</v>
      </c>
      <c r="B186" s="49">
        <v>45356.0</v>
      </c>
      <c r="C186" s="50">
        <v>196.85</v>
      </c>
      <c r="D186" s="51">
        <v>2099.431149339676</v>
      </c>
      <c r="E186" s="52" t="s">
        <v>81</v>
      </c>
      <c r="F186" s="52" t="s">
        <v>93</v>
      </c>
      <c r="G186" s="52" t="s">
        <v>363</v>
      </c>
      <c r="H186" s="53"/>
      <c r="I186" s="54" t="s">
        <v>181</v>
      </c>
      <c r="J186" s="54">
        <v>3.0</v>
      </c>
      <c r="K186" s="54" t="s">
        <v>77</v>
      </c>
      <c r="L186" s="54" t="s">
        <v>115</v>
      </c>
      <c r="M186" s="52" t="s">
        <v>73</v>
      </c>
      <c r="N186" s="55" t="s">
        <v>80</v>
      </c>
    </row>
    <row r="187">
      <c r="A187" s="48">
        <v>741.0</v>
      </c>
      <c r="B187" s="49">
        <v>45356.0</v>
      </c>
      <c r="C187" s="50">
        <v>179.53</v>
      </c>
      <c r="D187" s="51">
        <v>1871.0734613800048</v>
      </c>
      <c r="E187" s="52" t="s">
        <v>81</v>
      </c>
      <c r="F187" s="52" t="s">
        <v>93</v>
      </c>
      <c r="G187" s="52" t="s">
        <v>364</v>
      </c>
      <c r="H187" s="53"/>
      <c r="I187" s="54" t="s">
        <v>181</v>
      </c>
      <c r="J187" s="54">
        <v>3.0</v>
      </c>
      <c r="K187" s="54" t="s">
        <v>77</v>
      </c>
      <c r="L187" s="54" t="s">
        <v>115</v>
      </c>
      <c r="M187" s="52" t="s">
        <v>73</v>
      </c>
      <c r="N187" s="55" t="s">
        <v>80</v>
      </c>
    </row>
    <row r="188">
      <c r="A188" s="48">
        <v>742.0</v>
      </c>
      <c r="B188" s="49">
        <v>45356.0</v>
      </c>
      <c r="C188" s="50">
        <v>211.59</v>
      </c>
      <c r="D188" s="51">
        <v>2205.2048888397217</v>
      </c>
      <c r="E188" s="52" t="s">
        <v>81</v>
      </c>
      <c r="F188" s="52" t="s">
        <v>93</v>
      </c>
      <c r="G188" s="52" t="s">
        <v>365</v>
      </c>
      <c r="H188" s="53"/>
      <c r="I188" s="54" t="s">
        <v>181</v>
      </c>
      <c r="J188" s="54">
        <v>3.0</v>
      </c>
      <c r="K188" s="54" t="s">
        <v>77</v>
      </c>
      <c r="L188" s="54" t="s">
        <v>115</v>
      </c>
      <c r="M188" s="52" t="s">
        <v>73</v>
      </c>
      <c r="N188" s="55" t="s">
        <v>80</v>
      </c>
    </row>
    <row r="189">
      <c r="A189" s="48">
        <v>743.0</v>
      </c>
      <c r="B189" s="49">
        <v>45357.0</v>
      </c>
      <c r="C189" s="50">
        <v>179.53</v>
      </c>
      <c r="D189" s="51">
        <v>1914.7110705661773</v>
      </c>
      <c r="E189" s="52" t="s">
        <v>81</v>
      </c>
      <c r="F189" s="52" t="s">
        <v>93</v>
      </c>
      <c r="G189" s="52" t="s">
        <v>366</v>
      </c>
      <c r="H189" s="53"/>
      <c r="I189" s="54" t="s">
        <v>181</v>
      </c>
      <c r="J189" s="54">
        <v>3.0</v>
      </c>
      <c r="K189" s="54" t="s">
        <v>77</v>
      </c>
      <c r="L189" s="54" t="s">
        <v>115</v>
      </c>
      <c r="M189" s="52" t="s">
        <v>73</v>
      </c>
      <c r="N189" s="55" t="s">
        <v>80</v>
      </c>
    </row>
    <row r="190">
      <c r="A190" s="48">
        <v>744.0</v>
      </c>
      <c r="B190" s="49">
        <v>45356.0</v>
      </c>
      <c r="C190" s="50">
        <v>179.53</v>
      </c>
      <c r="D190" s="51">
        <v>1871.0734613800048</v>
      </c>
      <c r="E190" s="52" t="s">
        <v>81</v>
      </c>
      <c r="F190" s="52" t="s">
        <v>93</v>
      </c>
      <c r="G190" s="52" t="s">
        <v>367</v>
      </c>
      <c r="H190" s="53"/>
      <c r="I190" s="54" t="s">
        <v>181</v>
      </c>
      <c r="J190" s="54">
        <v>3.0</v>
      </c>
      <c r="K190" s="54" t="s">
        <v>77</v>
      </c>
      <c r="L190" s="54" t="s">
        <v>115</v>
      </c>
      <c r="M190" s="52" t="s">
        <v>73</v>
      </c>
      <c r="N190" s="55" t="s">
        <v>80</v>
      </c>
    </row>
    <row r="191">
      <c r="A191" s="48">
        <v>745.0</v>
      </c>
      <c r="B191" s="49">
        <v>45358.0</v>
      </c>
      <c r="C191" s="50">
        <v>5548.2</v>
      </c>
      <c r="D191" s="51">
        <v>58381.17281455993</v>
      </c>
      <c r="E191" s="52" t="s">
        <v>46</v>
      </c>
      <c r="F191" s="52" t="s">
        <v>119</v>
      </c>
      <c r="G191" s="52" t="s">
        <v>368</v>
      </c>
      <c r="H191" s="53"/>
      <c r="I191" s="54" t="s">
        <v>181</v>
      </c>
      <c r="J191" s="54">
        <v>3.0</v>
      </c>
      <c r="K191" s="54" t="s">
        <v>77</v>
      </c>
      <c r="L191" s="54" t="s">
        <v>115</v>
      </c>
      <c r="M191" s="52" t="s">
        <v>73</v>
      </c>
      <c r="N191" s="55" t="s">
        <v>80</v>
      </c>
    </row>
    <row r="192">
      <c r="A192" s="48">
        <v>746.0</v>
      </c>
      <c r="B192" s="49">
        <v>45358.0</v>
      </c>
      <c r="C192" s="50">
        <v>5944.5</v>
      </c>
      <c r="D192" s="51">
        <v>62551.2565870285</v>
      </c>
      <c r="E192" s="52" t="s">
        <v>46</v>
      </c>
      <c r="F192" s="52" t="s">
        <v>119</v>
      </c>
      <c r="G192" s="52" t="s">
        <v>369</v>
      </c>
      <c r="H192" s="53"/>
      <c r="I192" s="54" t="s">
        <v>181</v>
      </c>
      <c r="J192" s="54">
        <v>3.0</v>
      </c>
      <c r="K192" s="54" t="s">
        <v>77</v>
      </c>
      <c r="L192" s="54" t="s">
        <v>115</v>
      </c>
      <c r="M192" s="52" t="s">
        <v>73</v>
      </c>
      <c r="N192" s="55" t="s">
        <v>80</v>
      </c>
    </row>
    <row r="193">
      <c r="A193" s="48">
        <v>747.0</v>
      </c>
      <c r="B193" s="49">
        <v>45370.0</v>
      </c>
      <c r="C193" s="50">
        <v>3373.2</v>
      </c>
      <c r="D193" s="51">
        <v>30086.441482543945</v>
      </c>
      <c r="E193" s="52" t="s">
        <v>46</v>
      </c>
      <c r="F193" s="52" t="s">
        <v>119</v>
      </c>
      <c r="G193" s="52" t="s">
        <v>370</v>
      </c>
      <c r="H193" s="53"/>
      <c r="I193" s="54" t="s">
        <v>181</v>
      </c>
      <c r="J193" s="54">
        <v>3.0</v>
      </c>
      <c r="K193" s="54" t="s">
        <v>77</v>
      </c>
      <c r="L193" s="54" t="s">
        <v>115</v>
      </c>
      <c r="M193" s="52" t="s">
        <v>73</v>
      </c>
      <c r="N193" s="55" t="s">
        <v>80</v>
      </c>
    </row>
    <row r="194">
      <c r="A194" s="48">
        <v>748.0</v>
      </c>
      <c r="B194" s="49">
        <v>45360.0</v>
      </c>
      <c r="C194" s="50">
        <v>172.599</v>
      </c>
      <c r="D194" s="51">
        <v>1851.4048247509002</v>
      </c>
      <c r="E194" s="52" t="s">
        <v>50</v>
      </c>
      <c r="F194" s="52" t="s">
        <v>157</v>
      </c>
      <c r="G194" s="52" t="s">
        <v>371</v>
      </c>
      <c r="H194" s="53"/>
      <c r="I194" s="54" t="s">
        <v>181</v>
      </c>
      <c r="J194" s="54">
        <v>3.0</v>
      </c>
      <c r="K194" s="54" t="s">
        <v>77</v>
      </c>
      <c r="L194" s="54" t="s">
        <v>115</v>
      </c>
      <c r="M194" s="52" t="s">
        <v>73</v>
      </c>
      <c r="N194" s="55" t="s">
        <v>80</v>
      </c>
    </row>
    <row r="195">
      <c r="A195" s="48">
        <v>749.0</v>
      </c>
      <c r="B195" s="49">
        <v>45361.0</v>
      </c>
      <c r="C195" s="50">
        <v>143.833</v>
      </c>
      <c r="D195" s="51">
        <v>1628.3452038717269</v>
      </c>
      <c r="E195" s="52" t="s">
        <v>50</v>
      </c>
      <c r="F195" s="52" t="s">
        <v>157</v>
      </c>
      <c r="G195" s="52" t="s">
        <v>372</v>
      </c>
      <c r="H195" s="53"/>
      <c r="I195" s="54" t="s">
        <v>181</v>
      </c>
      <c r="J195" s="54">
        <v>3.0</v>
      </c>
      <c r="K195" s="54" t="s">
        <v>77</v>
      </c>
      <c r="L195" s="54" t="s">
        <v>115</v>
      </c>
      <c r="M195" s="52" t="s">
        <v>73</v>
      </c>
      <c r="N195" s="55" t="s">
        <v>80</v>
      </c>
    </row>
    <row r="196">
      <c r="A196" s="48">
        <v>750.0</v>
      </c>
      <c r="B196" s="49">
        <v>45361.0</v>
      </c>
      <c r="C196" s="50">
        <v>59.93</v>
      </c>
      <c r="D196" s="51">
        <v>678.4724511623383</v>
      </c>
      <c r="E196" s="52" t="s">
        <v>50</v>
      </c>
      <c r="F196" s="52" t="s">
        <v>157</v>
      </c>
      <c r="G196" s="52" t="s">
        <v>373</v>
      </c>
      <c r="H196" s="53"/>
      <c r="I196" s="54" t="s">
        <v>181</v>
      </c>
      <c r="J196" s="54">
        <v>3.0</v>
      </c>
      <c r="K196" s="54" t="s">
        <v>77</v>
      </c>
      <c r="L196" s="54" t="s">
        <v>115</v>
      </c>
      <c r="M196" s="52" t="s">
        <v>73</v>
      </c>
      <c r="N196" s="55" t="s">
        <v>80</v>
      </c>
    </row>
    <row r="197">
      <c r="A197" s="48">
        <v>751.0</v>
      </c>
      <c r="B197" s="49">
        <v>45360.0</v>
      </c>
      <c r="C197" s="50">
        <v>201.366</v>
      </c>
      <c r="D197" s="51">
        <v>2159.977658855438</v>
      </c>
      <c r="E197" s="52" t="s">
        <v>50</v>
      </c>
      <c r="F197" s="52" t="s">
        <v>157</v>
      </c>
      <c r="G197" s="52" t="s">
        <v>374</v>
      </c>
      <c r="H197" s="53"/>
      <c r="I197" s="54" t="s">
        <v>181</v>
      </c>
      <c r="J197" s="54">
        <v>3.0</v>
      </c>
      <c r="K197" s="54" t="s">
        <v>77</v>
      </c>
      <c r="L197" s="54" t="s">
        <v>115</v>
      </c>
      <c r="M197" s="52" t="s">
        <v>73</v>
      </c>
      <c r="N197" s="55" t="s">
        <v>80</v>
      </c>
    </row>
    <row r="198">
      <c r="A198" s="48">
        <v>752.0</v>
      </c>
      <c r="B198" s="49">
        <v>45361.0</v>
      </c>
      <c r="C198" s="50">
        <v>86.299</v>
      </c>
      <c r="D198" s="51">
        <v>976.9980654573442</v>
      </c>
      <c r="E198" s="52" t="s">
        <v>50</v>
      </c>
      <c r="F198" s="52" t="s">
        <v>157</v>
      </c>
      <c r="G198" s="52" t="s">
        <v>375</v>
      </c>
      <c r="H198" s="53"/>
      <c r="I198" s="54" t="s">
        <v>181</v>
      </c>
      <c r="J198" s="54">
        <v>3.0</v>
      </c>
      <c r="K198" s="54" t="s">
        <v>77</v>
      </c>
      <c r="L198" s="54" t="s">
        <v>115</v>
      </c>
      <c r="M198" s="52" t="s">
        <v>73</v>
      </c>
      <c r="N198" s="55" t="s">
        <v>80</v>
      </c>
    </row>
    <row r="199">
      <c r="A199" s="48">
        <v>753.0</v>
      </c>
      <c r="B199" s="49">
        <v>45362.0</v>
      </c>
      <c r="C199" s="50">
        <v>59.93</v>
      </c>
      <c r="D199" s="51">
        <v>691.7661164283752</v>
      </c>
      <c r="E199" s="52" t="s">
        <v>50</v>
      </c>
      <c r="F199" s="52" t="s">
        <v>157</v>
      </c>
      <c r="G199" s="52" t="s">
        <v>376</v>
      </c>
      <c r="H199" s="53"/>
      <c r="I199" s="54" t="s">
        <v>181</v>
      </c>
      <c r="J199" s="54">
        <v>3.0</v>
      </c>
      <c r="K199" s="54" t="s">
        <v>77</v>
      </c>
      <c r="L199" s="54" t="s">
        <v>115</v>
      </c>
      <c r="M199" s="52" t="s">
        <v>73</v>
      </c>
      <c r="N199" s="55" t="s">
        <v>80</v>
      </c>
    </row>
    <row r="200">
      <c r="A200" s="48">
        <v>754.0</v>
      </c>
      <c r="B200" s="49">
        <v>45360.0</v>
      </c>
      <c r="C200" s="50">
        <v>95.888</v>
      </c>
      <c r="D200" s="51">
        <v>1028.5546604309084</v>
      </c>
      <c r="E200" s="52" t="s">
        <v>50</v>
      </c>
      <c r="F200" s="52" t="s">
        <v>157</v>
      </c>
      <c r="G200" s="52" t="s">
        <v>377</v>
      </c>
      <c r="H200" s="53"/>
      <c r="I200" s="54" t="s">
        <v>181</v>
      </c>
      <c r="J200" s="54">
        <v>3.0</v>
      </c>
      <c r="K200" s="54" t="s">
        <v>77</v>
      </c>
      <c r="L200" s="54" t="s">
        <v>115</v>
      </c>
      <c r="M200" s="52" t="s">
        <v>73</v>
      </c>
      <c r="N200" s="55" t="s">
        <v>80</v>
      </c>
    </row>
    <row r="201">
      <c r="A201" s="48">
        <v>755.0</v>
      </c>
      <c r="B201" s="49">
        <v>45360.0</v>
      </c>
      <c r="C201" s="50">
        <v>172.6</v>
      </c>
      <c r="D201" s="51">
        <v>1851.4155513763428</v>
      </c>
      <c r="E201" s="52" t="s">
        <v>50</v>
      </c>
      <c r="F201" s="52" t="s">
        <v>157</v>
      </c>
      <c r="G201" s="52" t="s">
        <v>378</v>
      </c>
      <c r="H201" s="53"/>
      <c r="I201" s="54" t="s">
        <v>181</v>
      </c>
      <c r="J201" s="54">
        <v>3.0</v>
      </c>
      <c r="K201" s="54" t="s">
        <v>77</v>
      </c>
      <c r="L201" s="54" t="s">
        <v>115</v>
      </c>
      <c r="M201" s="52" t="s">
        <v>73</v>
      </c>
      <c r="N201" s="55" t="s">
        <v>80</v>
      </c>
    </row>
    <row r="202">
      <c r="A202" s="48">
        <v>756.0</v>
      </c>
      <c r="B202" s="49">
        <v>45371.0</v>
      </c>
      <c r="C202" s="50">
        <v>86.3</v>
      </c>
      <c r="D202" s="51">
        <v>769.7319755554199</v>
      </c>
      <c r="E202" s="52" t="s">
        <v>50</v>
      </c>
      <c r="F202" s="52" t="s">
        <v>157</v>
      </c>
      <c r="G202" s="52" t="s">
        <v>379</v>
      </c>
      <c r="H202" s="53"/>
      <c r="I202" s="54" t="s">
        <v>181</v>
      </c>
      <c r="J202" s="54">
        <v>3.0</v>
      </c>
      <c r="K202" s="54" t="s">
        <v>77</v>
      </c>
      <c r="L202" s="54" t="s">
        <v>115</v>
      </c>
      <c r="M202" s="52" t="s">
        <v>73</v>
      </c>
      <c r="N202" s="55" t="s">
        <v>80</v>
      </c>
    </row>
    <row r="203">
      <c r="A203" s="48">
        <v>757.0</v>
      </c>
      <c r="B203" s="49">
        <v>45360.0</v>
      </c>
      <c r="C203" s="50">
        <v>59.93</v>
      </c>
      <c r="D203" s="51">
        <v>642.8466627693176</v>
      </c>
      <c r="E203" s="52" t="s">
        <v>50</v>
      </c>
      <c r="F203" s="52" t="s">
        <v>157</v>
      </c>
      <c r="G203" s="52" t="s">
        <v>380</v>
      </c>
      <c r="H203" s="53"/>
      <c r="I203" s="54" t="s">
        <v>181</v>
      </c>
      <c r="J203" s="54">
        <v>3.0</v>
      </c>
      <c r="K203" s="54" t="s">
        <v>77</v>
      </c>
      <c r="L203" s="54" t="s">
        <v>115</v>
      </c>
      <c r="M203" s="52" t="s">
        <v>73</v>
      </c>
      <c r="N203" s="55" t="s">
        <v>80</v>
      </c>
    </row>
    <row r="204">
      <c r="A204" s="48">
        <v>758.0</v>
      </c>
      <c r="B204" s="49">
        <v>45360.0</v>
      </c>
      <c r="C204" s="50">
        <v>47.94</v>
      </c>
      <c r="D204" s="51">
        <v>514.234423713684</v>
      </c>
      <c r="E204" s="52" t="s">
        <v>50</v>
      </c>
      <c r="F204" s="52" t="s">
        <v>157</v>
      </c>
      <c r="G204" s="52" t="s">
        <v>381</v>
      </c>
      <c r="H204" s="53"/>
      <c r="I204" s="54" t="s">
        <v>181</v>
      </c>
      <c r="J204" s="54">
        <v>3.0</v>
      </c>
      <c r="K204" s="54" t="s">
        <v>77</v>
      </c>
      <c r="L204" s="54" t="s">
        <v>115</v>
      </c>
      <c r="M204" s="52" t="s">
        <v>73</v>
      </c>
      <c r="N204" s="55" t="s">
        <v>80</v>
      </c>
    </row>
    <row r="205">
      <c r="A205" s="48">
        <v>759.0</v>
      </c>
      <c r="B205" s="49">
        <v>45371.0</v>
      </c>
      <c r="C205" s="50">
        <v>47.94</v>
      </c>
      <c r="D205" s="51">
        <v>427.5892341613769</v>
      </c>
      <c r="E205" s="52" t="s">
        <v>50</v>
      </c>
      <c r="F205" s="52" t="s">
        <v>157</v>
      </c>
      <c r="G205" s="52" t="s">
        <v>382</v>
      </c>
      <c r="H205" s="53"/>
      <c r="I205" s="54" t="s">
        <v>181</v>
      </c>
      <c r="J205" s="54">
        <v>3.0</v>
      </c>
      <c r="K205" s="54" t="s">
        <v>77</v>
      </c>
      <c r="L205" s="54" t="s">
        <v>115</v>
      </c>
      <c r="M205" s="52" t="s">
        <v>73</v>
      </c>
      <c r="N205" s="55" t="s">
        <v>80</v>
      </c>
    </row>
    <row r="206">
      <c r="A206" s="48">
        <v>760.0</v>
      </c>
      <c r="B206" s="49">
        <v>45360.0</v>
      </c>
      <c r="C206" s="50">
        <v>47.94</v>
      </c>
      <c r="D206" s="51">
        <v>514.234423713684</v>
      </c>
      <c r="E206" s="52" t="s">
        <v>50</v>
      </c>
      <c r="F206" s="52" t="s">
        <v>157</v>
      </c>
      <c r="G206" s="52" t="s">
        <v>383</v>
      </c>
      <c r="H206" s="53"/>
      <c r="I206" s="54" t="s">
        <v>181</v>
      </c>
      <c r="J206" s="54">
        <v>3.0</v>
      </c>
      <c r="K206" s="54" t="s">
        <v>77</v>
      </c>
      <c r="L206" s="54" t="s">
        <v>115</v>
      </c>
      <c r="M206" s="52" t="s">
        <v>73</v>
      </c>
      <c r="N206" s="55" t="s">
        <v>80</v>
      </c>
    </row>
    <row r="207">
      <c r="A207" s="48">
        <v>761.0</v>
      </c>
      <c r="B207" s="49">
        <v>45361.0</v>
      </c>
      <c r="C207" s="50">
        <v>143.83</v>
      </c>
      <c r="D207" s="51">
        <v>1628.3112406253815</v>
      </c>
      <c r="E207" s="52" t="s">
        <v>50</v>
      </c>
      <c r="F207" s="52" t="s">
        <v>157</v>
      </c>
      <c r="G207" s="52" t="s">
        <v>384</v>
      </c>
      <c r="H207" s="53"/>
      <c r="I207" s="54" t="s">
        <v>181</v>
      </c>
      <c r="J207" s="54">
        <v>3.0</v>
      </c>
      <c r="K207" s="54" t="s">
        <v>77</v>
      </c>
      <c r="L207" s="54" t="s">
        <v>115</v>
      </c>
      <c r="M207" s="52" t="s">
        <v>73</v>
      </c>
      <c r="N207" s="55" t="s">
        <v>80</v>
      </c>
    </row>
    <row r="208">
      <c r="A208" s="48">
        <v>762.0</v>
      </c>
      <c r="B208" s="49">
        <v>45361.0</v>
      </c>
      <c r="C208" s="50">
        <v>71.92</v>
      </c>
      <c r="D208" s="51">
        <v>814.2122257232667</v>
      </c>
      <c r="E208" s="52" t="s">
        <v>50</v>
      </c>
      <c r="F208" s="52" t="s">
        <v>157</v>
      </c>
      <c r="G208" s="52" t="s">
        <v>385</v>
      </c>
      <c r="H208" s="53"/>
      <c r="I208" s="54" t="s">
        <v>181</v>
      </c>
      <c r="J208" s="54">
        <v>3.0</v>
      </c>
      <c r="K208" s="54" t="s">
        <v>77</v>
      </c>
      <c r="L208" s="54" t="s">
        <v>115</v>
      </c>
      <c r="M208" s="52" t="s">
        <v>73</v>
      </c>
      <c r="N208" s="55" t="s">
        <v>80</v>
      </c>
    </row>
    <row r="209">
      <c r="A209" s="48">
        <v>763.0</v>
      </c>
      <c r="B209" s="49">
        <v>45361.0</v>
      </c>
      <c r="C209" s="50">
        <v>59.93</v>
      </c>
      <c r="D209" s="51">
        <v>678.4724511623383</v>
      </c>
      <c r="E209" s="52" t="s">
        <v>50</v>
      </c>
      <c r="F209" s="52" t="s">
        <v>157</v>
      </c>
      <c r="G209" s="52" t="s">
        <v>386</v>
      </c>
      <c r="H209" s="53"/>
      <c r="I209" s="54" t="s">
        <v>181</v>
      </c>
      <c r="J209" s="54">
        <v>3.0</v>
      </c>
      <c r="K209" s="54" t="s">
        <v>77</v>
      </c>
      <c r="L209" s="54" t="s">
        <v>115</v>
      </c>
      <c r="M209" s="52" t="s">
        <v>73</v>
      </c>
      <c r="N209" s="55" t="s">
        <v>80</v>
      </c>
    </row>
    <row r="210">
      <c r="A210" s="48">
        <v>764.0</v>
      </c>
      <c r="B210" s="49">
        <v>45361.0</v>
      </c>
      <c r="C210" s="50">
        <v>788.244</v>
      </c>
      <c r="D210" s="51">
        <v>8923.775050792694</v>
      </c>
      <c r="E210" s="52" t="s">
        <v>50</v>
      </c>
      <c r="F210" s="52" t="s">
        <v>157</v>
      </c>
      <c r="G210" s="52" t="s">
        <v>387</v>
      </c>
      <c r="H210" s="53"/>
      <c r="I210" s="54" t="s">
        <v>181</v>
      </c>
      <c r="J210" s="54">
        <v>3.0</v>
      </c>
      <c r="K210" s="54" t="s">
        <v>77</v>
      </c>
      <c r="L210" s="54" t="s">
        <v>115</v>
      </c>
      <c r="M210" s="52" t="s">
        <v>73</v>
      </c>
      <c r="N210" s="55" t="s">
        <v>80</v>
      </c>
    </row>
    <row r="211">
      <c r="A211" s="48">
        <v>765.0</v>
      </c>
      <c r="B211" s="49">
        <v>45367.0</v>
      </c>
      <c r="C211" s="50">
        <v>290.722</v>
      </c>
      <c r="D211" s="51">
        <v>2547.992115053177</v>
      </c>
      <c r="E211" s="52" t="s">
        <v>50</v>
      </c>
      <c r="F211" s="52" t="s">
        <v>157</v>
      </c>
      <c r="G211" s="52" t="s">
        <v>388</v>
      </c>
      <c r="H211" s="53"/>
      <c r="I211" s="54" t="s">
        <v>181</v>
      </c>
      <c r="J211" s="54">
        <v>3.0</v>
      </c>
      <c r="K211" s="54" t="s">
        <v>77</v>
      </c>
      <c r="L211" s="54" t="s">
        <v>115</v>
      </c>
      <c r="M211" s="52" t="s">
        <v>73</v>
      </c>
      <c r="N211" s="55" t="s">
        <v>80</v>
      </c>
    </row>
    <row r="212">
      <c r="A212" s="48">
        <v>766.0</v>
      </c>
      <c r="B212" s="49">
        <v>45361.0</v>
      </c>
      <c r="C212" s="50">
        <v>429.164</v>
      </c>
      <c r="D212" s="51">
        <v>4603.481481407165</v>
      </c>
      <c r="E212" s="52" t="s">
        <v>50</v>
      </c>
      <c r="F212" s="52" t="s">
        <v>157</v>
      </c>
      <c r="G212" s="52" t="s">
        <v>389</v>
      </c>
      <c r="H212" s="53"/>
      <c r="I212" s="54" t="s">
        <v>181</v>
      </c>
      <c r="J212" s="54">
        <v>3.0</v>
      </c>
      <c r="K212" s="54" t="s">
        <v>77</v>
      </c>
      <c r="L212" s="54" t="s">
        <v>115</v>
      </c>
      <c r="M212" s="52" t="s">
        <v>73</v>
      </c>
      <c r="N212" s="55" t="s">
        <v>80</v>
      </c>
    </row>
    <row r="213">
      <c r="A213" s="48">
        <v>767.0</v>
      </c>
      <c r="B213" s="49">
        <v>45363.0</v>
      </c>
      <c r="C213" s="50">
        <v>86.825</v>
      </c>
      <c r="D213" s="51">
        <v>1002.2124655246735</v>
      </c>
      <c r="E213" s="52" t="s">
        <v>50</v>
      </c>
      <c r="F213" s="52" t="s">
        <v>157</v>
      </c>
      <c r="G213" s="52" t="s">
        <v>390</v>
      </c>
      <c r="H213" s="53"/>
      <c r="I213" s="54" t="s">
        <v>181</v>
      </c>
      <c r="J213" s="54">
        <v>3.0</v>
      </c>
      <c r="K213" s="54" t="s">
        <v>77</v>
      </c>
      <c r="L213" s="54" t="s">
        <v>115</v>
      </c>
      <c r="M213" s="52" t="s">
        <v>73</v>
      </c>
      <c r="N213" s="55" t="s">
        <v>80</v>
      </c>
    </row>
    <row r="214">
      <c r="A214" s="48">
        <v>768.0</v>
      </c>
      <c r="B214" s="49">
        <v>45364.0</v>
      </c>
      <c r="C214" s="50">
        <v>86.825</v>
      </c>
      <c r="D214" s="51">
        <v>841.9283234596253</v>
      </c>
      <c r="E214" s="52" t="s">
        <v>50</v>
      </c>
      <c r="F214" s="52" t="s">
        <v>157</v>
      </c>
      <c r="G214" s="52" t="s">
        <v>391</v>
      </c>
      <c r="H214" s="53"/>
      <c r="I214" s="54" t="s">
        <v>181</v>
      </c>
      <c r="J214" s="54">
        <v>3.0</v>
      </c>
      <c r="K214" s="54" t="s">
        <v>77</v>
      </c>
      <c r="L214" s="54" t="s">
        <v>115</v>
      </c>
      <c r="M214" s="52" t="s">
        <v>73</v>
      </c>
      <c r="N214" s="55" t="s">
        <v>80</v>
      </c>
    </row>
    <row r="215">
      <c r="A215" s="48">
        <v>769.0</v>
      </c>
      <c r="B215" s="49">
        <v>45367.0</v>
      </c>
      <c r="C215" s="50">
        <v>57.883</v>
      </c>
      <c r="D215" s="51">
        <v>507.3074194440842</v>
      </c>
      <c r="E215" s="52" t="s">
        <v>50</v>
      </c>
      <c r="F215" s="52" t="s">
        <v>157</v>
      </c>
      <c r="G215" s="52" t="s">
        <v>392</v>
      </c>
      <c r="H215" s="53"/>
      <c r="I215" s="54" t="s">
        <v>181</v>
      </c>
      <c r="J215" s="54">
        <v>3.0</v>
      </c>
      <c r="K215" s="54" t="s">
        <v>77</v>
      </c>
      <c r="L215" s="54" t="s">
        <v>115</v>
      </c>
      <c r="M215" s="52" t="s">
        <v>73</v>
      </c>
      <c r="N215" s="55" t="s">
        <v>80</v>
      </c>
    </row>
    <row r="216">
      <c r="A216" s="48">
        <v>770.0</v>
      </c>
      <c r="B216" s="49">
        <v>45363.0</v>
      </c>
      <c r="C216" s="50">
        <v>28.941</v>
      </c>
      <c r="D216" s="51">
        <v>334.0631265735626</v>
      </c>
      <c r="E216" s="52" t="s">
        <v>50</v>
      </c>
      <c r="F216" s="52" t="s">
        <v>157</v>
      </c>
      <c r="G216" s="52" t="s">
        <v>393</v>
      </c>
      <c r="H216" s="53"/>
      <c r="I216" s="54" t="s">
        <v>181</v>
      </c>
      <c r="J216" s="54">
        <v>3.0</v>
      </c>
      <c r="K216" s="54" t="s">
        <v>77</v>
      </c>
      <c r="L216" s="54" t="s">
        <v>115</v>
      </c>
      <c r="M216" s="52" t="s">
        <v>73</v>
      </c>
      <c r="N216" s="55" t="s">
        <v>80</v>
      </c>
    </row>
    <row r="217">
      <c r="A217" s="48">
        <v>771.0</v>
      </c>
      <c r="B217" s="49">
        <v>45364.0</v>
      </c>
      <c r="C217" s="50">
        <v>28.941</v>
      </c>
      <c r="D217" s="51">
        <v>280.63630992507933</v>
      </c>
      <c r="E217" s="52" t="s">
        <v>50</v>
      </c>
      <c r="F217" s="52" t="s">
        <v>157</v>
      </c>
      <c r="G217" s="52" t="s">
        <v>394</v>
      </c>
      <c r="H217" s="53"/>
      <c r="I217" s="54" t="s">
        <v>181</v>
      </c>
      <c r="J217" s="54">
        <v>3.0</v>
      </c>
      <c r="K217" s="54" t="s">
        <v>77</v>
      </c>
      <c r="L217" s="54" t="s">
        <v>115</v>
      </c>
      <c r="M217" s="52" t="s">
        <v>73</v>
      </c>
      <c r="N217" s="55" t="s">
        <v>80</v>
      </c>
    </row>
    <row r="218">
      <c r="A218" s="48">
        <v>772.0</v>
      </c>
      <c r="B218" s="49">
        <v>45379.0</v>
      </c>
      <c r="C218" s="50">
        <v>57.88</v>
      </c>
      <c r="D218" s="51">
        <v>558.1151818084717</v>
      </c>
      <c r="E218" s="52" t="s">
        <v>50</v>
      </c>
      <c r="F218" s="52" t="s">
        <v>157</v>
      </c>
      <c r="G218" s="52" t="s">
        <v>395</v>
      </c>
      <c r="H218" s="53"/>
      <c r="I218" s="54" t="s">
        <v>181</v>
      </c>
      <c r="J218" s="54">
        <v>3.0</v>
      </c>
      <c r="K218" s="54" t="s">
        <v>77</v>
      </c>
      <c r="L218" s="54" t="s">
        <v>115</v>
      </c>
      <c r="M218" s="52" t="s">
        <v>73</v>
      </c>
      <c r="N218" s="55" t="s">
        <v>80</v>
      </c>
    </row>
    <row r="219">
      <c r="A219" s="48">
        <v>773.0</v>
      </c>
      <c r="B219" s="49">
        <v>45379.0</v>
      </c>
      <c r="C219" s="50">
        <v>28.94</v>
      </c>
      <c r="D219" s="51">
        <v>279.05759090423584</v>
      </c>
      <c r="E219" s="52" t="s">
        <v>50</v>
      </c>
      <c r="F219" s="52" t="s">
        <v>157</v>
      </c>
      <c r="G219" s="52" t="s">
        <v>396</v>
      </c>
      <c r="H219" s="53"/>
      <c r="I219" s="54" t="s">
        <v>181</v>
      </c>
      <c r="J219" s="54">
        <v>3.0</v>
      </c>
      <c r="K219" s="54" t="s">
        <v>77</v>
      </c>
      <c r="L219" s="54" t="s">
        <v>115</v>
      </c>
      <c r="M219" s="52" t="s">
        <v>73</v>
      </c>
      <c r="N219" s="55" t="s">
        <v>80</v>
      </c>
    </row>
    <row r="220">
      <c r="A220" s="48">
        <v>774.0</v>
      </c>
      <c r="B220" s="49">
        <v>45364.0</v>
      </c>
      <c r="C220" s="50">
        <v>312.6046667411</v>
      </c>
      <c r="D220" s="51">
        <v>3031.278122372464</v>
      </c>
      <c r="E220" s="52" t="s">
        <v>50</v>
      </c>
      <c r="F220" s="52" t="s">
        <v>157</v>
      </c>
      <c r="G220" s="52" t="s">
        <v>397</v>
      </c>
      <c r="H220" s="53"/>
      <c r="I220" s="54" t="s">
        <v>181</v>
      </c>
      <c r="J220" s="54">
        <v>3.0</v>
      </c>
      <c r="K220" s="54" t="s">
        <v>77</v>
      </c>
      <c r="L220" s="54" t="s">
        <v>115</v>
      </c>
      <c r="M220" s="52" t="s">
        <v>73</v>
      </c>
      <c r="N220" s="55" t="s">
        <v>80</v>
      </c>
    </row>
    <row r="221">
      <c r="A221" s="48">
        <v>778.0</v>
      </c>
      <c r="B221" s="49">
        <v>45366.0</v>
      </c>
      <c r="C221" s="50">
        <v>289.2576924468</v>
      </c>
      <c r="D221" s="51">
        <v>2865.791148390172</v>
      </c>
      <c r="E221" s="52" t="s">
        <v>50</v>
      </c>
      <c r="F221" s="52" t="s">
        <v>157</v>
      </c>
      <c r="G221" s="52" t="s">
        <v>398</v>
      </c>
      <c r="H221" s="53"/>
      <c r="I221" s="54" t="s">
        <v>181</v>
      </c>
      <c r="J221" s="54">
        <v>3.0</v>
      </c>
      <c r="K221" s="54" t="s">
        <v>77</v>
      </c>
      <c r="L221" s="54" t="s">
        <v>115</v>
      </c>
      <c r="M221" s="52" t="s">
        <v>73</v>
      </c>
      <c r="N221" s="55" t="s">
        <v>80</v>
      </c>
    </row>
    <row r="222">
      <c r="A222" s="48">
        <v>779.0</v>
      </c>
      <c r="B222" s="49">
        <v>45365.0</v>
      </c>
      <c r="C222" s="50">
        <v>289.2576924468</v>
      </c>
      <c r="D222" s="51">
        <v>2926.017765920468</v>
      </c>
      <c r="E222" s="52" t="s">
        <v>50</v>
      </c>
      <c r="F222" s="52" t="s">
        <v>157</v>
      </c>
      <c r="G222" s="52" t="s">
        <v>399</v>
      </c>
      <c r="H222" s="53"/>
      <c r="I222" s="54" t="s">
        <v>181</v>
      </c>
      <c r="J222" s="54">
        <v>3.0</v>
      </c>
      <c r="K222" s="54" t="s">
        <v>77</v>
      </c>
      <c r="L222" s="54" t="s">
        <v>115</v>
      </c>
      <c r="M222" s="52" t="s">
        <v>73</v>
      </c>
      <c r="N222" s="55" t="s">
        <v>80</v>
      </c>
    </row>
    <row r="223">
      <c r="A223" s="48">
        <v>780.0</v>
      </c>
      <c r="B223" s="49">
        <v>45365.0</v>
      </c>
      <c r="C223" s="50">
        <v>288.7153342734</v>
      </c>
      <c r="D223" s="51">
        <v>2920.531482608738</v>
      </c>
      <c r="E223" s="52" t="s">
        <v>50</v>
      </c>
      <c r="F223" s="52" t="s">
        <v>157</v>
      </c>
      <c r="G223" s="52" t="s">
        <v>400</v>
      </c>
      <c r="H223" s="53"/>
      <c r="I223" s="54" t="s">
        <v>181</v>
      </c>
      <c r="J223" s="54">
        <v>3.0</v>
      </c>
      <c r="K223" s="54" t="s">
        <v>77</v>
      </c>
      <c r="L223" s="54" t="s">
        <v>115</v>
      </c>
      <c r="M223" s="52" t="s">
        <v>73</v>
      </c>
      <c r="N223" s="55" t="s">
        <v>80</v>
      </c>
    </row>
    <row r="224">
      <c r="A224" s="48">
        <v>781.0</v>
      </c>
      <c r="B224" s="49">
        <v>45365.0</v>
      </c>
      <c r="C224" s="50">
        <v>37059.8</v>
      </c>
      <c r="D224" s="51">
        <v>359363.0323265076</v>
      </c>
      <c r="E224" s="52" t="s">
        <v>81</v>
      </c>
      <c r="F224" s="52" t="s">
        <v>84</v>
      </c>
      <c r="G224" s="52" t="s">
        <v>401</v>
      </c>
      <c r="H224" s="53"/>
      <c r="I224" s="54" t="s">
        <v>181</v>
      </c>
      <c r="J224" s="54">
        <v>3.0</v>
      </c>
      <c r="K224" s="54" t="s">
        <v>77</v>
      </c>
      <c r="L224" s="54" t="s">
        <v>115</v>
      </c>
      <c r="M224" s="52" t="s">
        <v>73</v>
      </c>
      <c r="N224" s="55" t="s">
        <v>80</v>
      </c>
    </row>
    <row r="225">
      <c r="A225" s="48">
        <v>782.0</v>
      </c>
      <c r="B225" s="49">
        <v>45367.0</v>
      </c>
      <c r="C225" s="50">
        <v>10534.174</v>
      </c>
      <c r="D225" s="51">
        <v>92325.28769958306</v>
      </c>
      <c r="E225" s="52" t="s">
        <v>81</v>
      </c>
      <c r="F225" s="52" t="s">
        <v>84</v>
      </c>
      <c r="G225" s="52" t="s">
        <v>402</v>
      </c>
      <c r="H225" s="53"/>
      <c r="I225" s="54" t="s">
        <v>181</v>
      </c>
      <c r="J225" s="54">
        <v>3.0</v>
      </c>
      <c r="K225" s="54" t="s">
        <v>77</v>
      </c>
      <c r="L225" s="54" t="s">
        <v>115</v>
      </c>
      <c r="M225" s="52" t="s">
        <v>73</v>
      </c>
      <c r="N225" s="55" t="s">
        <v>80</v>
      </c>
    </row>
    <row r="226">
      <c r="A226" s="48">
        <v>783.0</v>
      </c>
      <c r="B226" s="49">
        <v>45367.0</v>
      </c>
      <c r="C226" s="50">
        <v>19520.0</v>
      </c>
      <c r="D226" s="51">
        <v>193392.41333007812</v>
      </c>
      <c r="E226" s="52" t="s">
        <v>46</v>
      </c>
      <c r="F226" s="52" t="s">
        <v>114</v>
      </c>
      <c r="G226" s="52" t="s">
        <v>403</v>
      </c>
      <c r="H226" s="53"/>
      <c r="I226" s="54" t="s">
        <v>181</v>
      </c>
      <c r="J226" s="54">
        <v>3.0</v>
      </c>
      <c r="K226" s="54" t="s">
        <v>77</v>
      </c>
      <c r="L226" s="54" t="s">
        <v>115</v>
      </c>
      <c r="M226" s="52" t="s">
        <v>73</v>
      </c>
      <c r="N226" s="55" t="s">
        <v>80</v>
      </c>
    </row>
    <row r="227">
      <c r="A227" s="48">
        <v>784.0</v>
      </c>
      <c r="B227" s="49">
        <v>45424.0</v>
      </c>
      <c r="C227" s="50">
        <v>2.5365632916</v>
      </c>
      <c r="D227" s="51">
        <v>17.6633077389534</v>
      </c>
      <c r="E227" s="52" t="s">
        <v>49</v>
      </c>
      <c r="F227" s="52" t="s">
        <v>140</v>
      </c>
      <c r="G227" s="52" t="s">
        <v>296</v>
      </c>
      <c r="H227" s="53"/>
      <c r="I227" s="54" t="s">
        <v>181</v>
      </c>
      <c r="J227" s="54">
        <v>5.0</v>
      </c>
      <c r="K227" s="54" t="s">
        <v>78</v>
      </c>
      <c r="L227" s="54" t="s">
        <v>120</v>
      </c>
      <c r="M227" s="52" t="s">
        <v>73</v>
      </c>
      <c r="N227" s="55" t="s">
        <v>80</v>
      </c>
    </row>
    <row r="228">
      <c r="A228" s="48">
        <v>785.0</v>
      </c>
      <c r="B228" s="49">
        <v>45367.0</v>
      </c>
      <c r="C228" s="50">
        <v>44.4222864294</v>
      </c>
      <c r="D228" s="51">
        <v>389.33288693234414</v>
      </c>
      <c r="E228" s="52" t="s">
        <v>49</v>
      </c>
      <c r="F228" s="52" t="s">
        <v>140</v>
      </c>
      <c r="G228" s="52" t="s">
        <v>404</v>
      </c>
      <c r="H228" s="53"/>
      <c r="I228" s="54" t="s">
        <v>181</v>
      </c>
      <c r="J228" s="54">
        <v>3.0</v>
      </c>
      <c r="K228" s="54" t="s">
        <v>77</v>
      </c>
      <c r="L228" s="54" t="s">
        <v>115</v>
      </c>
      <c r="M228" s="52" t="s">
        <v>73</v>
      </c>
      <c r="N228" s="55" t="s">
        <v>80</v>
      </c>
    </row>
    <row r="229">
      <c r="A229" s="48">
        <v>786.0</v>
      </c>
      <c r="B229" s="49">
        <v>45367.0</v>
      </c>
      <c r="C229" s="50">
        <v>30.4084681572</v>
      </c>
      <c r="D229" s="51">
        <v>266.5107459889214</v>
      </c>
      <c r="E229" s="52" t="s">
        <v>49</v>
      </c>
      <c r="F229" s="52" t="s">
        <v>140</v>
      </c>
      <c r="G229" s="52" t="s">
        <v>405</v>
      </c>
      <c r="H229" s="53"/>
      <c r="I229" s="54" t="s">
        <v>181</v>
      </c>
      <c r="J229" s="54">
        <v>3.0</v>
      </c>
      <c r="K229" s="54" t="s">
        <v>77</v>
      </c>
      <c r="L229" s="54" t="s">
        <v>115</v>
      </c>
      <c r="M229" s="52" t="s">
        <v>73</v>
      </c>
      <c r="N229" s="55" t="s">
        <v>80</v>
      </c>
    </row>
    <row r="230">
      <c r="A230" s="48">
        <v>787.0</v>
      </c>
      <c r="B230" s="49">
        <v>45367.0</v>
      </c>
      <c r="C230" s="50">
        <v>29.9399620732</v>
      </c>
      <c r="D230" s="51">
        <v>262.40459025290403</v>
      </c>
      <c r="E230" s="52" t="s">
        <v>49</v>
      </c>
      <c r="F230" s="52" t="s">
        <v>140</v>
      </c>
      <c r="G230" s="52" t="s">
        <v>406</v>
      </c>
      <c r="H230" s="53"/>
      <c r="I230" s="54" t="s">
        <v>181</v>
      </c>
      <c r="J230" s="54">
        <v>3.0</v>
      </c>
      <c r="K230" s="54" t="s">
        <v>77</v>
      </c>
      <c r="L230" s="54" t="s">
        <v>115</v>
      </c>
      <c r="M230" s="52" t="s">
        <v>73</v>
      </c>
      <c r="N230" s="55" t="s">
        <v>80</v>
      </c>
    </row>
    <row r="231">
      <c r="A231" s="48">
        <v>788.0</v>
      </c>
      <c r="B231" s="49">
        <v>45367.0</v>
      </c>
      <c r="C231" s="50">
        <v>30.1903704974</v>
      </c>
      <c r="D231" s="51">
        <v>264.5992596979563</v>
      </c>
      <c r="E231" s="52" t="s">
        <v>49</v>
      </c>
      <c r="F231" s="52" t="s">
        <v>140</v>
      </c>
      <c r="G231" s="52" t="s">
        <v>407</v>
      </c>
      <c r="H231" s="53"/>
      <c r="I231" s="54" t="s">
        <v>181</v>
      </c>
      <c r="J231" s="54">
        <v>3.0</v>
      </c>
      <c r="K231" s="54" t="s">
        <v>77</v>
      </c>
      <c r="L231" s="54" t="s">
        <v>115</v>
      </c>
      <c r="M231" s="52" t="s">
        <v>73</v>
      </c>
      <c r="N231" s="55" t="s">
        <v>80</v>
      </c>
    </row>
    <row r="232">
      <c r="A232" s="48">
        <v>789.0</v>
      </c>
      <c r="B232" s="49">
        <v>45367.0</v>
      </c>
      <c r="C232" s="50">
        <v>30.3054775956</v>
      </c>
      <c r="D232" s="51">
        <v>265.6080996846111</v>
      </c>
      <c r="E232" s="52" t="s">
        <v>49</v>
      </c>
      <c r="F232" s="52" t="s">
        <v>140</v>
      </c>
      <c r="G232" s="52" t="s">
        <v>408</v>
      </c>
      <c r="H232" s="53"/>
      <c r="I232" s="54" t="s">
        <v>181</v>
      </c>
      <c r="J232" s="54">
        <v>3.0</v>
      </c>
      <c r="K232" s="54" t="s">
        <v>77</v>
      </c>
      <c r="L232" s="54" t="s">
        <v>115</v>
      </c>
      <c r="M232" s="52" t="s">
        <v>73</v>
      </c>
      <c r="N232" s="55" t="s">
        <v>80</v>
      </c>
    </row>
    <row r="233">
      <c r="A233" s="48">
        <v>790.0</v>
      </c>
      <c r="B233" s="49">
        <v>45367.0</v>
      </c>
      <c r="C233" s="50">
        <v>30.4387594988</v>
      </c>
      <c r="D233" s="51">
        <v>266.776230195659</v>
      </c>
      <c r="E233" s="52" t="s">
        <v>49</v>
      </c>
      <c r="F233" s="52" t="s">
        <v>140</v>
      </c>
      <c r="G233" s="52" t="s">
        <v>409</v>
      </c>
      <c r="H233" s="53"/>
      <c r="I233" s="54" t="s">
        <v>181</v>
      </c>
      <c r="J233" s="54">
        <v>3.0</v>
      </c>
      <c r="K233" s="54" t="s">
        <v>77</v>
      </c>
      <c r="L233" s="54" t="s">
        <v>115</v>
      </c>
      <c r="M233" s="52" t="s">
        <v>73</v>
      </c>
      <c r="N233" s="55" t="s">
        <v>80</v>
      </c>
    </row>
    <row r="234">
      <c r="A234" s="48">
        <v>791.0</v>
      </c>
      <c r="B234" s="49">
        <v>45367.0</v>
      </c>
      <c r="C234" s="50">
        <v>44.5289212437</v>
      </c>
      <c r="D234" s="51">
        <v>390.26747277733193</v>
      </c>
      <c r="E234" s="52" t="s">
        <v>49</v>
      </c>
      <c r="F234" s="52" t="s">
        <v>140</v>
      </c>
      <c r="G234" s="52" t="s">
        <v>410</v>
      </c>
      <c r="H234" s="53"/>
      <c r="I234" s="54" t="s">
        <v>181</v>
      </c>
      <c r="J234" s="54">
        <v>3.0</v>
      </c>
      <c r="K234" s="54" t="s">
        <v>77</v>
      </c>
      <c r="L234" s="54" t="s">
        <v>115</v>
      </c>
      <c r="M234" s="52" t="s">
        <v>73</v>
      </c>
      <c r="N234" s="55" t="s">
        <v>80</v>
      </c>
    </row>
    <row r="235">
      <c r="A235" s="48">
        <v>792.0</v>
      </c>
      <c r="B235" s="49">
        <v>45367.0</v>
      </c>
      <c r="C235" s="50">
        <v>44.5022625401</v>
      </c>
      <c r="D235" s="51">
        <v>390.0338263158659</v>
      </c>
      <c r="E235" s="52" t="s">
        <v>49</v>
      </c>
      <c r="F235" s="52" t="s">
        <v>140</v>
      </c>
      <c r="G235" s="52" t="s">
        <v>411</v>
      </c>
      <c r="H235" s="53"/>
      <c r="I235" s="54" t="s">
        <v>181</v>
      </c>
      <c r="J235" s="54">
        <v>3.0</v>
      </c>
      <c r="K235" s="54" t="s">
        <v>77</v>
      </c>
      <c r="L235" s="54" t="s">
        <v>115</v>
      </c>
      <c r="M235" s="52" t="s">
        <v>73</v>
      </c>
      <c r="N235" s="55" t="s">
        <v>80</v>
      </c>
    </row>
    <row r="236">
      <c r="A236" s="48">
        <v>793.0</v>
      </c>
      <c r="B236" s="49">
        <v>45367.0</v>
      </c>
      <c r="C236" s="50">
        <v>44.549655791</v>
      </c>
      <c r="D236" s="51">
        <v>390.4491978034036</v>
      </c>
      <c r="E236" s="52" t="s">
        <v>49</v>
      </c>
      <c r="F236" s="52" t="s">
        <v>140</v>
      </c>
      <c r="G236" s="52" t="s">
        <v>412</v>
      </c>
      <c r="H236" s="53"/>
      <c r="I236" s="54" t="s">
        <v>181</v>
      </c>
      <c r="J236" s="54">
        <v>3.0</v>
      </c>
      <c r="K236" s="54" t="s">
        <v>77</v>
      </c>
      <c r="L236" s="54" t="s">
        <v>115</v>
      </c>
      <c r="M236" s="52" t="s">
        <v>73</v>
      </c>
      <c r="N236" s="55" t="s">
        <v>80</v>
      </c>
    </row>
    <row r="237">
      <c r="A237" s="48">
        <v>794.0</v>
      </c>
      <c r="B237" s="49">
        <v>45367.0</v>
      </c>
      <c r="C237" s="50">
        <v>44.5881628073</v>
      </c>
      <c r="D237" s="51">
        <v>390.786687136535</v>
      </c>
      <c r="E237" s="52" t="s">
        <v>49</v>
      </c>
      <c r="F237" s="52" t="s">
        <v>140</v>
      </c>
      <c r="G237" s="52" t="s">
        <v>413</v>
      </c>
      <c r="H237" s="53"/>
      <c r="I237" s="54" t="s">
        <v>181</v>
      </c>
      <c r="J237" s="54">
        <v>3.0</v>
      </c>
      <c r="K237" s="54" t="s">
        <v>77</v>
      </c>
      <c r="L237" s="54" t="s">
        <v>115</v>
      </c>
      <c r="M237" s="52" t="s">
        <v>73</v>
      </c>
      <c r="N237" s="55" t="s">
        <v>80</v>
      </c>
    </row>
    <row r="238">
      <c r="A238" s="48">
        <v>795.0</v>
      </c>
      <c r="B238" s="49">
        <v>45367.0</v>
      </c>
      <c r="C238" s="50">
        <v>44.5259591656</v>
      </c>
      <c r="D238" s="51">
        <v>390.241512060073</v>
      </c>
      <c r="E238" s="52" t="s">
        <v>49</v>
      </c>
      <c r="F238" s="52" t="s">
        <v>140</v>
      </c>
      <c r="G238" s="52" t="s">
        <v>414</v>
      </c>
      <c r="H238" s="53"/>
      <c r="I238" s="54" t="s">
        <v>181</v>
      </c>
      <c r="J238" s="54">
        <v>3.0</v>
      </c>
      <c r="K238" s="54" t="s">
        <v>77</v>
      </c>
      <c r="L238" s="54" t="s">
        <v>115</v>
      </c>
      <c r="M238" s="52" t="s">
        <v>73</v>
      </c>
      <c r="N238" s="55" t="s">
        <v>80</v>
      </c>
    </row>
    <row r="239">
      <c r="A239" s="48">
        <v>796.0</v>
      </c>
      <c r="B239" s="49">
        <v>45367.0</v>
      </c>
      <c r="C239" s="50">
        <v>44.6148215109</v>
      </c>
      <c r="D239" s="51">
        <v>391.02033359800106</v>
      </c>
      <c r="E239" s="52" t="s">
        <v>49</v>
      </c>
      <c r="F239" s="52" t="s">
        <v>140</v>
      </c>
      <c r="G239" s="52" t="s">
        <v>415</v>
      </c>
      <c r="H239" s="53"/>
      <c r="I239" s="54" t="s">
        <v>181</v>
      </c>
      <c r="J239" s="54">
        <v>3.0</v>
      </c>
      <c r="K239" s="54" t="s">
        <v>77</v>
      </c>
      <c r="L239" s="54" t="s">
        <v>115</v>
      </c>
      <c r="M239" s="52" t="s">
        <v>73</v>
      </c>
      <c r="N239" s="55" t="s">
        <v>80</v>
      </c>
    </row>
    <row r="240">
      <c r="A240" s="48">
        <v>797.0</v>
      </c>
      <c r="B240" s="49">
        <v>45367.0</v>
      </c>
      <c r="C240" s="50">
        <v>7.7862511851</v>
      </c>
      <c r="D240" s="51">
        <v>68.24150434249302</v>
      </c>
      <c r="E240" s="52" t="s">
        <v>49</v>
      </c>
      <c r="F240" s="52" t="s">
        <v>140</v>
      </c>
      <c r="G240" s="52" t="s">
        <v>416</v>
      </c>
      <c r="H240" s="53"/>
      <c r="I240" s="54" t="s">
        <v>181</v>
      </c>
      <c r="J240" s="54">
        <v>3.0</v>
      </c>
      <c r="K240" s="54" t="s">
        <v>77</v>
      </c>
      <c r="L240" s="54" t="s">
        <v>115</v>
      </c>
      <c r="M240" s="52" t="s">
        <v>73</v>
      </c>
      <c r="N240" s="55" t="s">
        <v>80</v>
      </c>
    </row>
    <row r="241">
      <c r="A241" s="48">
        <v>798.0</v>
      </c>
      <c r="B241" s="49">
        <v>45367.0</v>
      </c>
      <c r="C241" s="50">
        <v>7.7862511851</v>
      </c>
      <c r="D241" s="51">
        <v>68.24150434249302</v>
      </c>
      <c r="E241" s="52" t="s">
        <v>49</v>
      </c>
      <c r="F241" s="52" t="s">
        <v>140</v>
      </c>
      <c r="G241" s="52" t="s">
        <v>417</v>
      </c>
      <c r="H241" s="53"/>
      <c r="I241" s="54" t="s">
        <v>181</v>
      </c>
      <c r="J241" s="54">
        <v>3.0</v>
      </c>
      <c r="K241" s="54" t="s">
        <v>77</v>
      </c>
      <c r="L241" s="54" t="s">
        <v>115</v>
      </c>
      <c r="M241" s="52" t="s">
        <v>73</v>
      </c>
      <c r="N241" s="55" t="s">
        <v>80</v>
      </c>
    </row>
    <row r="242">
      <c r="A242" s="48">
        <v>799.0</v>
      </c>
      <c r="B242" s="49">
        <v>45367.0</v>
      </c>
      <c r="C242" s="50">
        <v>7.7862511851</v>
      </c>
      <c r="D242" s="51">
        <v>68.24150434249302</v>
      </c>
      <c r="E242" s="52" t="s">
        <v>49</v>
      </c>
      <c r="F242" s="52" t="s">
        <v>140</v>
      </c>
      <c r="G242" s="52" t="s">
        <v>418</v>
      </c>
      <c r="H242" s="53"/>
      <c r="I242" s="54" t="s">
        <v>181</v>
      </c>
      <c r="J242" s="54">
        <v>3.0</v>
      </c>
      <c r="K242" s="54" t="s">
        <v>77</v>
      </c>
      <c r="L242" s="54" t="s">
        <v>115</v>
      </c>
      <c r="M242" s="52" t="s">
        <v>73</v>
      </c>
      <c r="N242" s="55" t="s">
        <v>80</v>
      </c>
    </row>
    <row r="243">
      <c r="A243" s="48">
        <v>800.0</v>
      </c>
      <c r="B243" s="49">
        <v>45367.0</v>
      </c>
      <c r="C243" s="50">
        <v>1.6234005066</v>
      </c>
      <c r="D243" s="51">
        <v>14.228065610411777</v>
      </c>
      <c r="E243" s="52" t="s">
        <v>49</v>
      </c>
      <c r="F243" s="52" t="s">
        <v>140</v>
      </c>
      <c r="G243" s="52" t="s">
        <v>419</v>
      </c>
      <c r="H243" s="53"/>
      <c r="I243" s="54" t="s">
        <v>181</v>
      </c>
      <c r="J243" s="54">
        <v>3.0</v>
      </c>
      <c r="K243" s="54" t="s">
        <v>77</v>
      </c>
      <c r="L243" s="54" t="s">
        <v>115</v>
      </c>
      <c r="M243" s="52" t="s">
        <v>73</v>
      </c>
      <c r="N243" s="55" t="s">
        <v>80</v>
      </c>
    </row>
    <row r="244">
      <c r="A244" s="48">
        <v>801.0</v>
      </c>
      <c r="B244" s="49">
        <v>45367.0</v>
      </c>
      <c r="C244" s="50">
        <v>2.5365632916</v>
      </c>
      <c r="D244" s="51">
        <v>22.231352516597063</v>
      </c>
      <c r="E244" s="52" t="s">
        <v>49</v>
      </c>
      <c r="F244" s="52" t="s">
        <v>140</v>
      </c>
      <c r="G244" s="52" t="s">
        <v>296</v>
      </c>
      <c r="H244" s="53"/>
      <c r="I244" s="54" t="s">
        <v>181</v>
      </c>
      <c r="J244" s="54">
        <v>3.0</v>
      </c>
      <c r="K244" s="54" t="s">
        <v>77</v>
      </c>
      <c r="L244" s="54" t="s">
        <v>115</v>
      </c>
      <c r="M244" s="52" t="s">
        <v>73</v>
      </c>
      <c r="N244" s="55" t="s">
        <v>80</v>
      </c>
    </row>
    <row r="245">
      <c r="A245" s="48">
        <v>802.0</v>
      </c>
      <c r="B245" s="49">
        <v>45367.0</v>
      </c>
      <c r="C245" s="50">
        <v>1.6234005066</v>
      </c>
      <c r="D245" s="51">
        <v>14.228065610411777</v>
      </c>
      <c r="E245" s="52" t="s">
        <v>49</v>
      </c>
      <c r="F245" s="52" t="s">
        <v>140</v>
      </c>
      <c r="G245" s="52" t="s">
        <v>420</v>
      </c>
      <c r="H245" s="53"/>
      <c r="I245" s="54" t="s">
        <v>181</v>
      </c>
      <c r="J245" s="54">
        <v>3.0</v>
      </c>
      <c r="K245" s="54" t="s">
        <v>77</v>
      </c>
      <c r="L245" s="54" t="s">
        <v>115</v>
      </c>
      <c r="M245" s="52" t="s">
        <v>73</v>
      </c>
      <c r="N245" s="55" t="s">
        <v>80</v>
      </c>
    </row>
    <row r="246">
      <c r="A246" s="48">
        <v>803.0</v>
      </c>
      <c r="B246" s="49">
        <v>45367.0</v>
      </c>
      <c r="C246" s="50">
        <v>44.5762861851</v>
      </c>
      <c r="D246" s="51">
        <v>390.68259615023516</v>
      </c>
      <c r="E246" s="52" t="s">
        <v>49</v>
      </c>
      <c r="F246" s="52" t="s">
        <v>140</v>
      </c>
      <c r="G246" s="52" t="s">
        <v>421</v>
      </c>
      <c r="H246" s="53"/>
      <c r="I246" s="54" t="s">
        <v>181</v>
      </c>
      <c r="J246" s="54">
        <v>3.0</v>
      </c>
      <c r="K246" s="54" t="s">
        <v>77</v>
      </c>
      <c r="L246" s="54" t="s">
        <v>115</v>
      </c>
      <c r="M246" s="52" t="s">
        <v>73</v>
      </c>
      <c r="N246" s="55" t="s">
        <v>80</v>
      </c>
    </row>
    <row r="247">
      <c r="A247" s="48">
        <v>804.0</v>
      </c>
      <c r="B247" s="49">
        <v>45367.0</v>
      </c>
      <c r="C247" s="50">
        <v>30.345829059</v>
      </c>
      <c r="D247" s="51">
        <v>265.961754415158</v>
      </c>
      <c r="E247" s="52" t="s">
        <v>49</v>
      </c>
      <c r="F247" s="52" t="s">
        <v>140</v>
      </c>
      <c r="G247" s="52" t="s">
        <v>422</v>
      </c>
      <c r="H247" s="53"/>
      <c r="I247" s="54" t="s">
        <v>181</v>
      </c>
      <c r="J247" s="54">
        <v>3.0</v>
      </c>
      <c r="K247" s="54" t="s">
        <v>77</v>
      </c>
      <c r="L247" s="54" t="s">
        <v>115</v>
      </c>
      <c r="M247" s="52" t="s">
        <v>73</v>
      </c>
      <c r="N247" s="55" t="s">
        <v>80</v>
      </c>
    </row>
    <row r="248">
      <c r="A248" s="48">
        <v>805.0</v>
      </c>
      <c r="B248" s="49">
        <v>45367.0</v>
      </c>
      <c r="C248" s="50">
        <v>30.4064358675</v>
      </c>
      <c r="D248" s="51">
        <v>266.49293427143493</v>
      </c>
      <c r="E248" s="52" t="s">
        <v>49</v>
      </c>
      <c r="F248" s="52" t="s">
        <v>140</v>
      </c>
      <c r="G248" s="52" t="s">
        <v>423</v>
      </c>
      <c r="H248" s="53"/>
      <c r="I248" s="54" t="s">
        <v>181</v>
      </c>
      <c r="J248" s="54">
        <v>3.0</v>
      </c>
      <c r="K248" s="54" t="s">
        <v>77</v>
      </c>
      <c r="L248" s="54" t="s">
        <v>115</v>
      </c>
      <c r="M248" s="52" t="s">
        <v>73</v>
      </c>
      <c r="N248" s="55" t="s">
        <v>80</v>
      </c>
    </row>
    <row r="249">
      <c r="A249" s="48">
        <v>806.0</v>
      </c>
      <c r="B249" s="49">
        <v>45367.0</v>
      </c>
      <c r="C249" s="50">
        <v>30.4084560945</v>
      </c>
      <c r="D249" s="51">
        <v>266.51064026708235</v>
      </c>
      <c r="E249" s="52" t="s">
        <v>49</v>
      </c>
      <c r="F249" s="52" t="s">
        <v>140</v>
      </c>
      <c r="G249" s="52" t="s">
        <v>424</v>
      </c>
      <c r="H249" s="53"/>
      <c r="I249" s="54" t="s">
        <v>181</v>
      </c>
      <c r="J249" s="54">
        <v>3.0</v>
      </c>
      <c r="K249" s="54" t="s">
        <v>77</v>
      </c>
      <c r="L249" s="54" t="s">
        <v>115</v>
      </c>
      <c r="M249" s="52" t="s">
        <v>73</v>
      </c>
      <c r="N249" s="55" t="s">
        <v>80</v>
      </c>
    </row>
    <row r="250">
      <c r="A250" s="48">
        <v>807.0</v>
      </c>
      <c r="B250" s="49">
        <v>45367.0</v>
      </c>
      <c r="C250" s="50">
        <v>30.3943145058</v>
      </c>
      <c r="D250" s="51">
        <v>266.38669830017955</v>
      </c>
      <c r="E250" s="52" t="s">
        <v>49</v>
      </c>
      <c r="F250" s="52" t="s">
        <v>140</v>
      </c>
      <c r="G250" s="52" t="s">
        <v>425</v>
      </c>
      <c r="H250" s="53"/>
      <c r="I250" s="54" t="s">
        <v>181</v>
      </c>
      <c r="J250" s="54">
        <v>3.0</v>
      </c>
      <c r="K250" s="54" t="s">
        <v>77</v>
      </c>
      <c r="L250" s="54" t="s">
        <v>115</v>
      </c>
      <c r="M250" s="52" t="s">
        <v>73</v>
      </c>
      <c r="N250" s="55" t="s">
        <v>80</v>
      </c>
    </row>
    <row r="251">
      <c r="A251" s="48">
        <v>808.0</v>
      </c>
      <c r="B251" s="49">
        <v>45367.0</v>
      </c>
      <c r="C251" s="50">
        <v>30.4185572293</v>
      </c>
      <c r="D251" s="51">
        <v>266.59917024356673</v>
      </c>
      <c r="E251" s="52" t="s">
        <v>49</v>
      </c>
      <c r="F251" s="52" t="s">
        <v>140</v>
      </c>
      <c r="G251" s="52" t="s">
        <v>426</v>
      </c>
      <c r="H251" s="53"/>
      <c r="I251" s="54" t="s">
        <v>181</v>
      </c>
      <c r="J251" s="54">
        <v>3.0</v>
      </c>
      <c r="K251" s="54" t="s">
        <v>77</v>
      </c>
      <c r="L251" s="54" t="s">
        <v>115</v>
      </c>
      <c r="M251" s="52" t="s">
        <v>73</v>
      </c>
      <c r="N251" s="55" t="s">
        <v>80</v>
      </c>
    </row>
    <row r="252">
      <c r="A252" s="48">
        <v>809.0</v>
      </c>
      <c r="B252" s="49">
        <v>45367.0</v>
      </c>
      <c r="C252" s="50">
        <v>44.4133070094</v>
      </c>
      <c r="D252" s="51">
        <v>389.25418806759444</v>
      </c>
      <c r="E252" s="52" t="s">
        <v>49</v>
      </c>
      <c r="F252" s="52" t="s">
        <v>140</v>
      </c>
      <c r="G252" s="52" t="s">
        <v>427</v>
      </c>
      <c r="H252" s="53"/>
      <c r="I252" s="54" t="s">
        <v>181</v>
      </c>
      <c r="J252" s="54">
        <v>3.0</v>
      </c>
      <c r="K252" s="54" t="s">
        <v>77</v>
      </c>
      <c r="L252" s="54" t="s">
        <v>115</v>
      </c>
      <c r="M252" s="52" t="s">
        <v>73</v>
      </c>
      <c r="N252" s="55" t="s">
        <v>80</v>
      </c>
    </row>
    <row r="253">
      <c r="A253" s="48">
        <v>810.0</v>
      </c>
      <c r="B253" s="49">
        <v>45367.0</v>
      </c>
      <c r="C253" s="50">
        <v>43.9777081216</v>
      </c>
      <c r="D253" s="51">
        <v>385.43644282836135</v>
      </c>
      <c r="E253" s="52" t="s">
        <v>49</v>
      </c>
      <c r="F253" s="52" t="s">
        <v>140</v>
      </c>
      <c r="G253" s="52" t="s">
        <v>428</v>
      </c>
      <c r="H253" s="53"/>
      <c r="I253" s="54" t="s">
        <v>181</v>
      </c>
      <c r="J253" s="54">
        <v>3.0</v>
      </c>
      <c r="K253" s="54" t="s">
        <v>77</v>
      </c>
      <c r="L253" s="54" t="s">
        <v>115</v>
      </c>
      <c r="M253" s="52" t="s">
        <v>73</v>
      </c>
      <c r="N253" s="55" t="s">
        <v>80</v>
      </c>
    </row>
    <row r="254">
      <c r="A254" s="48">
        <v>811.0</v>
      </c>
      <c r="B254" s="49">
        <v>45367.0</v>
      </c>
      <c r="C254" s="50">
        <v>44.2947766998</v>
      </c>
      <c r="D254" s="51">
        <v>388.215345825674</v>
      </c>
      <c r="E254" s="52" t="s">
        <v>49</v>
      </c>
      <c r="F254" s="52" t="s">
        <v>140</v>
      </c>
      <c r="G254" s="52" t="s">
        <v>429</v>
      </c>
      <c r="H254" s="53"/>
      <c r="I254" s="54" t="s">
        <v>181</v>
      </c>
      <c r="J254" s="54">
        <v>3.0</v>
      </c>
      <c r="K254" s="54" t="s">
        <v>77</v>
      </c>
      <c r="L254" s="54" t="s">
        <v>115</v>
      </c>
      <c r="M254" s="52" t="s">
        <v>73</v>
      </c>
      <c r="N254" s="55" t="s">
        <v>80</v>
      </c>
    </row>
    <row r="255">
      <c r="A255" s="48">
        <v>812.0</v>
      </c>
      <c r="B255" s="49">
        <v>45367.0</v>
      </c>
      <c r="C255" s="50">
        <v>44.6474043708</v>
      </c>
      <c r="D255" s="51">
        <v>391.30590149486153</v>
      </c>
      <c r="E255" s="52" t="s">
        <v>49</v>
      </c>
      <c r="F255" s="52" t="s">
        <v>140</v>
      </c>
      <c r="G255" s="52" t="s">
        <v>430</v>
      </c>
      <c r="H255" s="53"/>
      <c r="I255" s="54" t="s">
        <v>181</v>
      </c>
      <c r="J255" s="54">
        <v>3.0</v>
      </c>
      <c r="K255" s="54" t="s">
        <v>77</v>
      </c>
      <c r="L255" s="54" t="s">
        <v>115</v>
      </c>
      <c r="M255" s="52" t="s">
        <v>73</v>
      </c>
      <c r="N255" s="55" t="s">
        <v>80</v>
      </c>
    </row>
    <row r="256">
      <c r="A256" s="48">
        <v>813.0</v>
      </c>
      <c r="B256" s="49">
        <v>45367.0</v>
      </c>
      <c r="C256" s="50">
        <v>44.5436903499</v>
      </c>
      <c r="D256" s="51">
        <v>390.39691453318113</v>
      </c>
      <c r="E256" s="52" t="s">
        <v>49</v>
      </c>
      <c r="F256" s="52" t="s">
        <v>140</v>
      </c>
      <c r="G256" s="52" t="s">
        <v>431</v>
      </c>
      <c r="H256" s="53"/>
      <c r="I256" s="54" t="s">
        <v>181</v>
      </c>
      <c r="J256" s="54">
        <v>3.0</v>
      </c>
      <c r="K256" s="54" t="s">
        <v>77</v>
      </c>
      <c r="L256" s="54" t="s">
        <v>115</v>
      </c>
      <c r="M256" s="52" t="s">
        <v>73</v>
      </c>
      <c r="N256" s="55" t="s">
        <v>80</v>
      </c>
    </row>
    <row r="257">
      <c r="A257" s="48">
        <v>814.0</v>
      </c>
      <c r="B257" s="49">
        <v>45367.0</v>
      </c>
      <c r="C257" s="50">
        <v>44.599992247</v>
      </c>
      <c r="D257" s="51">
        <v>390.89036459844397</v>
      </c>
      <c r="E257" s="52" t="s">
        <v>49</v>
      </c>
      <c r="F257" s="52" t="s">
        <v>140</v>
      </c>
      <c r="G257" s="52" t="s">
        <v>432</v>
      </c>
      <c r="H257" s="53"/>
      <c r="I257" s="54" t="s">
        <v>181</v>
      </c>
      <c r="J257" s="54">
        <v>3.0</v>
      </c>
      <c r="K257" s="54" t="s">
        <v>77</v>
      </c>
      <c r="L257" s="54" t="s">
        <v>115</v>
      </c>
      <c r="M257" s="52" t="s">
        <v>73</v>
      </c>
      <c r="N257" s="55" t="s">
        <v>80</v>
      </c>
    </row>
    <row r="258">
      <c r="A258" s="48">
        <v>815.0</v>
      </c>
      <c r="B258" s="49">
        <v>45367.0</v>
      </c>
      <c r="C258" s="50">
        <v>7.786445359</v>
      </c>
      <c r="D258" s="51">
        <v>68.24320615235312</v>
      </c>
      <c r="E258" s="52" t="s">
        <v>49</v>
      </c>
      <c r="F258" s="52" t="s">
        <v>140</v>
      </c>
      <c r="G258" s="52" t="s">
        <v>433</v>
      </c>
      <c r="H258" s="53"/>
      <c r="I258" s="54" t="s">
        <v>181</v>
      </c>
      <c r="J258" s="54">
        <v>3.0</v>
      </c>
      <c r="K258" s="54" t="s">
        <v>77</v>
      </c>
      <c r="L258" s="54" t="s">
        <v>115</v>
      </c>
      <c r="M258" s="52" t="s">
        <v>73</v>
      </c>
      <c r="N258" s="55" t="s">
        <v>80</v>
      </c>
    </row>
    <row r="259">
      <c r="A259" s="48">
        <v>816.0</v>
      </c>
      <c r="B259" s="49">
        <v>45367.0</v>
      </c>
      <c r="C259" s="50">
        <v>7.786445359</v>
      </c>
      <c r="D259" s="51">
        <v>68.24320615235312</v>
      </c>
      <c r="E259" s="52" t="s">
        <v>49</v>
      </c>
      <c r="F259" s="52" t="s">
        <v>140</v>
      </c>
      <c r="G259" s="52" t="s">
        <v>434</v>
      </c>
      <c r="H259" s="53"/>
      <c r="I259" s="54" t="s">
        <v>181</v>
      </c>
      <c r="J259" s="54">
        <v>3.0</v>
      </c>
      <c r="K259" s="54" t="s">
        <v>77</v>
      </c>
      <c r="L259" s="54" t="s">
        <v>115</v>
      </c>
      <c r="M259" s="52" t="s">
        <v>73</v>
      </c>
      <c r="N259" s="55" t="s">
        <v>80</v>
      </c>
    </row>
    <row r="260">
      <c r="A260" s="48">
        <v>817.0</v>
      </c>
      <c r="B260" s="49">
        <v>45367.0</v>
      </c>
      <c r="C260" s="50">
        <v>7.786445359</v>
      </c>
      <c r="D260" s="51">
        <v>68.24320615235312</v>
      </c>
      <c r="E260" s="52" t="s">
        <v>49</v>
      </c>
      <c r="F260" s="52" t="s">
        <v>140</v>
      </c>
      <c r="G260" s="52" t="s">
        <v>435</v>
      </c>
      <c r="H260" s="53"/>
      <c r="I260" s="54" t="s">
        <v>181</v>
      </c>
      <c r="J260" s="54">
        <v>3.0</v>
      </c>
      <c r="K260" s="54" t="s">
        <v>77</v>
      </c>
      <c r="L260" s="54" t="s">
        <v>115</v>
      </c>
      <c r="M260" s="52" t="s">
        <v>73</v>
      </c>
      <c r="N260" s="55" t="s">
        <v>80</v>
      </c>
    </row>
    <row r="261">
      <c r="A261" s="48">
        <v>818.0</v>
      </c>
      <c r="B261" s="49">
        <v>45367.0</v>
      </c>
      <c r="C261" s="50">
        <v>2.5365632916</v>
      </c>
      <c r="D261" s="51">
        <v>22.231352516597063</v>
      </c>
      <c r="E261" s="52" t="s">
        <v>49</v>
      </c>
      <c r="F261" s="52" t="s">
        <v>140</v>
      </c>
      <c r="G261" s="52" t="s">
        <v>296</v>
      </c>
      <c r="H261" s="53"/>
      <c r="I261" s="54" t="s">
        <v>181</v>
      </c>
      <c r="J261" s="54">
        <v>3.0</v>
      </c>
      <c r="K261" s="54" t="s">
        <v>77</v>
      </c>
      <c r="L261" s="54" t="s">
        <v>115</v>
      </c>
      <c r="M261" s="52" t="s">
        <v>73</v>
      </c>
      <c r="N261" s="55" t="s">
        <v>80</v>
      </c>
    </row>
    <row r="262">
      <c r="A262" s="48">
        <v>819.0</v>
      </c>
      <c r="B262" s="49">
        <v>45367.0</v>
      </c>
      <c r="C262" s="50">
        <v>1.6234005066</v>
      </c>
      <c r="D262" s="51">
        <v>14.228065610411777</v>
      </c>
      <c r="E262" s="52" t="s">
        <v>49</v>
      </c>
      <c r="F262" s="52" t="s">
        <v>140</v>
      </c>
      <c r="G262" s="52" t="s">
        <v>420</v>
      </c>
      <c r="H262" s="53"/>
      <c r="I262" s="54" t="s">
        <v>181</v>
      </c>
      <c r="J262" s="54">
        <v>3.0</v>
      </c>
      <c r="K262" s="54" t="s">
        <v>77</v>
      </c>
      <c r="L262" s="54" t="s">
        <v>115</v>
      </c>
      <c r="M262" s="52" t="s">
        <v>73</v>
      </c>
      <c r="N262" s="55" t="s">
        <v>80</v>
      </c>
    </row>
    <row r="263">
      <c r="A263" s="48">
        <v>820.0</v>
      </c>
      <c r="B263" s="49">
        <v>45367.0</v>
      </c>
      <c r="C263" s="50">
        <v>44.478465042</v>
      </c>
      <c r="D263" s="51">
        <v>389.82525648793137</v>
      </c>
      <c r="E263" s="52" t="s">
        <v>49</v>
      </c>
      <c r="F263" s="52" t="s">
        <v>140</v>
      </c>
      <c r="G263" s="52" t="s">
        <v>436</v>
      </c>
      <c r="H263" s="53"/>
      <c r="I263" s="54" t="s">
        <v>181</v>
      </c>
      <c r="J263" s="54">
        <v>3.0</v>
      </c>
      <c r="K263" s="54" t="s">
        <v>77</v>
      </c>
      <c r="L263" s="54" t="s">
        <v>115</v>
      </c>
      <c r="M263" s="52" t="s">
        <v>73</v>
      </c>
      <c r="N263" s="55" t="s">
        <v>80</v>
      </c>
    </row>
    <row r="264">
      <c r="A264" s="48">
        <v>821.0</v>
      </c>
      <c r="B264" s="49">
        <v>45367.0</v>
      </c>
      <c r="C264" s="50">
        <v>30.3639962154</v>
      </c>
      <c r="D264" s="51">
        <v>266.1209779044713</v>
      </c>
      <c r="E264" s="52" t="s">
        <v>49</v>
      </c>
      <c r="F264" s="52" t="s">
        <v>140</v>
      </c>
      <c r="G264" s="52" t="s">
        <v>437</v>
      </c>
      <c r="H264" s="53"/>
      <c r="I264" s="54" t="s">
        <v>181</v>
      </c>
      <c r="J264" s="54">
        <v>3.0</v>
      </c>
      <c r="K264" s="54" t="s">
        <v>77</v>
      </c>
      <c r="L264" s="54" t="s">
        <v>115</v>
      </c>
      <c r="M264" s="52" t="s">
        <v>73</v>
      </c>
      <c r="N264" s="55" t="s">
        <v>80</v>
      </c>
    </row>
    <row r="265">
      <c r="A265" s="48">
        <v>822.0</v>
      </c>
      <c r="B265" s="49">
        <v>45367.0</v>
      </c>
      <c r="C265" s="50">
        <v>30.4387594988</v>
      </c>
      <c r="D265" s="51">
        <v>266.776230195659</v>
      </c>
      <c r="E265" s="52" t="s">
        <v>49</v>
      </c>
      <c r="F265" s="52" t="s">
        <v>140</v>
      </c>
      <c r="G265" s="52" t="s">
        <v>438</v>
      </c>
      <c r="H265" s="53"/>
      <c r="I265" s="54" t="s">
        <v>181</v>
      </c>
      <c r="J265" s="54">
        <v>3.0</v>
      </c>
      <c r="K265" s="54" t="s">
        <v>77</v>
      </c>
      <c r="L265" s="54" t="s">
        <v>115</v>
      </c>
      <c r="M265" s="52" t="s">
        <v>73</v>
      </c>
      <c r="N265" s="55" t="s">
        <v>80</v>
      </c>
    </row>
    <row r="266">
      <c r="A266" s="48">
        <v>823.0</v>
      </c>
      <c r="B266" s="49">
        <v>45367.0</v>
      </c>
      <c r="C266" s="50">
        <v>30.432697611</v>
      </c>
      <c r="D266" s="51">
        <v>266.7231016318877</v>
      </c>
      <c r="E266" s="52" t="s">
        <v>49</v>
      </c>
      <c r="F266" s="52" t="s">
        <v>140</v>
      </c>
      <c r="G266" s="52" t="s">
        <v>439</v>
      </c>
      <c r="H266" s="53"/>
      <c r="I266" s="54" t="s">
        <v>181</v>
      </c>
      <c r="J266" s="54">
        <v>3.0</v>
      </c>
      <c r="K266" s="54" t="s">
        <v>77</v>
      </c>
      <c r="L266" s="54" t="s">
        <v>115</v>
      </c>
      <c r="M266" s="52" t="s">
        <v>73</v>
      </c>
      <c r="N266" s="55" t="s">
        <v>80</v>
      </c>
    </row>
    <row r="267">
      <c r="A267" s="48">
        <v>824.0</v>
      </c>
      <c r="B267" s="49">
        <v>45367.0</v>
      </c>
      <c r="C267" s="50">
        <v>30.4246150938</v>
      </c>
      <c r="D267" s="51">
        <v>266.65226354569063</v>
      </c>
      <c r="E267" s="52" t="s">
        <v>49</v>
      </c>
      <c r="F267" s="52" t="s">
        <v>140</v>
      </c>
      <c r="G267" s="52" t="s">
        <v>440</v>
      </c>
      <c r="H267" s="53"/>
      <c r="I267" s="54" t="s">
        <v>181</v>
      </c>
      <c r="J267" s="54">
        <v>3.0</v>
      </c>
      <c r="K267" s="54" t="s">
        <v>77</v>
      </c>
      <c r="L267" s="54" t="s">
        <v>115</v>
      </c>
      <c r="M267" s="52" t="s">
        <v>73</v>
      </c>
      <c r="N267" s="55" t="s">
        <v>80</v>
      </c>
    </row>
    <row r="268">
      <c r="A268" s="48">
        <v>825.0</v>
      </c>
      <c r="B268" s="49">
        <v>45367.0</v>
      </c>
      <c r="C268" s="50">
        <v>30.3983469132</v>
      </c>
      <c r="D268" s="51">
        <v>266.4220397681795</v>
      </c>
      <c r="E268" s="52" t="s">
        <v>49</v>
      </c>
      <c r="F268" s="52" t="s">
        <v>140</v>
      </c>
      <c r="G268" s="52" t="s">
        <v>441</v>
      </c>
      <c r="H268" s="53"/>
      <c r="I268" s="54" t="s">
        <v>181</v>
      </c>
      <c r="J268" s="54">
        <v>3.0</v>
      </c>
      <c r="K268" s="54" t="s">
        <v>77</v>
      </c>
      <c r="L268" s="54" t="s">
        <v>115</v>
      </c>
      <c r="M268" s="52" t="s">
        <v>73</v>
      </c>
      <c r="N268" s="55" t="s">
        <v>80</v>
      </c>
    </row>
    <row r="269">
      <c r="A269" s="48">
        <v>826.0</v>
      </c>
      <c r="B269" s="49">
        <v>45367.0</v>
      </c>
      <c r="C269" s="50">
        <v>44.3747303665</v>
      </c>
      <c r="D269" s="51">
        <v>388.9160885019117</v>
      </c>
      <c r="E269" s="52" t="s">
        <v>49</v>
      </c>
      <c r="F269" s="52" t="s">
        <v>140</v>
      </c>
      <c r="G269" s="52" t="s">
        <v>442</v>
      </c>
      <c r="H269" s="53"/>
      <c r="I269" s="54" t="s">
        <v>181</v>
      </c>
      <c r="J269" s="54">
        <v>3.0</v>
      </c>
      <c r="K269" s="54" t="s">
        <v>77</v>
      </c>
      <c r="L269" s="54" t="s">
        <v>115</v>
      </c>
      <c r="M269" s="52" t="s">
        <v>73</v>
      </c>
      <c r="N269" s="55" t="s">
        <v>80</v>
      </c>
    </row>
    <row r="270">
      <c r="A270" s="48">
        <v>827.0</v>
      </c>
      <c r="B270" s="49">
        <v>45367.0</v>
      </c>
      <c r="C270" s="50">
        <v>44.5110673687</v>
      </c>
      <c r="D270" s="51">
        <v>390.1109949988248</v>
      </c>
      <c r="E270" s="52" t="s">
        <v>49</v>
      </c>
      <c r="F270" s="52" t="s">
        <v>140</v>
      </c>
      <c r="G270" s="52" t="s">
        <v>443</v>
      </c>
      <c r="H270" s="53"/>
      <c r="I270" s="54" t="s">
        <v>181</v>
      </c>
      <c r="J270" s="54">
        <v>3.0</v>
      </c>
      <c r="K270" s="54" t="s">
        <v>77</v>
      </c>
      <c r="L270" s="54" t="s">
        <v>115</v>
      </c>
      <c r="M270" s="52" t="s">
        <v>73</v>
      </c>
      <c r="N270" s="55" t="s">
        <v>80</v>
      </c>
    </row>
    <row r="271">
      <c r="A271" s="48">
        <v>828.0</v>
      </c>
      <c r="B271" s="49">
        <v>45367.0</v>
      </c>
      <c r="C271" s="50">
        <v>44.5436696953</v>
      </c>
      <c r="D271" s="51">
        <v>390.3967335088419</v>
      </c>
      <c r="E271" s="52" t="s">
        <v>49</v>
      </c>
      <c r="F271" s="52" t="s">
        <v>140</v>
      </c>
      <c r="G271" s="52" t="s">
        <v>444</v>
      </c>
      <c r="H271" s="53"/>
      <c r="I271" s="54" t="s">
        <v>181</v>
      </c>
      <c r="J271" s="54">
        <v>3.0</v>
      </c>
      <c r="K271" s="54" t="s">
        <v>77</v>
      </c>
      <c r="L271" s="54" t="s">
        <v>115</v>
      </c>
      <c r="M271" s="52" t="s">
        <v>73</v>
      </c>
      <c r="N271" s="55" t="s">
        <v>80</v>
      </c>
    </row>
    <row r="272">
      <c r="A272" s="48">
        <v>829.0</v>
      </c>
      <c r="B272" s="49">
        <v>45367.0</v>
      </c>
      <c r="C272" s="50">
        <v>43.8945870109</v>
      </c>
      <c r="D272" s="51">
        <v>384.7079395342932</v>
      </c>
      <c r="E272" s="52" t="s">
        <v>49</v>
      </c>
      <c r="F272" s="52" t="s">
        <v>140</v>
      </c>
      <c r="G272" s="52" t="s">
        <v>445</v>
      </c>
      <c r="H272" s="53"/>
      <c r="I272" s="54" t="s">
        <v>181</v>
      </c>
      <c r="J272" s="54">
        <v>3.0</v>
      </c>
      <c r="K272" s="54" t="s">
        <v>77</v>
      </c>
      <c r="L272" s="54" t="s">
        <v>115</v>
      </c>
      <c r="M272" s="52" t="s">
        <v>73</v>
      </c>
      <c r="N272" s="55" t="s">
        <v>80</v>
      </c>
    </row>
    <row r="273">
      <c r="A273" s="48">
        <v>830.0</v>
      </c>
      <c r="B273" s="49">
        <v>45367.0</v>
      </c>
      <c r="C273" s="50">
        <v>44.5762720219</v>
      </c>
      <c r="D273" s="51">
        <v>390.6824720188591</v>
      </c>
      <c r="E273" s="52" t="s">
        <v>49</v>
      </c>
      <c r="F273" s="52" t="s">
        <v>140</v>
      </c>
      <c r="G273" s="52" t="s">
        <v>446</v>
      </c>
      <c r="H273" s="53"/>
      <c r="I273" s="54" t="s">
        <v>181</v>
      </c>
      <c r="J273" s="54">
        <v>3.0</v>
      </c>
      <c r="K273" s="54" t="s">
        <v>77</v>
      </c>
      <c r="L273" s="54" t="s">
        <v>115</v>
      </c>
      <c r="M273" s="52" t="s">
        <v>73</v>
      </c>
      <c r="N273" s="55" t="s">
        <v>80</v>
      </c>
    </row>
    <row r="274">
      <c r="A274" s="48">
        <v>831.0</v>
      </c>
      <c r="B274" s="49">
        <v>45367.0</v>
      </c>
      <c r="C274" s="50">
        <v>44.6118381964</v>
      </c>
      <c r="D274" s="51">
        <v>390.9941867572985</v>
      </c>
      <c r="E274" s="52" t="s">
        <v>49</v>
      </c>
      <c r="F274" s="52" t="s">
        <v>140</v>
      </c>
      <c r="G274" s="52" t="s">
        <v>447</v>
      </c>
      <c r="H274" s="53"/>
      <c r="I274" s="54" t="s">
        <v>181</v>
      </c>
      <c r="J274" s="54">
        <v>3.0</v>
      </c>
      <c r="K274" s="54" t="s">
        <v>77</v>
      </c>
      <c r="L274" s="54" t="s">
        <v>115</v>
      </c>
      <c r="M274" s="52" t="s">
        <v>73</v>
      </c>
      <c r="N274" s="55" t="s">
        <v>80</v>
      </c>
    </row>
    <row r="275">
      <c r="A275" s="48">
        <v>832.0</v>
      </c>
      <c r="B275" s="49">
        <v>45367.0</v>
      </c>
      <c r="C275" s="50">
        <v>7.7868168139</v>
      </c>
      <c r="D275" s="51">
        <v>68.24646171662516</v>
      </c>
      <c r="E275" s="52" t="s">
        <v>49</v>
      </c>
      <c r="F275" s="52" t="s">
        <v>140</v>
      </c>
      <c r="G275" s="52" t="s">
        <v>448</v>
      </c>
      <c r="H275" s="53"/>
      <c r="I275" s="54" t="s">
        <v>181</v>
      </c>
      <c r="J275" s="54">
        <v>3.0</v>
      </c>
      <c r="K275" s="54" t="s">
        <v>77</v>
      </c>
      <c r="L275" s="54" t="s">
        <v>115</v>
      </c>
      <c r="M275" s="52" t="s">
        <v>73</v>
      </c>
      <c r="N275" s="55" t="s">
        <v>80</v>
      </c>
    </row>
    <row r="276">
      <c r="A276" s="48">
        <v>833.0</v>
      </c>
      <c r="B276" s="49">
        <v>45367.0</v>
      </c>
      <c r="C276" s="50">
        <v>7.7868168139</v>
      </c>
      <c r="D276" s="51">
        <v>68.24646171662516</v>
      </c>
      <c r="E276" s="52" t="s">
        <v>49</v>
      </c>
      <c r="F276" s="52" t="s">
        <v>140</v>
      </c>
      <c r="G276" s="52" t="s">
        <v>449</v>
      </c>
      <c r="H276" s="53"/>
      <c r="I276" s="54" t="s">
        <v>181</v>
      </c>
      <c r="J276" s="54">
        <v>3.0</v>
      </c>
      <c r="K276" s="54" t="s">
        <v>77</v>
      </c>
      <c r="L276" s="54" t="s">
        <v>115</v>
      </c>
      <c r="M276" s="52" t="s">
        <v>73</v>
      </c>
      <c r="N276" s="55" t="s">
        <v>80</v>
      </c>
    </row>
    <row r="277">
      <c r="A277" s="48">
        <v>834.0</v>
      </c>
      <c r="B277" s="49">
        <v>45367.0</v>
      </c>
      <c r="C277" s="50">
        <v>7.7868168139</v>
      </c>
      <c r="D277" s="51">
        <v>68.24646171662516</v>
      </c>
      <c r="E277" s="52" t="s">
        <v>49</v>
      </c>
      <c r="F277" s="52" t="s">
        <v>140</v>
      </c>
      <c r="G277" s="52" t="s">
        <v>450</v>
      </c>
      <c r="H277" s="53"/>
      <c r="I277" s="54" t="s">
        <v>181</v>
      </c>
      <c r="J277" s="54">
        <v>3.0</v>
      </c>
      <c r="K277" s="54" t="s">
        <v>77</v>
      </c>
      <c r="L277" s="54" t="s">
        <v>115</v>
      </c>
      <c r="M277" s="52" t="s">
        <v>73</v>
      </c>
      <c r="N277" s="55" t="s">
        <v>80</v>
      </c>
    </row>
    <row r="278">
      <c r="A278" s="48">
        <v>835.0</v>
      </c>
      <c r="B278" s="49">
        <v>45377.0</v>
      </c>
      <c r="C278" s="50">
        <v>112.07</v>
      </c>
      <c r="D278" s="51">
        <v>1066.5456302261352</v>
      </c>
      <c r="E278" s="52" t="s">
        <v>50</v>
      </c>
      <c r="F278" s="52" t="s">
        <v>157</v>
      </c>
      <c r="G278" s="52" t="s">
        <v>451</v>
      </c>
      <c r="H278" s="53"/>
      <c r="I278" s="54" t="s">
        <v>181</v>
      </c>
      <c r="J278" s="54">
        <v>3.0</v>
      </c>
      <c r="K278" s="54" t="s">
        <v>77</v>
      </c>
      <c r="L278" s="54" t="s">
        <v>115</v>
      </c>
      <c r="M278" s="52" t="s">
        <v>73</v>
      </c>
      <c r="N278" s="55" t="s">
        <v>80</v>
      </c>
    </row>
    <row r="279">
      <c r="A279" s="48">
        <v>836.0</v>
      </c>
      <c r="B279" s="49">
        <v>45380.0</v>
      </c>
      <c r="C279" s="50">
        <v>75.98</v>
      </c>
      <c r="D279" s="51">
        <v>732.646708946228</v>
      </c>
      <c r="E279" s="52" t="s">
        <v>50</v>
      </c>
      <c r="F279" s="52" t="s">
        <v>157</v>
      </c>
      <c r="G279" s="52" t="s">
        <v>452</v>
      </c>
      <c r="H279" s="53"/>
      <c r="I279" s="54" t="s">
        <v>181</v>
      </c>
      <c r="J279" s="54">
        <v>3.0</v>
      </c>
      <c r="K279" s="54" t="s">
        <v>77</v>
      </c>
      <c r="L279" s="54" t="s">
        <v>115</v>
      </c>
      <c r="M279" s="52" t="s">
        <v>73</v>
      </c>
      <c r="N279" s="55" t="s">
        <v>80</v>
      </c>
    </row>
    <row r="280">
      <c r="A280" s="48">
        <v>837.0</v>
      </c>
      <c r="B280" s="49">
        <v>45379.0</v>
      </c>
      <c r="C280" s="50">
        <v>151.96</v>
      </c>
      <c r="D280" s="51">
        <v>1433.5506443023683</v>
      </c>
      <c r="E280" s="52" t="s">
        <v>50</v>
      </c>
      <c r="F280" s="52" t="s">
        <v>157</v>
      </c>
      <c r="G280" s="52" t="s">
        <v>453</v>
      </c>
      <c r="H280" s="53"/>
      <c r="I280" s="54" t="s">
        <v>181</v>
      </c>
      <c r="J280" s="54">
        <v>3.0</v>
      </c>
      <c r="K280" s="54" t="s">
        <v>77</v>
      </c>
      <c r="L280" s="54" t="s">
        <v>115</v>
      </c>
      <c r="M280" s="52" t="s">
        <v>73</v>
      </c>
      <c r="N280" s="55" t="s">
        <v>80</v>
      </c>
    </row>
    <row r="281">
      <c r="A281" s="48">
        <v>838.0</v>
      </c>
      <c r="B281" s="49">
        <v>45377.0</v>
      </c>
      <c r="C281" s="50">
        <v>28.49</v>
      </c>
      <c r="D281" s="51">
        <v>271.1330865097046</v>
      </c>
      <c r="E281" s="52" t="s">
        <v>50</v>
      </c>
      <c r="F281" s="52" t="s">
        <v>157</v>
      </c>
      <c r="G281" s="52" t="s">
        <v>454</v>
      </c>
      <c r="H281" s="53"/>
      <c r="I281" s="54" t="s">
        <v>181</v>
      </c>
      <c r="J281" s="54">
        <v>3.0</v>
      </c>
      <c r="K281" s="54" t="s">
        <v>77</v>
      </c>
      <c r="L281" s="54" t="s">
        <v>115</v>
      </c>
      <c r="M281" s="52" t="s">
        <v>73</v>
      </c>
      <c r="N281" s="55" t="s">
        <v>80</v>
      </c>
    </row>
    <row r="282">
      <c r="A282" s="48">
        <v>839.0</v>
      </c>
      <c r="B282" s="49">
        <v>45378.0</v>
      </c>
      <c r="C282" s="50">
        <v>56.98</v>
      </c>
      <c r="D282" s="51">
        <v>546.7934859848023</v>
      </c>
      <c r="E282" s="52" t="s">
        <v>50</v>
      </c>
      <c r="F282" s="52" t="s">
        <v>157</v>
      </c>
      <c r="G282" s="52" t="s">
        <v>455</v>
      </c>
      <c r="H282" s="53"/>
      <c r="I282" s="54" t="s">
        <v>181</v>
      </c>
      <c r="J282" s="54">
        <v>3.0</v>
      </c>
      <c r="K282" s="54" t="s">
        <v>77</v>
      </c>
      <c r="L282" s="54" t="s">
        <v>115</v>
      </c>
      <c r="M282" s="52" t="s">
        <v>73</v>
      </c>
      <c r="N282" s="55" t="s">
        <v>80</v>
      </c>
    </row>
    <row r="283">
      <c r="A283" s="48">
        <v>841.0</v>
      </c>
      <c r="B283" s="49">
        <v>45375.0</v>
      </c>
      <c r="C283" s="50">
        <v>33100.0</v>
      </c>
      <c r="D283" s="51">
        <v>320758.0207824707</v>
      </c>
      <c r="E283" s="52" t="s">
        <v>81</v>
      </c>
      <c r="F283" s="52" t="s">
        <v>87</v>
      </c>
      <c r="G283" s="52" t="s">
        <v>456</v>
      </c>
      <c r="H283" s="53"/>
      <c r="I283" s="54" t="s">
        <v>181</v>
      </c>
      <c r="J283" s="54">
        <v>3.0</v>
      </c>
      <c r="K283" s="54" t="s">
        <v>77</v>
      </c>
      <c r="L283" s="54" t="s">
        <v>115</v>
      </c>
      <c r="M283" s="52" t="s">
        <v>73</v>
      </c>
      <c r="N283" s="55" t="s">
        <v>80</v>
      </c>
    </row>
    <row r="284">
      <c r="A284" s="48">
        <v>842.0</v>
      </c>
      <c r="B284" s="49">
        <v>45387.0</v>
      </c>
      <c r="C284" s="50">
        <v>508.8</v>
      </c>
      <c r="D284" s="51">
        <v>4601.917474365235</v>
      </c>
      <c r="E284" s="52" t="s">
        <v>81</v>
      </c>
      <c r="F284" s="52" t="s">
        <v>86</v>
      </c>
      <c r="G284" s="52" t="s">
        <v>457</v>
      </c>
      <c r="H284" s="53"/>
      <c r="I284" s="54" t="s">
        <v>181</v>
      </c>
      <c r="J284" s="54">
        <v>4.0</v>
      </c>
      <c r="K284" s="54" t="s">
        <v>78</v>
      </c>
      <c r="L284" s="54" t="s">
        <v>117</v>
      </c>
      <c r="M284" s="52" t="s">
        <v>73</v>
      </c>
      <c r="N284" s="55" t="s">
        <v>80</v>
      </c>
    </row>
    <row r="285">
      <c r="A285" s="48">
        <v>843.0</v>
      </c>
      <c r="B285" s="49">
        <v>45384.0</v>
      </c>
      <c r="C285" s="50">
        <v>275.6</v>
      </c>
      <c r="D285" s="51">
        <v>2312.0181079864506</v>
      </c>
      <c r="E285" s="52" t="s">
        <v>81</v>
      </c>
      <c r="F285" s="52" t="s">
        <v>86</v>
      </c>
      <c r="G285" s="52" t="s">
        <v>458</v>
      </c>
      <c r="H285" s="53"/>
      <c r="I285" s="54" t="s">
        <v>181</v>
      </c>
      <c r="J285" s="54">
        <v>4.0</v>
      </c>
      <c r="K285" s="54" t="s">
        <v>78</v>
      </c>
      <c r="L285" s="54" t="s">
        <v>117</v>
      </c>
      <c r="M285" s="52" t="s">
        <v>73</v>
      </c>
      <c r="N285" s="55" t="s">
        <v>80</v>
      </c>
    </row>
    <row r="286">
      <c r="A286" s="48">
        <v>844.0</v>
      </c>
      <c r="B286" s="49">
        <v>45386.0</v>
      </c>
      <c r="C286" s="50">
        <v>8722.9</v>
      </c>
      <c r="D286" s="51">
        <v>75947.90087280273</v>
      </c>
      <c r="E286" s="52" t="s">
        <v>81</v>
      </c>
      <c r="F286" s="52" t="s">
        <v>86</v>
      </c>
      <c r="G286" s="52" t="s">
        <v>459</v>
      </c>
      <c r="H286" s="53"/>
      <c r="I286" s="54" t="s">
        <v>181</v>
      </c>
      <c r="J286" s="54">
        <v>4.0</v>
      </c>
      <c r="K286" s="54" t="s">
        <v>78</v>
      </c>
      <c r="L286" s="54" t="s">
        <v>117</v>
      </c>
      <c r="M286" s="52" t="s">
        <v>73</v>
      </c>
      <c r="N286" s="55" t="s">
        <v>80</v>
      </c>
    </row>
    <row r="287">
      <c r="A287" s="48">
        <v>845.0</v>
      </c>
      <c r="B287" s="49">
        <v>45388.0</v>
      </c>
      <c r="C287" s="50">
        <v>6865.6</v>
      </c>
      <c r="D287" s="51">
        <v>59456.45506744385</v>
      </c>
      <c r="E287" s="52" t="s">
        <v>81</v>
      </c>
      <c r="F287" s="52" t="s">
        <v>86</v>
      </c>
      <c r="G287" s="52" t="s">
        <v>460</v>
      </c>
      <c r="H287" s="53"/>
      <c r="I287" s="54" t="s">
        <v>181</v>
      </c>
      <c r="J287" s="54">
        <v>4.0</v>
      </c>
      <c r="K287" s="54" t="s">
        <v>78</v>
      </c>
      <c r="L287" s="54" t="s">
        <v>117</v>
      </c>
      <c r="M287" s="52" t="s">
        <v>73</v>
      </c>
      <c r="N287" s="55" t="s">
        <v>80</v>
      </c>
    </row>
    <row r="288">
      <c r="A288" s="48">
        <v>846.0</v>
      </c>
      <c r="B288" s="49">
        <v>45389.0</v>
      </c>
      <c r="C288" s="50">
        <v>4854.9</v>
      </c>
      <c r="D288" s="51">
        <v>40872.924617958066</v>
      </c>
      <c r="E288" s="52" t="s">
        <v>81</v>
      </c>
      <c r="F288" s="52" t="s">
        <v>97</v>
      </c>
      <c r="G288" s="52" t="s">
        <v>461</v>
      </c>
      <c r="H288" s="53"/>
      <c r="I288" s="54" t="s">
        <v>181</v>
      </c>
      <c r="J288" s="54">
        <v>4.0</v>
      </c>
      <c r="K288" s="54" t="s">
        <v>78</v>
      </c>
      <c r="L288" s="54" t="s">
        <v>117</v>
      </c>
      <c r="M288" s="52" t="s">
        <v>73</v>
      </c>
      <c r="N288" s="55" t="s">
        <v>80</v>
      </c>
    </row>
    <row r="289">
      <c r="A289" s="48">
        <v>847.0</v>
      </c>
      <c r="B289" s="49">
        <v>45409.0</v>
      </c>
      <c r="C289" s="50">
        <v>289.7</v>
      </c>
      <c r="D289" s="51">
        <v>1860.5223118305205</v>
      </c>
      <c r="E289" s="52" t="s">
        <v>81</v>
      </c>
      <c r="F289" s="52" t="s">
        <v>97</v>
      </c>
      <c r="G289" s="52" t="s">
        <v>462</v>
      </c>
      <c r="H289" s="53"/>
      <c r="I289" s="54" t="s">
        <v>181</v>
      </c>
      <c r="J289" s="54">
        <v>4.0</v>
      </c>
      <c r="K289" s="54" t="s">
        <v>78</v>
      </c>
      <c r="L289" s="54" t="s">
        <v>117</v>
      </c>
      <c r="M289" s="52" t="s">
        <v>73</v>
      </c>
      <c r="N289" s="55" t="s">
        <v>80</v>
      </c>
    </row>
    <row r="290">
      <c r="A290" s="48">
        <v>848.0</v>
      </c>
      <c r="B290" s="49">
        <v>45385.0</v>
      </c>
      <c r="C290" s="50">
        <v>135.3</v>
      </c>
      <c r="D290" s="51">
        <v>1149.2634201049805</v>
      </c>
      <c r="E290" s="52" t="s">
        <v>81</v>
      </c>
      <c r="F290" s="52" t="s">
        <v>97</v>
      </c>
      <c r="G290" s="52" t="s">
        <v>463</v>
      </c>
      <c r="H290" s="53"/>
      <c r="I290" s="54" t="s">
        <v>181</v>
      </c>
      <c r="J290" s="54">
        <v>4.0</v>
      </c>
      <c r="K290" s="54" t="s">
        <v>78</v>
      </c>
      <c r="L290" s="54" t="s">
        <v>117</v>
      </c>
      <c r="M290" s="52" t="s">
        <v>73</v>
      </c>
      <c r="N290" s="55" t="s">
        <v>80</v>
      </c>
    </row>
    <row r="291">
      <c r="A291" s="48">
        <v>849.0</v>
      </c>
      <c r="B291" s="49">
        <v>45388.0</v>
      </c>
      <c r="C291" s="50">
        <v>18.7</v>
      </c>
      <c r="D291" s="51">
        <v>169.134938621521</v>
      </c>
      <c r="E291" s="52" t="s">
        <v>81</v>
      </c>
      <c r="F291" s="52" t="s">
        <v>86</v>
      </c>
      <c r="G291" s="52" t="s">
        <v>464</v>
      </c>
      <c r="H291" s="53"/>
      <c r="I291" s="54" t="s">
        <v>181</v>
      </c>
      <c r="J291" s="54">
        <v>4.0</v>
      </c>
      <c r="K291" s="54" t="s">
        <v>78</v>
      </c>
      <c r="L291" s="54" t="s">
        <v>117</v>
      </c>
      <c r="M291" s="52" t="s">
        <v>73</v>
      </c>
      <c r="N291" s="55" t="s">
        <v>80</v>
      </c>
    </row>
    <row r="292">
      <c r="A292" s="48">
        <v>850.0</v>
      </c>
      <c r="B292" s="49">
        <v>45384.0</v>
      </c>
      <c r="C292" s="50">
        <v>699.6</v>
      </c>
      <c r="D292" s="51">
        <v>5868.96904335022</v>
      </c>
      <c r="E292" s="52" t="s">
        <v>81</v>
      </c>
      <c r="F292" s="52" t="s">
        <v>97</v>
      </c>
      <c r="G292" s="52" t="s">
        <v>465</v>
      </c>
      <c r="H292" s="53"/>
      <c r="I292" s="54" t="s">
        <v>181</v>
      </c>
      <c r="J292" s="54">
        <v>4.0</v>
      </c>
      <c r="K292" s="54" t="s">
        <v>78</v>
      </c>
      <c r="L292" s="54" t="s">
        <v>117</v>
      </c>
      <c r="M292" s="52" t="s">
        <v>73</v>
      </c>
      <c r="N292" s="55" t="s">
        <v>80</v>
      </c>
    </row>
    <row r="293">
      <c r="A293" s="48">
        <v>851.0</v>
      </c>
      <c r="B293" s="49">
        <v>45385.0</v>
      </c>
      <c r="C293" s="50">
        <v>22826.0</v>
      </c>
      <c r="D293" s="51">
        <v>193888.29879760742</v>
      </c>
      <c r="E293" s="52" t="s">
        <v>81</v>
      </c>
      <c r="F293" s="52" t="s">
        <v>92</v>
      </c>
      <c r="G293" s="52" t="s">
        <v>466</v>
      </c>
      <c r="H293" s="53"/>
      <c r="I293" s="54" t="s">
        <v>181</v>
      </c>
      <c r="J293" s="54">
        <v>4.0</v>
      </c>
      <c r="K293" s="54" t="s">
        <v>78</v>
      </c>
      <c r="L293" s="54" t="s">
        <v>117</v>
      </c>
      <c r="M293" s="52" t="s">
        <v>73</v>
      </c>
      <c r="N293" s="55" t="s">
        <v>80</v>
      </c>
    </row>
    <row r="294">
      <c r="A294" s="48">
        <v>852.0</v>
      </c>
      <c r="B294" s="49">
        <v>45385.0</v>
      </c>
      <c r="C294" s="50">
        <v>67438.67</v>
      </c>
      <c r="D294" s="51">
        <v>572836.6336402893</v>
      </c>
      <c r="E294" s="52" t="s">
        <v>81</v>
      </c>
      <c r="F294" s="52" t="s">
        <v>87</v>
      </c>
      <c r="G294" s="52" t="s">
        <v>467</v>
      </c>
      <c r="H294" s="53"/>
      <c r="I294" s="54" t="s">
        <v>181</v>
      </c>
      <c r="J294" s="54">
        <v>4.0</v>
      </c>
      <c r="K294" s="54" t="s">
        <v>78</v>
      </c>
      <c r="L294" s="54" t="s">
        <v>117</v>
      </c>
      <c r="M294" s="52" t="s">
        <v>73</v>
      </c>
      <c r="N294" s="55" t="s">
        <v>80</v>
      </c>
    </row>
    <row r="295">
      <c r="A295" s="48">
        <v>853.0</v>
      </c>
      <c r="B295" s="49">
        <v>45385.0</v>
      </c>
      <c r="C295" s="50">
        <v>10493.0</v>
      </c>
      <c r="D295" s="51">
        <v>89129.4979095459</v>
      </c>
      <c r="E295" s="52" t="s">
        <v>81</v>
      </c>
      <c r="F295" s="52" t="s">
        <v>84</v>
      </c>
      <c r="G295" s="52" t="s">
        <v>468</v>
      </c>
      <c r="H295" s="53"/>
      <c r="I295" s="54" t="s">
        <v>181</v>
      </c>
      <c r="J295" s="54">
        <v>4.0</v>
      </c>
      <c r="K295" s="54" t="s">
        <v>78</v>
      </c>
      <c r="L295" s="54" t="s">
        <v>117</v>
      </c>
      <c r="M295" s="52" t="s">
        <v>73</v>
      </c>
      <c r="N295" s="55" t="s">
        <v>80</v>
      </c>
    </row>
    <row r="296">
      <c r="A296" s="48">
        <v>854.0</v>
      </c>
      <c r="B296" s="49">
        <v>45387.0</v>
      </c>
      <c r="C296" s="50">
        <v>38028.0</v>
      </c>
      <c r="D296" s="51">
        <v>331099.3791503906</v>
      </c>
      <c r="E296" s="52" t="s">
        <v>81</v>
      </c>
      <c r="F296" s="52" t="s">
        <v>84</v>
      </c>
      <c r="G296" s="52" t="s">
        <v>469</v>
      </c>
      <c r="H296" s="53"/>
      <c r="I296" s="54" t="s">
        <v>181</v>
      </c>
      <c r="J296" s="54">
        <v>4.0</v>
      </c>
      <c r="K296" s="54" t="s">
        <v>78</v>
      </c>
      <c r="L296" s="54" t="s">
        <v>117</v>
      </c>
      <c r="M296" s="52" t="s">
        <v>73</v>
      </c>
      <c r="N296" s="55" t="s">
        <v>80</v>
      </c>
    </row>
    <row r="297">
      <c r="A297" s="48">
        <v>855.0</v>
      </c>
      <c r="B297" s="49">
        <v>45386.0</v>
      </c>
      <c r="C297" s="50">
        <v>161.2564</v>
      </c>
      <c r="D297" s="51">
        <v>1369.741920013428</v>
      </c>
      <c r="E297" s="52" t="s">
        <v>81</v>
      </c>
      <c r="F297" s="52" t="s">
        <v>93</v>
      </c>
      <c r="G297" s="52" t="s">
        <v>470</v>
      </c>
      <c r="H297" s="53"/>
      <c r="I297" s="54" t="s">
        <v>181</v>
      </c>
      <c r="J297" s="54">
        <v>4.0</v>
      </c>
      <c r="K297" s="54" t="s">
        <v>78</v>
      </c>
      <c r="L297" s="54" t="s">
        <v>117</v>
      </c>
      <c r="M297" s="52" t="s">
        <v>73</v>
      </c>
      <c r="N297" s="55" t="s">
        <v>80</v>
      </c>
    </row>
    <row r="298">
      <c r="A298" s="48">
        <v>856.0</v>
      </c>
      <c r="B298" s="49">
        <v>45385.0</v>
      </c>
      <c r="C298" s="50">
        <v>147.0742</v>
      </c>
      <c r="D298" s="51">
        <v>1249.275669631958</v>
      </c>
      <c r="E298" s="52" t="s">
        <v>81</v>
      </c>
      <c r="F298" s="52" t="s">
        <v>93</v>
      </c>
      <c r="G298" s="52" t="s">
        <v>471</v>
      </c>
      <c r="H298" s="53"/>
      <c r="I298" s="54" t="s">
        <v>181</v>
      </c>
      <c r="J298" s="54">
        <v>4.0</v>
      </c>
      <c r="K298" s="54" t="s">
        <v>78</v>
      </c>
      <c r="L298" s="54" t="s">
        <v>117</v>
      </c>
      <c r="M298" s="52" t="s">
        <v>73</v>
      </c>
      <c r="N298" s="55" t="s">
        <v>80</v>
      </c>
    </row>
    <row r="299">
      <c r="A299" s="48">
        <v>857.0</v>
      </c>
      <c r="B299" s="49">
        <v>45386.0</v>
      </c>
      <c r="C299" s="50">
        <v>147.0742</v>
      </c>
      <c r="D299" s="51">
        <v>1249.275669631958</v>
      </c>
      <c r="E299" s="52" t="s">
        <v>81</v>
      </c>
      <c r="F299" s="52" t="s">
        <v>93</v>
      </c>
      <c r="G299" s="52" t="s">
        <v>472</v>
      </c>
      <c r="H299" s="53"/>
      <c r="I299" s="54" t="s">
        <v>181</v>
      </c>
      <c r="J299" s="54">
        <v>4.0</v>
      </c>
      <c r="K299" s="54" t="s">
        <v>78</v>
      </c>
      <c r="L299" s="54" t="s">
        <v>117</v>
      </c>
      <c r="M299" s="52" t="s">
        <v>73</v>
      </c>
      <c r="N299" s="55" t="s">
        <v>80</v>
      </c>
    </row>
    <row r="300">
      <c r="A300" s="48">
        <v>858.0</v>
      </c>
      <c r="B300" s="49">
        <v>45387.0</v>
      </c>
      <c r="C300" s="50">
        <v>173.3375</v>
      </c>
      <c r="D300" s="51">
        <v>1567.776867556572</v>
      </c>
      <c r="E300" s="52" t="s">
        <v>81</v>
      </c>
      <c r="F300" s="52" t="s">
        <v>93</v>
      </c>
      <c r="G300" s="52" t="s">
        <v>473</v>
      </c>
      <c r="H300" s="53"/>
      <c r="I300" s="54" t="s">
        <v>181</v>
      </c>
      <c r="J300" s="54">
        <v>4.0</v>
      </c>
      <c r="K300" s="54" t="s">
        <v>78</v>
      </c>
      <c r="L300" s="54" t="s">
        <v>117</v>
      </c>
      <c r="M300" s="52" t="s">
        <v>73</v>
      </c>
      <c r="N300" s="55" t="s">
        <v>80</v>
      </c>
    </row>
    <row r="301">
      <c r="A301" s="48">
        <v>859.0</v>
      </c>
      <c r="B301" s="49">
        <v>45396.0</v>
      </c>
      <c r="C301" s="50">
        <v>147.0742</v>
      </c>
      <c r="D301" s="51">
        <v>985.4040548617362</v>
      </c>
      <c r="E301" s="52" t="s">
        <v>81</v>
      </c>
      <c r="F301" s="52" t="s">
        <v>93</v>
      </c>
      <c r="G301" s="52" t="s">
        <v>474</v>
      </c>
      <c r="H301" s="53"/>
      <c r="I301" s="54" t="s">
        <v>181</v>
      </c>
      <c r="J301" s="54">
        <v>4.0</v>
      </c>
      <c r="K301" s="54" t="s">
        <v>78</v>
      </c>
      <c r="L301" s="54" t="s">
        <v>117</v>
      </c>
      <c r="M301" s="52" t="s">
        <v>73</v>
      </c>
      <c r="N301" s="55" t="s">
        <v>80</v>
      </c>
    </row>
    <row r="302">
      <c r="A302" s="48">
        <v>861.0</v>
      </c>
      <c r="B302" s="49">
        <v>45387.0</v>
      </c>
      <c r="C302" s="50">
        <v>147.07</v>
      </c>
      <c r="D302" s="51">
        <v>1330.1965466880797</v>
      </c>
      <c r="E302" s="52" t="s">
        <v>81</v>
      </c>
      <c r="F302" s="52" t="s">
        <v>93</v>
      </c>
      <c r="G302" s="52" t="s">
        <v>475</v>
      </c>
      <c r="H302" s="53"/>
      <c r="I302" s="54" t="s">
        <v>181</v>
      </c>
      <c r="J302" s="54">
        <v>4.0</v>
      </c>
      <c r="K302" s="54" t="s">
        <v>78</v>
      </c>
      <c r="L302" s="54" t="s">
        <v>117</v>
      </c>
      <c r="M302" s="52" t="s">
        <v>73</v>
      </c>
      <c r="N302" s="55" t="s">
        <v>80</v>
      </c>
    </row>
    <row r="303">
      <c r="A303" s="48">
        <v>862.0</v>
      </c>
      <c r="B303" s="49">
        <v>45387.0</v>
      </c>
      <c r="C303" s="50">
        <v>161.26</v>
      </c>
      <c r="D303" s="51">
        <v>1458.5401177597046</v>
      </c>
      <c r="E303" s="52" t="s">
        <v>81</v>
      </c>
      <c r="F303" s="52" t="s">
        <v>93</v>
      </c>
      <c r="G303" s="52" t="s">
        <v>476</v>
      </c>
      <c r="H303" s="53"/>
      <c r="I303" s="54" t="s">
        <v>181</v>
      </c>
      <c r="J303" s="54">
        <v>4.0</v>
      </c>
      <c r="K303" s="54" t="s">
        <v>78</v>
      </c>
      <c r="L303" s="54" t="s">
        <v>117</v>
      </c>
      <c r="M303" s="52" t="s">
        <v>73</v>
      </c>
      <c r="N303" s="55" t="s">
        <v>80</v>
      </c>
    </row>
    <row r="304">
      <c r="A304" s="48">
        <v>863.0</v>
      </c>
      <c r="B304" s="49">
        <v>45390.0</v>
      </c>
      <c r="C304" s="50">
        <v>147.07</v>
      </c>
      <c r="D304" s="51">
        <v>1238.167835292816</v>
      </c>
      <c r="E304" s="52" t="s">
        <v>81</v>
      </c>
      <c r="F304" s="52" t="s">
        <v>93</v>
      </c>
      <c r="G304" s="52" t="s">
        <v>477</v>
      </c>
      <c r="H304" s="53"/>
      <c r="I304" s="54" t="s">
        <v>181</v>
      </c>
      <c r="J304" s="54">
        <v>4.0</v>
      </c>
      <c r="K304" s="54" t="s">
        <v>78</v>
      </c>
      <c r="L304" s="54" t="s">
        <v>117</v>
      </c>
      <c r="M304" s="52" t="s">
        <v>73</v>
      </c>
      <c r="N304" s="55" t="s">
        <v>80</v>
      </c>
    </row>
    <row r="305">
      <c r="A305" s="48">
        <v>864.0</v>
      </c>
      <c r="B305" s="49">
        <v>45396.0</v>
      </c>
      <c r="C305" s="50">
        <v>147.07</v>
      </c>
      <c r="D305" s="51">
        <v>967.6657483386992</v>
      </c>
      <c r="E305" s="52" t="s">
        <v>81</v>
      </c>
      <c r="F305" s="52" t="s">
        <v>93</v>
      </c>
      <c r="G305" s="52" t="s">
        <v>478</v>
      </c>
      <c r="H305" s="53"/>
      <c r="I305" s="54" t="s">
        <v>181</v>
      </c>
      <c r="J305" s="54">
        <v>4.0</v>
      </c>
      <c r="K305" s="54" t="s">
        <v>78</v>
      </c>
      <c r="L305" s="54" t="s">
        <v>117</v>
      </c>
      <c r="M305" s="52" t="s">
        <v>73</v>
      </c>
      <c r="N305" s="55" t="s">
        <v>80</v>
      </c>
    </row>
    <row r="306">
      <c r="A306" s="48">
        <v>865.0</v>
      </c>
      <c r="B306" s="49">
        <v>45387.0</v>
      </c>
      <c r="C306" s="50">
        <v>147.0742</v>
      </c>
      <c r="D306" s="51">
        <v>1280.5347719848633</v>
      </c>
      <c r="E306" s="52" t="s">
        <v>81</v>
      </c>
      <c r="F306" s="52" t="s">
        <v>93</v>
      </c>
      <c r="G306" s="52" t="s">
        <v>479</v>
      </c>
      <c r="H306" s="53"/>
      <c r="I306" s="54" t="s">
        <v>181</v>
      </c>
      <c r="J306" s="54">
        <v>4.0</v>
      </c>
      <c r="K306" s="54" t="s">
        <v>78</v>
      </c>
      <c r="L306" s="54" t="s">
        <v>117</v>
      </c>
      <c r="M306" s="52" t="s">
        <v>73</v>
      </c>
      <c r="N306" s="55" t="s">
        <v>80</v>
      </c>
    </row>
    <row r="307">
      <c r="A307" s="48">
        <v>866.0</v>
      </c>
      <c r="B307" s="49">
        <v>45387.0</v>
      </c>
      <c r="C307" s="50">
        <v>147.0742</v>
      </c>
      <c r="D307" s="51">
        <v>1280.5347719848633</v>
      </c>
      <c r="E307" s="52" t="s">
        <v>81</v>
      </c>
      <c r="F307" s="52" t="s">
        <v>93</v>
      </c>
      <c r="G307" s="52" t="s">
        <v>480</v>
      </c>
      <c r="H307" s="53"/>
      <c r="I307" s="54" t="s">
        <v>181</v>
      </c>
      <c r="J307" s="54">
        <v>4.0</v>
      </c>
      <c r="K307" s="54" t="s">
        <v>78</v>
      </c>
      <c r="L307" s="54" t="s">
        <v>117</v>
      </c>
      <c r="M307" s="52" t="s">
        <v>73</v>
      </c>
      <c r="N307" s="55" t="s">
        <v>80</v>
      </c>
    </row>
    <row r="308">
      <c r="A308" s="48">
        <v>867.0</v>
      </c>
      <c r="B308" s="49">
        <v>45423.0</v>
      </c>
      <c r="C308" s="50">
        <v>147.0742</v>
      </c>
      <c r="D308" s="51">
        <v>952.879308393669</v>
      </c>
      <c r="E308" s="52" t="s">
        <v>81</v>
      </c>
      <c r="F308" s="52" t="s">
        <v>93</v>
      </c>
      <c r="G308" s="52" t="s">
        <v>481</v>
      </c>
      <c r="H308" s="53"/>
      <c r="I308" s="54" t="s">
        <v>181</v>
      </c>
      <c r="J308" s="54">
        <v>5.0</v>
      </c>
      <c r="K308" s="54" t="s">
        <v>78</v>
      </c>
      <c r="L308" s="54" t="s">
        <v>120</v>
      </c>
      <c r="M308" s="52" t="s">
        <v>73</v>
      </c>
      <c r="N308" s="55" t="s">
        <v>80</v>
      </c>
    </row>
    <row r="309">
      <c r="A309" s="48">
        <v>868.0</v>
      </c>
      <c r="B309" s="49">
        <v>45387.0</v>
      </c>
      <c r="C309" s="50">
        <v>147.0742</v>
      </c>
      <c r="D309" s="51">
        <v>1280.5347719848633</v>
      </c>
      <c r="E309" s="52" t="s">
        <v>81</v>
      </c>
      <c r="F309" s="52" t="s">
        <v>93</v>
      </c>
      <c r="G309" s="52" t="s">
        <v>482</v>
      </c>
      <c r="H309" s="53"/>
      <c r="I309" s="54" t="s">
        <v>181</v>
      </c>
      <c r="J309" s="54">
        <v>4.0</v>
      </c>
      <c r="K309" s="54" t="s">
        <v>78</v>
      </c>
      <c r="L309" s="54" t="s">
        <v>117</v>
      </c>
      <c r="M309" s="52" t="s">
        <v>73</v>
      </c>
      <c r="N309" s="55" t="s">
        <v>80</v>
      </c>
    </row>
    <row r="310">
      <c r="A310" s="48">
        <v>869.0</v>
      </c>
      <c r="B310" s="49">
        <v>45396.0</v>
      </c>
      <c r="C310" s="50">
        <v>11867.5</v>
      </c>
      <c r="D310" s="51">
        <v>79512.80796408653</v>
      </c>
      <c r="E310" s="52" t="s">
        <v>81</v>
      </c>
      <c r="F310" s="52" t="s">
        <v>86</v>
      </c>
      <c r="G310" s="52" t="s">
        <v>483</v>
      </c>
      <c r="H310" s="53"/>
      <c r="I310" s="54" t="s">
        <v>181</v>
      </c>
      <c r="J310" s="54">
        <v>4.0</v>
      </c>
      <c r="K310" s="54" t="s">
        <v>78</v>
      </c>
      <c r="L310" s="54" t="s">
        <v>117</v>
      </c>
      <c r="M310" s="52" t="s">
        <v>73</v>
      </c>
      <c r="N310" s="55" t="s">
        <v>80</v>
      </c>
    </row>
    <row r="311">
      <c r="A311" s="48">
        <v>870.0</v>
      </c>
      <c r="B311" s="49">
        <v>45402.0</v>
      </c>
      <c r="C311" s="50">
        <v>406.9</v>
      </c>
      <c r="D311" s="51">
        <v>2947.822427749634</v>
      </c>
      <c r="E311" s="52" t="s">
        <v>81</v>
      </c>
      <c r="F311" s="52" t="s">
        <v>86</v>
      </c>
      <c r="G311" s="52" t="s">
        <v>484</v>
      </c>
      <c r="H311" s="53"/>
      <c r="I311" s="54" t="s">
        <v>181</v>
      </c>
      <c r="J311" s="54">
        <v>4.0</v>
      </c>
      <c r="K311" s="54" t="s">
        <v>78</v>
      </c>
      <c r="L311" s="54" t="s">
        <v>117</v>
      </c>
      <c r="M311" s="52" t="s">
        <v>73</v>
      </c>
      <c r="N311" s="55" t="s">
        <v>80</v>
      </c>
    </row>
    <row r="312">
      <c r="A312" s="48">
        <v>872.0</v>
      </c>
      <c r="B312" s="49">
        <v>45461.0</v>
      </c>
      <c r="C312" s="50">
        <v>942.1</v>
      </c>
      <c r="D312" s="51">
        <v>5314.168479442596</v>
      </c>
      <c r="E312" s="52" t="s">
        <v>81</v>
      </c>
      <c r="F312" s="52" t="s">
        <v>86</v>
      </c>
      <c r="G312" s="52" t="s">
        <v>485</v>
      </c>
      <c r="H312" s="53"/>
      <c r="I312" s="54" t="s">
        <v>181</v>
      </c>
      <c r="J312" s="54">
        <v>6.0</v>
      </c>
      <c r="K312" s="54" t="s">
        <v>78</v>
      </c>
      <c r="L312" s="54" t="s">
        <v>122</v>
      </c>
      <c r="M312" s="52" t="s">
        <v>73</v>
      </c>
      <c r="N312" s="55" t="s">
        <v>80</v>
      </c>
    </row>
    <row r="313">
      <c r="A313" s="48">
        <v>873.0</v>
      </c>
      <c r="B313" s="49">
        <v>45410.0</v>
      </c>
      <c r="C313" s="50">
        <v>2064.7</v>
      </c>
      <c r="D313" s="51">
        <v>13259.994536542892</v>
      </c>
      <c r="E313" s="52" t="s">
        <v>81</v>
      </c>
      <c r="F313" s="52" t="s">
        <v>97</v>
      </c>
      <c r="G313" s="52" t="s">
        <v>486</v>
      </c>
      <c r="H313" s="53"/>
      <c r="I313" s="54" t="s">
        <v>181</v>
      </c>
      <c r="J313" s="54">
        <v>4.0</v>
      </c>
      <c r="K313" s="54" t="s">
        <v>78</v>
      </c>
      <c r="L313" s="54" t="s">
        <v>117</v>
      </c>
      <c r="M313" s="52" t="s">
        <v>73</v>
      </c>
      <c r="N313" s="55" t="s">
        <v>80</v>
      </c>
    </row>
    <row r="314">
      <c r="A314" s="48">
        <v>874.0</v>
      </c>
      <c r="B314" s="49">
        <v>45414.0</v>
      </c>
      <c r="C314" s="50">
        <v>15.8</v>
      </c>
      <c r="D314" s="51">
        <v>115.447189617157</v>
      </c>
      <c r="E314" s="52" t="s">
        <v>81</v>
      </c>
      <c r="F314" s="52" t="s">
        <v>86</v>
      </c>
      <c r="G314" s="52" t="s">
        <v>487</v>
      </c>
      <c r="H314" s="53"/>
      <c r="I314" s="54" t="s">
        <v>181</v>
      </c>
      <c r="J314" s="54">
        <v>5.0</v>
      </c>
      <c r="K314" s="54" t="s">
        <v>78</v>
      </c>
      <c r="L314" s="54" t="s">
        <v>120</v>
      </c>
      <c r="M314" s="52" t="s">
        <v>73</v>
      </c>
      <c r="N314" s="55" t="s">
        <v>80</v>
      </c>
    </row>
    <row r="315">
      <c r="A315" s="48">
        <v>875.0</v>
      </c>
      <c r="B315" s="49">
        <v>45414.0</v>
      </c>
      <c r="C315" s="50">
        <v>15.8</v>
      </c>
      <c r="D315" s="51">
        <v>115.447189617157</v>
      </c>
      <c r="E315" s="52" t="s">
        <v>81</v>
      </c>
      <c r="F315" s="52" t="s">
        <v>86</v>
      </c>
      <c r="G315" s="52" t="s">
        <v>488</v>
      </c>
      <c r="H315" s="53"/>
      <c r="I315" s="54" t="s">
        <v>181</v>
      </c>
      <c r="J315" s="54">
        <v>5.0</v>
      </c>
      <c r="K315" s="54" t="s">
        <v>78</v>
      </c>
      <c r="L315" s="54" t="s">
        <v>120</v>
      </c>
      <c r="M315" s="52" t="s">
        <v>73</v>
      </c>
      <c r="N315" s="55" t="s">
        <v>80</v>
      </c>
    </row>
    <row r="316">
      <c r="A316" s="48">
        <v>876.0</v>
      </c>
      <c r="B316" s="49">
        <v>45409.0</v>
      </c>
      <c r="C316" s="50">
        <v>21.0</v>
      </c>
      <c r="D316" s="51">
        <v>134.86699533462524</v>
      </c>
      <c r="E316" s="52" t="s">
        <v>81</v>
      </c>
      <c r="F316" s="52" t="s">
        <v>86</v>
      </c>
      <c r="G316" s="52" t="s">
        <v>489</v>
      </c>
      <c r="H316" s="53"/>
      <c r="I316" s="54" t="s">
        <v>181</v>
      </c>
      <c r="J316" s="54">
        <v>4.0</v>
      </c>
      <c r="K316" s="54" t="s">
        <v>78</v>
      </c>
      <c r="L316" s="54" t="s">
        <v>117</v>
      </c>
      <c r="M316" s="52" t="s">
        <v>73</v>
      </c>
      <c r="N316" s="55" t="s">
        <v>80</v>
      </c>
    </row>
    <row r="317">
      <c r="A317" s="48">
        <v>877.0</v>
      </c>
      <c r="B317" s="49">
        <v>45404.0</v>
      </c>
      <c r="C317" s="50">
        <v>15.8</v>
      </c>
      <c r="D317" s="51">
        <v>108.42543115615845</v>
      </c>
      <c r="E317" s="52" t="s">
        <v>81</v>
      </c>
      <c r="F317" s="52" t="s">
        <v>86</v>
      </c>
      <c r="G317" s="52" t="s">
        <v>490</v>
      </c>
      <c r="H317" s="53"/>
      <c r="I317" s="54" t="s">
        <v>181</v>
      </c>
      <c r="J317" s="54">
        <v>4.0</v>
      </c>
      <c r="K317" s="54" t="s">
        <v>78</v>
      </c>
      <c r="L317" s="54" t="s">
        <v>117</v>
      </c>
      <c r="M317" s="52" t="s">
        <v>73</v>
      </c>
      <c r="N317" s="55" t="s">
        <v>80</v>
      </c>
    </row>
    <row r="318">
      <c r="A318" s="48">
        <v>878.0</v>
      </c>
      <c r="B318" s="49">
        <v>45416.0</v>
      </c>
      <c r="C318" s="50">
        <v>15.8</v>
      </c>
      <c r="D318" s="51">
        <v>112.53173961639405</v>
      </c>
      <c r="E318" s="52" t="s">
        <v>81</v>
      </c>
      <c r="F318" s="52" t="s">
        <v>86</v>
      </c>
      <c r="G318" s="52" t="s">
        <v>491</v>
      </c>
      <c r="H318" s="53"/>
      <c r="I318" s="54" t="s">
        <v>181</v>
      </c>
      <c r="J318" s="54">
        <v>5.0</v>
      </c>
      <c r="K318" s="54" t="s">
        <v>78</v>
      </c>
      <c r="L318" s="54" t="s">
        <v>120</v>
      </c>
      <c r="M318" s="52" t="s">
        <v>73</v>
      </c>
      <c r="N318" s="55" t="s">
        <v>80</v>
      </c>
    </row>
    <row r="319">
      <c r="A319" s="48">
        <v>880.0</v>
      </c>
      <c r="B319" s="49">
        <v>45414.0</v>
      </c>
      <c r="C319" s="50">
        <v>21.0</v>
      </c>
      <c r="D319" s="51">
        <v>153.442467212677</v>
      </c>
      <c r="E319" s="52" t="s">
        <v>81</v>
      </c>
      <c r="F319" s="52" t="s">
        <v>86</v>
      </c>
      <c r="G319" s="52" t="s">
        <v>492</v>
      </c>
      <c r="H319" s="53"/>
      <c r="I319" s="54" t="s">
        <v>181</v>
      </c>
      <c r="J319" s="54">
        <v>5.0</v>
      </c>
      <c r="K319" s="54" t="s">
        <v>78</v>
      </c>
      <c r="L319" s="54" t="s">
        <v>120</v>
      </c>
      <c r="M319" s="52" t="s">
        <v>73</v>
      </c>
      <c r="N319" s="55" t="s">
        <v>80</v>
      </c>
    </row>
    <row r="320">
      <c r="A320" s="48">
        <v>881.0</v>
      </c>
      <c r="B320" s="49">
        <v>45417.0</v>
      </c>
      <c r="C320" s="50">
        <v>21.0</v>
      </c>
      <c r="D320" s="51">
        <v>146.792498588562</v>
      </c>
      <c r="E320" s="52" t="s">
        <v>81</v>
      </c>
      <c r="F320" s="52" t="s">
        <v>86</v>
      </c>
      <c r="G320" s="52" t="s">
        <v>493</v>
      </c>
      <c r="H320" s="53"/>
      <c r="I320" s="54" t="s">
        <v>181</v>
      </c>
      <c r="J320" s="54">
        <v>5.0</v>
      </c>
      <c r="K320" s="54" t="s">
        <v>78</v>
      </c>
      <c r="L320" s="54" t="s">
        <v>120</v>
      </c>
      <c r="M320" s="52" t="s">
        <v>73</v>
      </c>
      <c r="N320" s="55" t="s">
        <v>80</v>
      </c>
    </row>
    <row r="321">
      <c r="A321" s="48">
        <v>882.0</v>
      </c>
      <c r="B321" s="49">
        <v>45406.0</v>
      </c>
      <c r="C321" s="50">
        <v>15.8</v>
      </c>
      <c r="D321" s="51">
        <v>106.77982635498047</v>
      </c>
      <c r="E321" s="52" t="s">
        <v>81</v>
      </c>
      <c r="F321" s="52" t="s">
        <v>86</v>
      </c>
      <c r="G321" s="52" t="s">
        <v>494</v>
      </c>
      <c r="H321" s="53"/>
      <c r="I321" s="54" t="s">
        <v>181</v>
      </c>
      <c r="J321" s="54">
        <v>4.0</v>
      </c>
      <c r="K321" s="54" t="s">
        <v>78</v>
      </c>
      <c r="L321" s="54" t="s">
        <v>117</v>
      </c>
      <c r="M321" s="52" t="s">
        <v>73</v>
      </c>
      <c r="N321" s="55" t="s">
        <v>80</v>
      </c>
    </row>
    <row r="322">
      <c r="A322" s="48">
        <v>883.0</v>
      </c>
      <c r="B322" s="49">
        <v>45439.0</v>
      </c>
      <c r="C322" s="50">
        <v>21.0</v>
      </c>
      <c r="D322" s="51">
        <v>146.95505905151367</v>
      </c>
      <c r="E322" s="52" t="s">
        <v>81</v>
      </c>
      <c r="F322" s="52" t="s">
        <v>86</v>
      </c>
      <c r="G322" s="52" t="s">
        <v>495</v>
      </c>
      <c r="H322" s="53"/>
      <c r="I322" s="54" t="s">
        <v>181</v>
      </c>
      <c r="J322" s="54">
        <v>5.0</v>
      </c>
      <c r="K322" s="54" t="s">
        <v>78</v>
      </c>
      <c r="L322" s="54" t="s">
        <v>120</v>
      </c>
      <c r="M322" s="52" t="s">
        <v>73</v>
      </c>
      <c r="N322" s="55" t="s">
        <v>80</v>
      </c>
    </row>
    <row r="323">
      <c r="A323" s="48">
        <v>884.0</v>
      </c>
      <c r="B323" s="49">
        <v>45406.0</v>
      </c>
      <c r="C323" s="50">
        <v>21.0</v>
      </c>
      <c r="D323" s="51">
        <v>142.77133512496948</v>
      </c>
      <c r="E323" s="52" t="s">
        <v>81</v>
      </c>
      <c r="F323" s="52" t="s">
        <v>86</v>
      </c>
      <c r="G323" s="52" t="s">
        <v>496</v>
      </c>
      <c r="H323" s="53"/>
      <c r="I323" s="54" t="s">
        <v>181</v>
      </c>
      <c r="J323" s="54">
        <v>4.0</v>
      </c>
      <c r="K323" s="54" t="s">
        <v>78</v>
      </c>
      <c r="L323" s="54" t="s">
        <v>117</v>
      </c>
      <c r="M323" s="52" t="s">
        <v>73</v>
      </c>
      <c r="N323" s="55" t="s">
        <v>80</v>
      </c>
    </row>
    <row r="324">
      <c r="A324" s="48">
        <v>885.0</v>
      </c>
      <c r="B324" s="49">
        <v>45450.0</v>
      </c>
      <c r="C324" s="50">
        <v>15.8</v>
      </c>
      <c r="D324" s="51">
        <v>102.8176589012146</v>
      </c>
      <c r="E324" s="52" t="s">
        <v>81</v>
      </c>
      <c r="F324" s="52" t="s">
        <v>86</v>
      </c>
      <c r="G324" s="52" t="s">
        <v>497</v>
      </c>
      <c r="H324" s="53"/>
      <c r="I324" s="54" t="s">
        <v>181</v>
      </c>
      <c r="J324" s="54">
        <v>6.0</v>
      </c>
      <c r="K324" s="54" t="s">
        <v>78</v>
      </c>
      <c r="L324" s="54" t="s">
        <v>122</v>
      </c>
      <c r="M324" s="52" t="s">
        <v>73</v>
      </c>
      <c r="N324" s="55" t="s">
        <v>80</v>
      </c>
    </row>
    <row r="325">
      <c r="A325" s="48">
        <v>886.0</v>
      </c>
      <c r="B325" s="49">
        <v>45421.0</v>
      </c>
      <c r="C325" s="50">
        <v>15.8</v>
      </c>
      <c r="D325" s="51">
        <v>104.60198774337769</v>
      </c>
      <c r="E325" s="52" t="s">
        <v>81</v>
      </c>
      <c r="F325" s="52" t="s">
        <v>86</v>
      </c>
      <c r="G325" s="52" t="s">
        <v>498</v>
      </c>
      <c r="H325" s="53"/>
      <c r="I325" s="54" t="s">
        <v>181</v>
      </c>
      <c r="J325" s="54">
        <v>5.0</v>
      </c>
      <c r="K325" s="54" t="s">
        <v>78</v>
      </c>
      <c r="L325" s="54" t="s">
        <v>120</v>
      </c>
      <c r="M325" s="52" t="s">
        <v>73</v>
      </c>
      <c r="N325" s="55" t="s">
        <v>80</v>
      </c>
    </row>
    <row r="326">
      <c r="A326" s="48">
        <v>887.0</v>
      </c>
      <c r="B326" s="49">
        <v>45406.0</v>
      </c>
      <c r="C326" s="50">
        <v>15.8</v>
      </c>
      <c r="D326" s="51">
        <v>106.77982635498047</v>
      </c>
      <c r="E326" s="52" t="s">
        <v>81</v>
      </c>
      <c r="F326" s="52" t="s">
        <v>86</v>
      </c>
      <c r="G326" s="52" t="s">
        <v>499</v>
      </c>
      <c r="H326" s="53"/>
      <c r="I326" s="54" t="s">
        <v>181</v>
      </c>
      <c r="J326" s="54">
        <v>4.0</v>
      </c>
      <c r="K326" s="54" t="s">
        <v>78</v>
      </c>
      <c r="L326" s="54" t="s">
        <v>117</v>
      </c>
      <c r="M326" s="52" t="s">
        <v>73</v>
      </c>
      <c r="N326" s="55" t="s">
        <v>80</v>
      </c>
    </row>
    <row r="327">
      <c r="A327" s="48">
        <v>889.0</v>
      </c>
      <c r="B327" s="49">
        <v>45404.0</v>
      </c>
      <c r="C327" s="50">
        <v>21.0</v>
      </c>
      <c r="D327" s="51">
        <v>144.1097502708435</v>
      </c>
      <c r="E327" s="52" t="s">
        <v>81</v>
      </c>
      <c r="F327" s="52" t="s">
        <v>86</v>
      </c>
      <c r="G327" s="52" t="s">
        <v>500</v>
      </c>
      <c r="H327" s="53"/>
      <c r="I327" s="54" t="s">
        <v>181</v>
      </c>
      <c r="J327" s="54">
        <v>4.0</v>
      </c>
      <c r="K327" s="54" t="s">
        <v>78</v>
      </c>
      <c r="L327" s="54" t="s">
        <v>117</v>
      </c>
      <c r="M327" s="52" t="s">
        <v>73</v>
      </c>
      <c r="N327" s="55" t="s">
        <v>80</v>
      </c>
    </row>
    <row r="328">
      <c r="A328" s="48">
        <v>890.0</v>
      </c>
      <c r="B328" s="49">
        <v>45444.0</v>
      </c>
      <c r="C328" s="50">
        <v>15.8</v>
      </c>
      <c r="D328" s="51">
        <v>113.56100072860718</v>
      </c>
      <c r="E328" s="52" t="s">
        <v>81</v>
      </c>
      <c r="F328" s="52" t="s">
        <v>86</v>
      </c>
      <c r="G328" s="52" t="s">
        <v>501</v>
      </c>
      <c r="H328" s="53"/>
      <c r="I328" s="54" t="s">
        <v>181</v>
      </c>
      <c r="J328" s="54">
        <v>6.0</v>
      </c>
      <c r="K328" s="54" t="s">
        <v>78</v>
      </c>
      <c r="L328" s="54" t="s">
        <v>122</v>
      </c>
      <c r="M328" s="52" t="s">
        <v>73</v>
      </c>
      <c r="N328" s="55" t="s">
        <v>80</v>
      </c>
    </row>
    <row r="329">
      <c r="A329" s="48">
        <v>891.0</v>
      </c>
      <c r="B329" s="49">
        <v>45461.0</v>
      </c>
      <c r="C329" s="50">
        <v>21.0</v>
      </c>
      <c r="D329" s="51">
        <v>118.45614910125732</v>
      </c>
      <c r="E329" s="52" t="s">
        <v>81</v>
      </c>
      <c r="F329" s="52" t="s">
        <v>86</v>
      </c>
      <c r="G329" s="52" t="s">
        <v>502</v>
      </c>
      <c r="H329" s="53"/>
      <c r="I329" s="54" t="s">
        <v>181</v>
      </c>
      <c r="J329" s="54">
        <v>6.0</v>
      </c>
      <c r="K329" s="54" t="s">
        <v>78</v>
      </c>
      <c r="L329" s="54" t="s">
        <v>122</v>
      </c>
      <c r="M329" s="52" t="s">
        <v>73</v>
      </c>
      <c r="N329" s="55" t="s">
        <v>80</v>
      </c>
    </row>
    <row r="330">
      <c r="A330" s="48">
        <v>892.0</v>
      </c>
      <c r="B330" s="49">
        <v>45405.0</v>
      </c>
      <c r="C330" s="50">
        <v>15.8</v>
      </c>
      <c r="D330" s="51">
        <v>108.42543115615845</v>
      </c>
      <c r="E330" s="52" t="s">
        <v>81</v>
      </c>
      <c r="F330" s="52" t="s">
        <v>86</v>
      </c>
      <c r="G330" s="52" t="s">
        <v>503</v>
      </c>
      <c r="H330" s="53"/>
      <c r="I330" s="54" t="s">
        <v>181</v>
      </c>
      <c r="J330" s="54">
        <v>4.0</v>
      </c>
      <c r="K330" s="54" t="s">
        <v>78</v>
      </c>
      <c r="L330" s="54" t="s">
        <v>117</v>
      </c>
      <c r="M330" s="52" t="s">
        <v>73</v>
      </c>
      <c r="N330" s="55" t="s">
        <v>80</v>
      </c>
    </row>
    <row r="331">
      <c r="A331" s="48">
        <v>893.0</v>
      </c>
      <c r="B331" s="49">
        <v>45439.0</v>
      </c>
      <c r="C331" s="50">
        <v>15.8</v>
      </c>
      <c r="D331" s="51">
        <v>110.56618728637696</v>
      </c>
      <c r="E331" s="52" t="s">
        <v>81</v>
      </c>
      <c r="F331" s="52" t="s">
        <v>86</v>
      </c>
      <c r="G331" s="52" t="s">
        <v>504</v>
      </c>
      <c r="H331" s="53"/>
      <c r="I331" s="54" t="s">
        <v>181</v>
      </c>
      <c r="J331" s="54">
        <v>5.0</v>
      </c>
      <c r="K331" s="54" t="s">
        <v>78</v>
      </c>
      <c r="L331" s="54" t="s">
        <v>120</v>
      </c>
      <c r="M331" s="52" t="s">
        <v>73</v>
      </c>
      <c r="N331" s="55" t="s">
        <v>80</v>
      </c>
    </row>
    <row r="332">
      <c r="A332" s="48">
        <v>894.0</v>
      </c>
      <c r="B332" s="49">
        <v>45402.0</v>
      </c>
      <c r="C332" s="50">
        <v>14.18</v>
      </c>
      <c r="D332" s="51">
        <v>106.03677791595459</v>
      </c>
      <c r="E332" s="52" t="s">
        <v>81</v>
      </c>
      <c r="F332" s="52" t="s">
        <v>93</v>
      </c>
      <c r="G332" s="52" t="s">
        <v>505</v>
      </c>
      <c r="H332" s="53"/>
      <c r="I332" s="54" t="s">
        <v>181</v>
      </c>
      <c r="J332" s="54">
        <v>4.0</v>
      </c>
      <c r="K332" s="54" t="s">
        <v>78</v>
      </c>
      <c r="L332" s="54" t="s">
        <v>117</v>
      </c>
      <c r="M332" s="52" t="s">
        <v>73</v>
      </c>
      <c r="N332" s="55" t="s">
        <v>80</v>
      </c>
    </row>
    <row r="333">
      <c r="A333" s="48">
        <v>895.0</v>
      </c>
      <c r="B333" s="49">
        <v>45390.0</v>
      </c>
      <c r="C333" s="50">
        <v>25073.0</v>
      </c>
      <c r="D333" s="51">
        <v>210097.73074436188</v>
      </c>
      <c r="E333" s="52" t="s">
        <v>81</v>
      </c>
      <c r="F333" s="52" t="s">
        <v>84</v>
      </c>
      <c r="G333" s="52" t="s">
        <v>506</v>
      </c>
      <c r="H333" s="53"/>
      <c r="I333" s="54" t="s">
        <v>181</v>
      </c>
      <c r="J333" s="54">
        <v>4.0</v>
      </c>
      <c r="K333" s="54" t="s">
        <v>78</v>
      </c>
      <c r="L333" s="54" t="s">
        <v>117</v>
      </c>
      <c r="M333" s="52" t="s">
        <v>73</v>
      </c>
      <c r="N333" s="55" t="s">
        <v>80</v>
      </c>
    </row>
    <row r="334">
      <c r="A334" s="48">
        <v>896.0</v>
      </c>
      <c r="B334" s="49">
        <v>45392.0</v>
      </c>
      <c r="C334" s="50">
        <v>43.1499</v>
      </c>
      <c r="D334" s="51">
        <v>276.93510069966317</v>
      </c>
      <c r="E334" s="52" t="s">
        <v>50</v>
      </c>
      <c r="F334" s="52" t="s">
        <v>157</v>
      </c>
      <c r="G334" s="52" t="s">
        <v>507</v>
      </c>
      <c r="H334" s="53"/>
      <c r="I334" s="54" t="s">
        <v>181</v>
      </c>
      <c r="J334" s="54">
        <v>4.0</v>
      </c>
      <c r="K334" s="54" t="s">
        <v>78</v>
      </c>
      <c r="L334" s="54" t="s">
        <v>117</v>
      </c>
      <c r="M334" s="52" t="s">
        <v>73</v>
      </c>
      <c r="N334" s="55" t="s">
        <v>80</v>
      </c>
    </row>
    <row r="335">
      <c r="A335" s="48">
        <v>897.0</v>
      </c>
      <c r="B335" s="49">
        <v>45396.0</v>
      </c>
      <c r="C335" s="50">
        <v>43.1499</v>
      </c>
      <c r="D335" s="51">
        <v>289.1063587419033</v>
      </c>
      <c r="E335" s="52" t="s">
        <v>50</v>
      </c>
      <c r="F335" s="52" t="s">
        <v>157</v>
      </c>
      <c r="G335" s="52" t="s">
        <v>508</v>
      </c>
      <c r="H335" s="53"/>
      <c r="I335" s="54" t="s">
        <v>181</v>
      </c>
      <c r="J335" s="54">
        <v>4.0</v>
      </c>
      <c r="K335" s="54" t="s">
        <v>78</v>
      </c>
      <c r="L335" s="54" t="s">
        <v>117</v>
      </c>
      <c r="M335" s="52" t="s">
        <v>73</v>
      </c>
      <c r="N335" s="55" t="s">
        <v>80</v>
      </c>
    </row>
    <row r="336">
      <c r="A336" s="48">
        <v>898.0</v>
      </c>
      <c r="B336" s="49">
        <v>45395.0</v>
      </c>
      <c r="C336" s="50">
        <v>43.1499</v>
      </c>
      <c r="D336" s="51">
        <v>289.6450452710152</v>
      </c>
      <c r="E336" s="52" t="s">
        <v>50</v>
      </c>
      <c r="F336" s="52" t="s">
        <v>157</v>
      </c>
      <c r="G336" s="52" t="s">
        <v>509</v>
      </c>
      <c r="H336" s="53"/>
      <c r="I336" s="54" t="s">
        <v>181</v>
      </c>
      <c r="J336" s="54">
        <v>4.0</v>
      </c>
      <c r="K336" s="54" t="s">
        <v>78</v>
      </c>
      <c r="L336" s="54" t="s">
        <v>117</v>
      </c>
      <c r="M336" s="52" t="s">
        <v>73</v>
      </c>
      <c r="N336" s="55" t="s">
        <v>80</v>
      </c>
    </row>
    <row r="337">
      <c r="A337" s="48">
        <v>899.0</v>
      </c>
      <c r="B337" s="49">
        <v>45392.0</v>
      </c>
      <c r="C337" s="50">
        <v>158.2417582418</v>
      </c>
      <c r="D337" s="51">
        <v>1015.5920929963833</v>
      </c>
      <c r="E337" s="52" t="s">
        <v>50</v>
      </c>
      <c r="F337" s="52" t="s">
        <v>157</v>
      </c>
      <c r="G337" s="52" t="s">
        <v>510</v>
      </c>
      <c r="H337" s="53"/>
      <c r="I337" s="54" t="s">
        <v>181</v>
      </c>
      <c r="J337" s="54">
        <v>4.0</v>
      </c>
      <c r="K337" s="54" t="s">
        <v>78</v>
      </c>
      <c r="L337" s="54" t="s">
        <v>117</v>
      </c>
      <c r="M337" s="52" t="s">
        <v>73</v>
      </c>
      <c r="N337" s="55" t="s">
        <v>80</v>
      </c>
    </row>
    <row r="338">
      <c r="A338" s="48">
        <v>900.0</v>
      </c>
      <c r="B338" s="49">
        <v>45392.0</v>
      </c>
      <c r="C338" s="50">
        <v>54.9450549451</v>
      </c>
      <c r="D338" s="51">
        <v>352.636143401718</v>
      </c>
      <c r="E338" s="52" t="s">
        <v>50</v>
      </c>
      <c r="F338" s="52" t="s">
        <v>157</v>
      </c>
      <c r="G338" s="52" t="s">
        <v>511</v>
      </c>
      <c r="H338" s="53"/>
      <c r="I338" s="54" t="s">
        <v>181</v>
      </c>
      <c r="J338" s="54">
        <v>4.0</v>
      </c>
      <c r="K338" s="54" t="s">
        <v>78</v>
      </c>
      <c r="L338" s="54" t="s">
        <v>117</v>
      </c>
      <c r="M338" s="52" t="s">
        <v>73</v>
      </c>
      <c r="N338" s="55" t="s">
        <v>80</v>
      </c>
    </row>
    <row r="339">
      <c r="A339" s="48">
        <v>901.0</v>
      </c>
      <c r="B339" s="49">
        <v>45422.0</v>
      </c>
      <c r="C339" s="50">
        <v>79.1208791209</v>
      </c>
      <c r="D339" s="51">
        <v>523.8102043069398</v>
      </c>
      <c r="E339" s="52" t="s">
        <v>50</v>
      </c>
      <c r="F339" s="52" t="s">
        <v>157</v>
      </c>
      <c r="G339" s="52" t="s">
        <v>512</v>
      </c>
      <c r="H339" s="53"/>
      <c r="I339" s="54" t="s">
        <v>181</v>
      </c>
      <c r="J339" s="54">
        <v>5.0</v>
      </c>
      <c r="K339" s="54" t="s">
        <v>78</v>
      </c>
      <c r="L339" s="54" t="s">
        <v>120</v>
      </c>
      <c r="M339" s="52" t="s">
        <v>73</v>
      </c>
      <c r="N339" s="55" t="s">
        <v>80</v>
      </c>
    </row>
    <row r="340">
      <c r="A340" s="48">
        <v>902.0</v>
      </c>
      <c r="B340" s="49">
        <v>45396.0</v>
      </c>
      <c r="C340" s="50">
        <v>79.121</v>
      </c>
      <c r="D340" s="51">
        <v>530.1144199643135</v>
      </c>
      <c r="E340" s="52" t="s">
        <v>50</v>
      </c>
      <c r="F340" s="52" t="s">
        <v>157</v>
      </c>
      <c r="G340" s="52" t="s">
        <v>513</v>
      </c>
      <c r="H340" s="53"/>
      <c r="I340" s="54" t="s">
        <v>181</v>
      </c>
      <c r="J340" s="54">
        <v>4.0</v>
      </c>
      <c r="K340" s="54" t="s">
        <v>78</v>
      </c>
      <c r="L340" s="54" t="s">
        <v>117</v>
      </c>
      <c r="M340" s="52" t="s">
        <v>73</v>
      </c>
      <c r="N340" s="55" t="s">
        <v>80</v>
      </c>
    </row>
    <row r="341">
      <c r="A341" s="48">
        <v>903.0</v>
      </c>
      <c r="B341" s="49">
        <v>45398.0</v>
      </c>
      <c r="C341" s="50">
        <v>54.945</v>
      </c>
      <c r="D341" s="51">
        <v>372.8305578160286</v>
      </c>
      <c r="E341" s="52" t="s">
        <v>50</v>
      </c>
      <c r="F341" s="52" t="s">
        <v>157</v>
      </c>
      <c r="G341" s="52" t="s">
        <v>514</v>
      </c>
      <c r="H341" s="53"/>
      <c r="I341" s="54" t="s">
        <v>181</v>
      </c>
      <c r="J341" s="54">
        <v>4.0</v>
      </c>
      <c r="K341" s="54" t="s">
        <v>78</v>
      </c>
      <c r="L341" s="54" t="s">
        <v>117</v>
      </c>
      <c r="M341" s="52" t="s">
        <v>73</v>
      </c>
      <c r="N341" s="55" t="s">
        <v>80</v>
      </c>
    </row>
    <row r="342">
      <c r="A342" s="48">
        <v>904.0</v>
      </c>
      <c r="B342" s="49">
        <v>45398.0</v>
      </c>
      <c r="C342" s="50">
        <v>54.945</v>
      </c>
      <c r="D342" s="51">
        <v>367.45335963964465</v>
      </c>
      <c r="E342" s="52" t="s">
        <v>50</v>
      </c>
      <c r="F342" s="52" t="s">
        <v>157</v>
      </c>
      <c r="G342" s="52" t="s">
        <v>515</v>
      </c>
      <c r="H342" s="53"/>
      <c r="I342" s="54" t="s">
        <v>181</v>
      </c>
      <c r="J342" s="54">
        <v>4.0</v>
      </c>
      <c r="K342" s="54" t="s">
        <v>78</v>
      </c>
      <c r="L342" s="54" t="s">
        <v>117</v>
      </c>
      <c r="M342" s="52" t="s">
        <v>73</v>
      </c>
      <c r="N342" s="55" t="s">
        <v>80</v>
      </c>
    </row>
    <row r="343">
      <c r="A343" s="48">
        <v>905.0</v>
      </c>
      <c r="B343" s="49">
        <v>45393.0</v>
      </c>
      <c r="C343" s="50">
        <v>2.6399155227</v>
      </c>
      <c r="D343" s="51">
        <v>16.942919244715014</v>
      </c>
      <c r="E343" s="52" t="s">
        <v>49</v>
      </c>
      <c r="F343" s="52" t="s">
        <v>140</v>
      </c>
      <c r="G343" s="52" t="s">
        <v>296</v>
      </c>
      <c r="H343" s="53"/>
      <c r="I343" s="54" t="s">
        <v>181</v>
      </c>
      <c r="J343" s="54">
        <v>4.0</v>
      </c>
      <c r="K343" s="54" t="s">
        <v>78</v>
      </c>
      <c r="L343" s="54" t="s">
        <v>117</v>
      </c>
      <c r="M343" s="52" t="s">
        <v>73</v>
      </c>
      <c r="N343" s="55" t="s">
        <v>80</v>
      </c>
    </row>
    <row r="344">
      <c r="A344" s="48">
        <v>906.0</v>
      </c>
      <c r="B344" s="49">
        <v>45393.0</v>
      </c>
      <c r="C344" s="50">
        <v>1.6895459345</v>
      </c>
      <c r="D344" s="51">
        <v>10.843468316437905</v>
      </c>
      <c r="E344" s="52" t="s">
        <v>49</v>
      </c>
      <c r="F344" s="52" t="s">
        <v>140</v>
      </c>
      <c r="G344" s="52" t="s">
        <v>516</v>
      </c>
      <c r="H344" s="53"/>
      <c r="I344" s="54" t="s">
        <v>181</v>
      </c>
      <c r="J344" s="54">
        <v>4.0</v>
      </c>
      <c r="K344" s="54" t="s">
        <v>78</v>
      </c>
      <c r="L344" s="54" t="s">
        <v>117</v>
      </c>
      <c r="M344" s="52" t="s">
        <v>73</v>
      </c>
      <c r="N344" s="55" t="s">
        <v>80</v>
      </c>
    </row>
    <row r="345">
      <c r="A345" s="48">
        <v>907.0</v>
      </c>
      <c r="B345" s="49">
        <v>45393.0</v>
      </c>
      <c r="C345" s="50">
        <v>27.5771940352</v>
      </c>
      <c r="D345" s="51">
        <v>189.43729144778987</v>
      </c>
      <c r="E345" s="52" t="s">
        <v>49</v>
      </c>
      <c r="F345" s="52" t="s">
        <v>140</v>
      </c>
      <c r="G345" s="52" t="s">
        <v>517</v>
      </c>
      <c r="H345" s="53"/>
      <c r="I345" s="54" t="s">
        <v>181</v>
      </c>
      <c r="J345" s="54">
        <v>4.0</v>
      </c>
      <c r="K345" s="54" t="s">
        <v>78</v>
      </c>
      <c r="L345" s="54" t="s">
        <v>117</v>
      </c>
      <c r="M345" s="52" t="s">
        <v>73</v>
      </c>
      <c r="N345" s="55" t="s">
        <v>80</v>
      </c>
    </row>
    <row r="346">
      <c r="A346" s="48">
        <v>908.0</v>
      </c>
      <c r="B346" s="49">
        <v>45393.0</v>
      </c>
      <c r="C346" s="50">
        <v>28.303513257</v>
      </c>
      <c r="D346" s="51">
        <v>194.4266295917879</v>
      </c>
      <c r="E346" s="52" t="s">
        <v>49</v>
      </c>
      <c r="F346" s="52" t="s">
        <v>140</v>
      </c>
      <c r="G346" s="52" t="s">
        <v>518</v>
      </c>
      <c r="H346" s="53"/>
      <c r="I346" s="54" t="s">
        <v>181</v>
      </c>
      <c r="J346" s="54">
        <v>4.0</v>
      </c>
      <c r="K346" s="54" t="s">
        <v>78</v>
      </c>
      <c r="L346" s="54" t="s">
        <v>117</v>
      </c>
      <c r="M346" s="52" t="s">
        <v>73</v>
      </c>
      <c r="N346" s="55" t="s">
        <v>80</v>
      </c>
    </row>
    <row r="347">
      <c r="A347" s="48">
        <v>909.0</v>
      </c>
      <c r="B347" s="49">
        <v>45393.0</v>
      </c>
      <c r="C347" s="50">
        <v>46.4031161503</v>
      </c>
      <c r="D347" s="51">
        <v>318.7590668952652</v>
      </c>
      <c r="E347" s="52" t="s">
        <v>49</v>
      </c>
      <c r="F347" s="52" t="s">
        <v>140</v>
      </c>
      <c r="G347" s="52" t="s">
        <v>519</v>
      </c>
      <c r="H347" s="53"/>
      <c r="I347" s="54" t="s">
        <v>181</v>
      </c>
      <c r="J347" s="54">
        <v>4.0</v>
      </c>
      <c r="K347" s="54" t="s">
        <v>78</v>
      </c>
      <c r="L347" s="54" t="s">
        <v>117</v>
      </c>
      <c r="M347" s="52" t="s">
        <v>73</v>
      </c>
      <c r="N347" s="55" t="s">
        <v>80</v>
      </c>
    </row>
    <row r="348">
      <c r="A348" s="48">
        <v>910.0</v>
      </c>
      <c r="B348" s="49">
        <v>45393.0</v>
      </c>
      <c r="C348" s="50">
        <v>41.6005479566</v>
      </c>
      <c r="D348" s="51">
        <v>285.76856360306783</v>
      </c>
      <c r="E348" s="52" t="s">
        <v>49</v>
      </c>
      <c r="F348" s="52" t="s">
        <v>140</v>
      </c>
      <c r="G348" s="52" t="s">
        <v>520</v>
      </c>
      <c r="H348" s="53"/>
      <c r="I348" s="54" t="s">
        <v>181</v>
      </c>
      <c r="J348" s="54">
        <v>4.0</v>
      </c>
      <c r="K348" s="54" t="s">
        <v>78</v>
      </c>
      <c r="L348" s="54" t="s">
        <v>117</v>
      </c>
      <c r="M348" s="52" t="s">
        <v>73</v>
      </c>
      <c r="N348" s="55" t="s">
        <v>80</v>
      </c>
    </row>
    <row r="349">
      <c r="A349" s="48">
        <v>911.0</v>
      </c>
      <c r="B349" s="49">
        <v>45393.0</v>
      </c>
      <c r="C349" s="50">
        <v>46.9326446009</v>
      </c>
      <c r="D349" s="51">
        <v>322.3965811143757</v>
      </c>
      <c r="E349" s="52" t="s">
        <v>49</v>
      </c>
      <c r="F349" s="52" t="s">
        <v>140</v>
      </c>
      <c r="G349" s="52" t="s">
        <v>521</v>
      </c>
      <c r="H349" s="53"/>
      <c r="I349" s="54" t="s">
        <v>181</v>
      </c>
      <c r="J349" s="54">
        <v>4.0</v>
      </c>
      <c r="K349" s="54" t="s">
        <v>78</v>
      </c>
      <c r="L349" s="54" t="s">
        <v>117</v>
      </c>
      <c r="M349" s="52" t="s">
        <v>73</v>
      </c>
      <c r="N349" s="55" t="s">
        <v>80</v>
      </c>
    </row>
    <row r="350">
      <c r="A350" s="48">
        <v>912.0</v>
      </c>
      <c r="B350" s="49">
        <v>45393.0</v>
      </c>
      <c r="C350" s="50">
        <v>44.5058751775</v>
      </c>
      <c r="D350" s="51">
        <v>305.72626193866785</v>
      </c>
      <c r="E350" s="52" t="s">
        <v>49</v>
      </c>
      <c r="F350" s="52" t="s">
        <v>140</v>
      </c>
      <c r="G350" s="52" t="s">
        <v>522</v>
      </c>
      <c r="H350" s="53"/>
      <c r="I350" s="54" t="s">
        <v>181</v>
      </c>
      <c r="J350" s="54">
        <v>4.0</v>
      </c>
      <c r="K350" s="54" t="s">
        <v>78</v>
      </c>
      <c r="L350" s="54" t="s">
        <v>117</v>
      </c>
      <c r="M350" s="52" t="s">
        <v>73</v>
      </c>
      <c r="N350" s="55" t="s">
        <v>80</v>
      </c>
    </row>
    <row r="351">
      <c r="A351" s="48">
        <v>913.0</v>
      </c>
      <c r="B351" s="49">
        <v>45393.0</v>
      </c>
      <c r="C351" s="50">
        <v>42.0309668041</v>
      </c>
      <c r="D351" s="51">
        <v>288.72525965250645</v>
      </c>
      <c r="E351" s="52" t="s">
        <v>49</v>
      </c>
      <c r="F351" s="52" t="s">
        <v>140</v>
      </c>
      <c r="G351" s="52" t="s">
        <v>523</v>
      </c>
      <c r="H351" s="53"/>
      <c r="I351" s="54" t="s">
        <v>181</v>
      </c>
      <c r="J351" s="54">
        <v>4.0</v>
      </c>
      <c r="K351" s="54" t="s">
        <v>78</v>
      </c>
      <c r="L351" s="54" t="s">
        <v>117</v>
      </c>
      <c r="M351" s="52" t="s">
        <v>73</v>
      </c>
      <c r="N351" s="55" t="s">
        <v>80</v>
      </c>
    </row>
    <row r="352">
      <c r="A352" s="48">
        <v>914.0</v>
      </c>
      <c r="B352" s="49">
        <v>45393.0</v>
      </c>
      <c r="C352" s="50">
        <v>41.6232015801</v>
      </c>
      <c r="D352" s="51">
        <v>267.13678411832643</v>
      </c>
      <c r="E352" s="52" t="s">
        <v>49</v>
      </c>
      <c r="F352" s="52" t="s">
        <v>140</v>
      </c>
      <c r="G352" s="52" t="s">
        <v>524</v>
      </c>
      <c r="H352" s="53"/>
      <c r="I352" s="54" t="s">
        <v>181</v>
      </c>
      <c r="J352" s="54">
        <v>4.0</v>
      </c>
      <c r="K352" s="54" t="s">
        <v>78</v>
      </c>
      <c r="L352" s="54" t="s">
        <v>117</v>
      </c>
      <c r="M352" s="52" t="s">
        <v>73</v>
      </c>
      <c r="N352" s="55" t="s">
        <v>80</v>
      </c>
    </row>
    <row r="353">
      <c r="A353" s="48">
        <v>915.0</v>
      </c>
      <c r="B353" s="49">
        <v>45392.0</v>
      </c>
      <c r="C353" s="50">
        <v>40.7255517467</v>
      </c>
      <c r="D353" s="51">
        <v>261.37568740649937</v>
      </c>
      <c r="E353" s="52" t="s">
        <v>49</v>
      </c>
      <c r="F353" s="52" t="s">
        <v>140</v>
      </c>
      <c r="G353" s="52" t="s">
        <v>525</v>
      </c>
      <c r="H353" s="53"/>
      <c r="I353" s="54" t="s">
        <v>181</v>
      </c>
      <c r="J353" s="54">
        <v>4.0</v>
      </c>
      <c r="K353" s="54" t="s">
        <v>78</v>
      </c>
      <c r="L353" s="54" t="s">
        <v>117</v>
      </c>
      <c r="M353" s="52" t="s">
        <v>73</v>
      </c>
      <c r="N353" s="55" t="s">
        <v>80</v>
      </c>
    </row>
    <row r="354">
      <c r="A354" s="48">
        <v>916.0</v>
      </c>
      <c r="B354" s="49">
        <v>45393.0</v>
      </c>
      <c r="C354" s="50">
        <v>29.7332153043</v>
      </c>
      <c r="D354" s="51">
        <v>190.82711604015506</v>
      </c>
      <c r="E354" s="52" t="s">
        <v>49</v>
      </c>
      <c r="F354" s="52" t="s">
        <v>140</v>
      </c>
      <c r="G354" s="52" t="s">
        <v>526</v>
      </c>
      <c r="H354" s="53"/>
      <c r="I354" s="54" t="s">
        <v>181</v>
      </c>
      <c r="J354" s="54">
        <v>4.0</v>
      </c>
      <c r="K354" s="54" t="s">
        <v>78</v>
      </c>
      <c r="L354" s="54" t="s">
        <v>117</v>
      </c>
      <c r="M354" s="52" t="s">
        <v>73</v>
      </c>
      <c r="N354" s="55" t="s">
        <v>80</v>
      </c>
    </row>
    <row r="355">
      <c r="A355" s="48">
        <v>917.0</v>
      </c>
      <c r="B355" s="49">
        <v>45393.0</v>
      </c>
      <c r="C355" s="50">
        <v>27.647914591</v>
      </c>
      <c r="D355" s="51">
        <v>189.92309542492163</v>
      </c>
      <c r="E355" s="52" t="s">
        <v>49</v>
      </c>
      <c r="F355" s="52" t="s">
        <v>140</v>
      </c>
      <c r="G355" s="52" t="s">
        <v>527</v>
      </c>
      <c r="H355" s="53"/>
      <c r="I355" s="54" t="s">
        <v>181</v>
      </c>
      <c r="J355" s="54">
        <v>4.0</v>
      </c>
      <c r="K355" s="54" t="s">
        <v>78</v>
      </c>
      <c r="L355" s="54" t="s">
        <v>117</v>
      </c>
      <c r="M355" s="52" t="s">
        <v>73</v>
      </c>
      <c r="N355" s="55" t="s">
        <v>80</v>
      </c>
    </row>
    <row r="356">
      <c r="A356" s="48">
        <v>918.0</v>
      </c>
      <c r="B356" s="49">
        <v>45393.0</v>
      </c>
      <c r="C356" s="50">
        <v>27.6402691255</v>
      </c>
      <c r="D356" s="51">
        <v>177.3946339072891</v>
      </c>
      <c r="E356" s="52" t="s">
        <v>49</v>
      </c>
      <c r="F356" s="52" t="s">
        <v>140</v>
      </c>
      <c r="G356" s="52" t="s">
        <v>528</v>
      </c>
      <c r="H356" s="53"/>
      <c r="I356" s="54" t="s">
        <v>181</v>
      </c>
      <c r="J356" s="54">
        <v>4.0</v>
      </c>
      <c r="K356" s="54" t="s">
        <v>78</v>
      </c>
      <c r="L356" s="54" t="s">
        <v>117</v>
      </c>
      <c r="M356" s="52" t="s">
        <v>73</v>
      </c>
      <c r="N356" s="55" t="s">
        <v>80</v>
      </c>
    </row>
    <row r="357">
      <c r="A357" s="48">
        <v>919.0</v>
      </c>
      <c r="B357" s="49">
        <v>45393.0</v>
      </c>
      <c r="C357" s="50">
        <v>7.4983040792</v>
      </c>
      <c r="D357" s="51">
        <v>51.50844619660959</v>
      </c>
      <c r="E357" s="52" t="s">
        <v>49</v>
      </c>
      <c r="F357" s="52" t="s">
        <v>140</v>
      </c>
      <c r="G357" s="52" t="s">
        <v>529</v>
      </c>
      <c r="H357" s="53"/>
      <c r="I357" s="54" t="s">
        <v>181</v>
      </c>
      <c r="J357" s="54">
        <v>4.0</v>
      </c>
      <c r="K357" s="54" t="s">
        <v>78</v>
      </c>
      <c r="L357" s="54" t="s">
        <v>117</v>
      </c>
      <c r="M357" s="52" t="s">
        <v>73</v>
      </c>
      <c r="N357" s="55" t="s">
        <v>80</v>
      </c>
    </row>
    <row r="358">
      <c r="A358" s="48">
        <v>920.0</v>
      </c>
      <c r="B358" s="49">
        <v>45393.0</v>
      </c>
      <c r="C358" s="50">
        <v>7.4983040792</v>
      </c>
      <c r="D358" s="51">
        <v>51.50844619660959</v>
      </c>
      <c r="E358" s="52" t="s">
        <v>49</v>
      </c>
      <c r="F358" s="52" t="s">
        <v>140</v>
      </c>
      <c r="G358" s="52" t="s">
        <v>530</v>
      </c>
      <c r="H358" s="53"/>
      <c r="I358" s="54" t="s">
        <v>181</v>
      </c>
      <c r="J358" s="54">
        <v>4.0</v>
      </c>
      <c r="K358" s="54" t="s">
        <v>78</v>
      </c>
      <c r="L358" s="54" t="s">
        <v>117</v>
      </c>
      <c r="M358" s="52" t="s">
        <v>73</v>
      </c>
      <c r="N358" s="55" t="s">
        <v>80</v>
      </c>
    </row>
    <row r="359">
      <c r="A359" s="48">
        <v>921.0</v>
      </c>
      <c r="B359" s="49">
        <v>45393.0</v>
      </c>
      <c r="C359" s="50">
        <v>7.4983040792</v>
      </c>
      <c r="D359" s="51">
        <v>48.12394919223329</v>
      </c>
      <c r="E359" s="52" t="s">
        <v>49</v>
      </c>
      <c r="F359" s="52" t="s">
        <v>140</v>
      </c>
      <c r="G359" s="52" t="s">
        <v>531</v>
      </c>
      <c r="H359" s="53"/>
      <c r="I359" s="54" t="s">
        <v>181</v>
      </c>
      <c r="J359" s="54">
        <v>4.0</v>
      </c>
      <c r="K359" s="54" t="s">
        <v>78</v>
      </c>
      <c r="L359" s="54" t="s">
        <v>117</v>
      </c>
      <c r="M359" s="52" t="s">
        <v>73</v>
      </c>
      <c r="N359" s="55" t="s">
        <v>80</v>
      </c>
    </row>
    <row r="360">
      <c r="A360" s="48">
        <v>922.0</v>
      </c>
      <c r="B360" s="49">
        <v>45393.0</v>
      </c>
      <c r="C360" s="50">
        <v>2.6399155227</v>
      </c>
      <c r="D360" s="51">
        <v>16.942919244715014</v>
      </c>
      <c r="E360" s="52" t="s">
        <v>49</v>
      </c>
      <c r="F360" s="52" t="s">
        <v>140</v>
      </c>
      <c r="G360" s="52" t="s">
        <v>296</v>
      </c>
      <c r="H360" s="53"/>
      <c r="I360" s="54" t="s">
        <v>181</v>
      </c>
      <c r="J360" s="54">
        <v>4.0</v>
      </c>
      <c r="K360" s="54" t="s">
        <v>78</v>
      </c>
      <c r="L360" s="54" t="s">
        <v>117</v>
      </c>
      <c r="M360" s="52" t="s">
        <v>73</v>
      </c>
      <c r="N360" s="55" t="s">
        <v>80</v>
      </c>
    </row>
    <row r="361">
      <c r="A361" s="48">
        <v>923.0</v>
      </c>
      <c r="B361" s="49">
        <v>45393.0</v>
      </c>
      <c r="C361" s="50">
        <v>2.5343189018</v>
      </c>
      <c r="D361" s="51">
        <v>16.265202474977755</v>
      </c>
      <c r="E361" s="52" t="s">
        <v>49</v>
      </c>
      <c r="F361" s="52" t="s">
        <v>140</v>
      </c>
      <c r="G361" s="52" t="s">
        <v>532</v>
      </c>
      <c r="H361" s="53"/>
      <c r="I361" s="54" t="s">
        <v>181</v>
      </c>
      <c r="J361" s="54">
        <v>4.0</v>
      </c>
      <c r="K361" s="54" t="s">
        <v>78</v>
      </c>
      <c r="L361" s="54" t="s">
        <v>117</v>
      </c>
      <c r="M361" s="52" t="s">
        <v>73</v>
      </c>
      <c r="N361" s="55" t="s">
        <v>80</v>
      </c>
    </row>
    <row r="362">
      <c r="A362" s="48">
        <v>924.0</v>
      </c>
      <c r="B362" s="49">
        <v>45393.0</v>
      </c>
      <c r="C362" s="50">
        <v>29.1770030555</v>
      </c>
      <c r="D362" s="51">
        <v>200.4269333690288</v>
      </c>
      <c r="E362" s="52" t="s">
        <v>49</v>
      </c>
      <c r="F362" s="52" t="s">
        <v>140</v>
      </c>
      <c r="G362" s="52" t="s">
        <v>533</v>
      </c>
      <c r="H362" s="53"/>
      <c r="I362" s="54" t="s">
        <v>181</v>
      </c>
      <c r="J362" s="54">
        <v>4.0</v>
      </c>
      <c r="K362" s="54" t="s">
        <v>78</v>
      </c>
      <c r="L362" s="54" t="s">
        <v>117</v>
      </c>
      <c r="M362" s="52" t="s">
        <v>73</v>
      </c>
      <c r="N362" s="55" t="s">
        <v>80</v>
      </c>
    </row>
    <row r="363">
      <c r="A363" s="48">
        <v>925.0</v>
      </c>
      <c r="B363" s="49">
        <v>45393.0</v>
      </c>
      <c r="C363" s="50">
        <v>27.9480934171</v>
      </c>
      <c r="D363" s="51">
        <v>179.37024338012793</v>
      </c>
      <c r="E363" s="52" t="s">
        <v>49</v>
      </c>
      <c r="F363" s="52" t="s">
        <v>140</v>
      </c>
      <c r="G363" s="52" t="s">
        <v>534</v>
      </c>
      <c r="H363" s="53"/>
      <c r="I363" s="54" t="s">
        <v>181</v>
      </c>
      <c r="J363" s="54">
        <v>4.0</v>
      </c>
      <c r="K363" s="54" t="s">
        <v>78</v>
      </c>
      <c r="L363" s="54" t="s">
        <v>117</v>
      </c>
      <c r="M363" s="52" t="s">
        <v>73</v>
      </c>
      <c r="N363" s="55" t="s">
        <v>80</v>
      </c>
    </row>
    <row r="364">
      <c r="A364" s="48">
        <v>926.0</v>
      </c>
      <c r="B364" s="49">
        <v>45393.0</v>
      </c>
      <c r="C364" s="50">
        <v>43.9911756642</v>
      </c>
      <c r="D364" s="51">
        <v>282.3343892445127</v>
      </c>
      <c r="E364" s="52" t="s">
        <v>49</v>
      </c>
      <c r="F364" s="52" t="s">
        <v>140</v>
      </c>
      <c r="G364" s="52" t="s">
        <v>535</v>
      </c>
      <c r="H364" s="53"/>
      <c r="I364" s="54" t="s">
        <v>181</v>
      </c>
      <c r="J364" s="54">
        <v>4.0</v>
      </c>
      <c r="K364" s="54" t="s">
        <v>78</v>
      </c>
      <c r="L364" s="54" t="s">
        <v>117</v>
      </c>
      <c r="M364" s="52" t="s">
        <v>73</v>
      </c>
      <c r="N364" s="55" t="s">
        <v>80</v>
      </c>
    </row>
    <row r="365">
      <c r="A365" s="48">
        <v>927.0</v>
      </c>
      <c r="B365" s="49">
        <v>45393.0</v>
      </c>
      <c r="C365" s="50">
        <v>40.8562638961</v>
      </c>
      <c r="D365" s="51">
        <v>280.65581876365763</v>
      </c>
      <c r="E365" s="52" t="s">
        <v>49</v>
      </c>
      <c r="F365" s="52" t="s">
        <v>140</v>
      </c>
      <c r="G365" s="52" t="s">
        <v>536</v>
      </c>
      <c r="H365" s="53"/>
      <c r="I365" s="54" t="s">
        <v>181</v>
      </c>
      <c r="J365" s="54">
        <v>4.0</v>
      </c>
      <c r="K365" s="54" t="s">
        <v>78</v>
      </c>
      <c r="L365" s="54" t="s">
        <v>117</v>
      </c>
      <c r="M365" s="52" t="s">
        <v>73</v>
      </c>
      <c r="N365" s="55" t="s">
        <v>80</v>
      </c>
    </row>
    <row r="366">
      <c r="A366" s="48">
        <v>928.0</v>
      </c>
      <c r="B366" s="49">
        <v>45393.0</v>
      </c>
      <c r="C366" s="50">
        <v>45.4050151822</v>
      </c>
      <c r="D366" s="51">
        <v>311.9027658609055</v>
      </c>
      <c r="E366" s="52" t="s">
        <v>49</v>
      </c>
      <c r="F366" s="52" t="s">
        <v>140</v>
      </c>
      <c r="G366" s="52" t="s">
        <v>537</v>
      </c>
      <c r="H366" s="53"/>
      <c r="I366" s="54" t="s">
        <v>181</v>
      </c>
      <c r="J366" s="54">
        <v>4.0</v>
      </c>
      <c r="K366" s="54" t="s">
        <v>78</v>
      </c>
      <c r="L366" s="54" t="s">
        <v>117</v>
      </c>
      <c r="M366" s="52" t="s">
        <v>73</v>
      </c>
      <c r="N366" s="55" t="s">
        <v>80</v>
      </c>
    </row>
    <row r="367">
      <c r="A367" s="48">
        <v>929.0</v>
      </c>
      <c r="B367" s="49">
        <v>45393.0</v>
      </c>
      <c r="C367" s="50">
        <v>46.9326446009</v>
      </c>
      <c r="D367" s="51">
        <v>322.3965811143757</v>
      </c>
      <c r="E367" s="52" t="s">
        <v>49</v>
      </c>
      <c r="F367" s="52" t="s">
        <v>140</v>
      </c>
      <c r="G367" s="52" t="s">
        <v>538</v>
      </c>
      <c r="H367" s="53"/>
      <c r="I367" s="54" t="s">
        <v>181</v>
      </c>
      <c r="J367" s="54">
        <v>4.0</v>
      </c>
      <c r="K367" s="54" t="s">
        <v>78</v>
      </c>
      <c r="L367" s="54" t="s">
        <v>117</v>
      </c>
      <c r="M367" s="52" t="s">
        <v>73</v>
      </c>
      <c r="N367" s="55" t="s">
        <v>80</v>
      </c>
    </row>
    <row r="368">
      <c r="A368" s="48">
        <v>930.0</v>
      </c>
      <c r="B368" s="49">
        <v>45393.0</v>
      </c>
      <c r="C368" s="50">
        <v>42.0311446223</v>
      </c>
      <c r="D368" s="51">
        <v>288.7264811472726</v>
      </c>
      <c r="E368" s="52" t="s">
        <v>49</v>
      </c>
      <c r="F368" s="52" t="s">
        <v>140</v>
      </c>
      <c r="G368" s="52" t="s">
        <v>539</v>
      </c>
      <c r="H368" s="53"/>
      <c r="I368" s="54" t="s">
        <v>181</v>
      </c>
      <c r="J368" s="54">
        <v>4.0</v>
      </c>
      <c r="K368" s="54" t="s">
        <v>78</v>
      </c>
      <c r="L368" s="54" t="s">
        <v>117</v>
      </c>
      <c r="M368" s="52" t="s">
        <v>73</v>
      </c>
      <c r="N368" s="55" t="s">
        <v>80</v>
      </c>
    </row>
    <row r="369">
      <c r="A369" s="48">
        <v>931.0</v>
      </c>
      <c r="B369" s="49">
        <v>45393.0</v>
      </c>
      <c r="C369" s="50">
        <v>42.1563135132</v>
      </c>
      <c r="D369" s="51">
        <v>289.58630958505177</v>
      </c>
      <c r="E369" s="52" t="s">
        <v>49</v>
      </c>
      <c r="F369" s="52" t="s">
        <v>140</v>
      </c>
      <c r="G369" s="52" t="s">
        <v>540</v>
      </c>
      <c r="H369" s="53"/>
      <c r="I369" s="54" t="s">
        <v>181</v>
      </c>
      <c r="J369" s="54">
        <v>4.0</v>
      </c>
      <c r="K369" s="54" t="s">
        <v>78</v>
      </c>
      <c r="L369" s="54" t="s">
        <v>117</v>
      </c>
      <c r="M369" s="52" t="s">
        <v>73</v>
      </c>
      <c r="N369" s="55" t="s">
        <v>80</v>
      </c>
    </row>
    <row r="370">
      <c r="A370" s="48">
        <v>932.0</v>
      </c>
      <c r="B370" s="49">
        <v>45393.0</v>
      </c>
      <c r="C370" s="50">
        <v>27.4008445938</v>
      </c>
      <c r="D370" s="51">
        <v>188.2258860928975</v>
      </c>
      <c r="E370" s="52" t="s">
        <v>49</v>
      </c>
      <c r="F370" s="52" t="s">
        <v>140</v>
      </c>
      <c r="G370" s="52" t="s">
        <v>541</v>
      </c>
      <c r="H370" s="53"/>
      <c r="I370" s="54" t="s">
        <v>181</v>
      </c>
      <c r="J370" s="54">
        <v>4.0</v>
      </c>
      <c r="K370" s="54" t="s">
        <v>78</v>
      </c>
      <c r="L370" s="54" t="s">
        <v>117</v>
      </c>
      <c r="M370" s="52" t="s">
        <v>73</v>
      </c>
      <c r="N370" s="55" t="s">
        <v>80</v>
      </c>
    </row>
    <row r="371">
      <c r="A371" s="48">
        <v>933.0</v>
      </c>
      <c r="B371" s="49">
        <v>45393.0</v>
      </c>
      <c r="C371" s="50">
        <v>28.3071654521</v>
      </c>
      <c r="D371" s="51">
        <v>194.45171778410725</v>
      </c>
      <c r="E371" s="52" t="s">
        <v>49</v>
      </c>
      <c r="F371" s="52" t="s">
        <v>140</v>
      </c>
      <c r="G371" s="52" t="s">
        <v>542</v>
      </c>
      <c r="H371" s="53"/>
      <c r="I371" s="54" t="s">
        <v>181</v>
      </c>
      <c r="J371" s="54">
        <v>4.0</v>
      </c>
      <c r="K371" s="54" t="s">
        <v>78</v>
      </c>
      <c r="L371" s="54" t="s">
        <v>117</v>
      </c>
      <c r="M371" s="52" t="s">
        <v>73</v>
      </c>
      <c r="N371" s="55" t="s">
        <v>80</v>
      </c>
    </row>
    <row r="372">
      <c r="A372" s="48">
        <v>934.0</v>
      </c>
      <c r="B372" s="49">
        <v>45393.0</v>
      </c>
      <c r="C372" s="50">
        <v>31.0299683697</v>
      </c>
      <c r="D372" s="51">
        <v>213.15559350104596</v>
      </c>
      <c r="E372" s="52" t="s">
        <v>49</v>
      </c>
      <c r="F372" s="52" t="s">
        <v>140</v>
      </c>
      <c r="G372" s="52" t="s">
        <v>543</v>
      </c>
      <c r="H372" s="53"/>
      <c r="I372" s="54" t="s">
        <v>181</v>
      </c>
      <c r="J372" s="54">
        <v>4.0</v>
      </c>
      <c r="K372" s="54" t="s">
        <v>78</v>
      </c>
      <c r="L372" s="54" t="s">
        <v>117</v>
      </c>
      <c r="M372" s="52" t="s">
        <v>73</v>
      </c>
      <c r="N372" s="55" t="s">
        <v>80</v>
      </c>
    </row>
    <row r="373">
      <c r="A373" s="48">
        <v>935.0</v>
      </c>
      <c r="B373" s="49">
        <v>45393.0</v>
      </c>
      <c r="C373" s="50">
        <v>41.1862546086</v>
      </c>
      <c r="D373" s="51">
        <v>282.92263919140436</v>
      </c>
      <c r="E373" s="52" t="s">
        <v>49</v>
      </c>
      <c r="F373" s="52" t="s">
        <v>140</v>
      </c>
      <c r="G373" s="52" t="s">
        <v>544</v>
      </c>
      <c r="H373" s="53"/>
      <c r="I373" s="54" t="s">
        <v>181</v>
      </c>
      <c r="J373" s="54">
        <v>4.0</v>
      </c>
      <c r="K373" s="54" t="s">
        <v>78</v>
      </c>
      <c r="L373" s="54" t="s">
        <v>117</v>
      </c>
      <c r="M373" s="52" t="s">
        <v>73</v>
      </c>
      <c r="N373" s="55" t="s">
        <v>80</v>
      </c>
    </row>
    <row r="374">
      <c r="A374" s="48">
        <v>936.0</v>
      </c>
      <c r="B374" s="49">
        <v>45393.0</v>
      </c>
      <c r="C374" s="50">
        <v>7.5266020233</v>
      </c>
      <c r="D374" s="51">
        <v>51.70283456973422</v>
      </c>
      <c r="E374" s="52" t="s">
        <v>49</v>
      </c>
      <c r="F374" s="52" t="s">
        <v>140</v>
      </c>
      <c r="G374" s="52" t="s">
        <v>545</v>
      </c>
      <c r="H374" s="53"/>
      <c r="I374" s="54" t="s">
        <v>181</v>
      </c>
      <c r="J374" s="54">
        <v>4.0</v>
      </c>
      <c r="K374" s="54" t="s">
        <v>78</v>
      </c>
      <c r="L374" s="54" t="s">
        <v>117</v>
      </c>
      <c r="M374" s="52" t="s">
        <v>73</v>
      </c>
      <c r="N374" s="55" t="s">
        <v>80</v>
      </c>
    </row>
    <row r="375">
      <c r="A375" s="48">
        <v>937.0</v>
      </c>
      <c r="B375" s="49">
        <v>45393.0</v>
      </c>
      <c r="C375" s="50">
        <v>7.5266020233</v>
      </c>
      <c r="D375" s="51">
        <v>51.70283456973422</v>
      </c>
      <c r="E375" s="52" t="s">
        <v>49</v>
      </c>
      <c r="F375" s="52" t="s">
        <v>140</v>
      </c>
      <c r="G375" s="52" t="s">
        <v>546</v>
      </c>
      <c r="H375" s="53"/>
      <c r="I375" s="54" t="s">
        <v>181</v>
      </c>
      <c r="J375" s="54">
        <v>4.0</v>
      </c>
      <c r="K375" s="54" t="s">
        <v>78</v>
      </c>
      <c r="L375" s="54" t="s">
        <v>117</v>
      </c>
      <c r="M375" s="52" t="s">
        <v>73</v>
      </c>
      <c r="N375" s="55" t="s">
        <v>80</v>
      </c>
    </row>
    <row r="376">
      <c r="A376" s="48">
        <v>938.0</v>
      </c>
      <c r="B376" s="49">
        <v>45393.0</v>
      </c>
      <c r="C376" s="50">
        <v>7.5266020233</v>
      </c>
      <c r="D376" s="51">
        <v>48.30556476953304</v>
      </c>
      <c r="E376" s="52" t="s">
        <v>49</v>
      </c>
      <c r="F376" s="52" t="s">
        <v>140</v>
      </c>
      <c r="G376" s="52" t="s">
        <v>547</v>
      </c>
      <c r="H376" s="53"/>
      <c r="I376" s="54" t="s">
        <v>181</v>
      </c>
      <c r="J376" s="54">
        <v>4.0</v>
      </c>
      <c r="K376" s="54" t="s">
        <v>78</v>
      </c>
      <c r="L376" s="54" t="s">
        <v>117</v>
      </c>
      <c r="M376" s="52" t="s">
        <v>73</v>
      </c>
      <c r="N376" s="55" t="s">
        <v>80</v>
      </c>
    </row>
    <row r="377">
      <c r="A377" s="48">
        <v>939.0</v>
      </c>
      <c r="B377" s="49">
        <v>45393.0</v>
      </c>
      <c r="C377" s="50">
        <v>2.6399155227</v>
      </c>
      <c r="D377" s="51">
        <v>16.942919244715014</v>
      </c>
      <c r="E377" s="52" t="s">
        <v>49</v>
      </c>
      <c r="F377" s="52" t="s">
        <v>140</v>
      </c>
      <c r="G377" s="52" t="s">
        <v>296</v>
      </c>
      <c r="H377" s="53"/>
      <c r="I377" s="54" t="s">
        <v>181</v>
      </c>
      <c r="J377" s="54">
        <v>4.0</v>
      </c>
      <c r="K377" s="54" t="s">
        <v>78</v>
      </c>
      <c r="L377" s="54" t="s">
        <v>117</v>
      </c>
      <c r="M377" s="52" t="s">
        <v>73</v>
      </c>
      <c r="N377" s="55" t="s">
        <v>80</v>
      </c>
    </row>
    <row r="378">
      <c r="A378" s="48">
        <v>940.0</v>
      </c>
      <c r="B378" s="49">
        <v>45393.0</v>
      </c>
      <c r="C378" s="50">
        <v>2.5343189018</v>
      </c>
      <c r="D378" s="51">
        <v>16.265202474977755</v>
      </c>
      <c r="E378" s="52" t="s">
        <v>49</v>
      </c>
      <c r="F378" s="52" t="s">
        <v>140</v>
      </c>
      <c r="G378" s="52" t="s">
        <v>532</v>
      </c>
      <c r="H378" s="53"/>
      <c r="I378" s="54" t="s">
        <v>181</v>
      </c>
      <c r="J378" s="54">
        <v>4.0</v>
      </c>
      <c r="K378" s="54" t="s">
        <v>78</v>
      </c>
      <c r="L378" s="54" t="s">
        <v>117</v>
      </c>
      <c r="M378" s="52" t="s">
        <v>73</v>
      </c>
      <c r="N378" s="55" t="s">
        <v>80</v>
      </c>
    </row>
    <row r="379">
      <c r="A379" s="48">
        <v>941.0</v>
      </c>
      <c r="B379" s="49">
        <v>45393.0</v>
      </c>
      <c r="C379" s="50">
        <v>27.0290015761</v>
      </c>
      <c r="D379" s="51">
        <v>185.6715676938991</v>
      </c>
      <c r="E379" s="52" t="s">
        <v>49</v>
      </c>
      <c r="F379" s="52" t="s">
        <v>140</v>
      </c>
      <c r="G379" s="52" t="s">
        <v>548</v>
      </c>
      <c r="H379" s="53"/>
      <c r="I379" s="54" t="s">
        <v>181</v>
      </c>
      <c r="J379" s="54">
        <v>4.0</v>
      </c>
      <c r="K379" s="54" t="s">
        <v>78</v>
      </c>
      <c r="L379" s="54" t="s">
        <v>117</v>
      </c>
      <c r="M379" s="52" t="s">
        <v>73</v>
      </c>
      <c r="N379" s="55" t="s">
        <v>80</v>
      </c>
    </row>
    <row r="380">
      <c r="A380" s="48">
        <v>942.0</v>
      </c>
      <c r="B380" s="49">
        <v>45393.0</v>
      </c>
      <c r="C380" s="50">
        <v>30.5686286311</v>
      </c>
      <c r="D380" s="51">
        <v>209.98649114762802</v>
      </c>
      <c r="E380" s="52" t="s">
        <v>49</v>
      </c>
      <c r="F380" s="52" t="s">
        <v>140</v>
      </c>
      <c r="G380" s="52" t="s">
        <v>549</v>
      </c>
      <c r="H380" s="53"/>
      <c r="I380" s="54" t="s">
        <v>181</v>
      </c>
      <c r="J380" s="54">
        <v>4.0</v>
      </c>
      <c r="K380" s="54" t="s">
        <v>78</v>
      </c>
      <c r="L380" s="54" t="s">
        <v>117</v>
      </c>
      <c r="M380" s="52" t="s">
        <v>73</v>
      </c>
      <c r="N380" s="55" t="s">
        <v>80</v>
      </c>
    </row>
    <row r="381">
      <c r="A381" s="48">
        <v>943.0</v>
      </c>
      <c r="B381" s="49">
        <v>45393.0</v>
      </c>
      <c r="C381" s="50">
        <v>29.0681975226</v>
      </c>
      <c r="D381" s="51">
        <v>199.67951050139402</v>
      </c>
      <c r="E381" s="52" t="s">
        <v>49</v>
      </c>
      <c r="F381" s="52" t="s">
        <v>140</v>
      </c>
      <c r="G381" s="52" t="s">
        <v>550</v>
      </c>
      <c r="H381" s="53"/>
      <c r="I381" s="54" t="s">
        <v>181</v>
      </c>
      <c r="J381" s="54">
        <v>4.0</v>
      </c>
      <c r="K381" s="54" t="s">
        <v>78</v>
      </c>
      <c r="L381" s="54" t="s">
        <v>117</v>
      </c>
      <c r="M381" s="52" t="s">
        <v>73</v>
      </c>
      <c r="N381" s="55" t="s">
        <v>80</v>
      </c>
    </row>
    <row r="382">
      <c r="A382" s="48">
        <v>944.0</v>
      </c>
      <c r="B382" s="49">
        <v>45393.0</v>
      </c>
      <c r="C382" s="50">
        <v>40.7588776367</v>
      </c>
      <c r="D382" s="51">
        <v>279.98683883838237</v>
      </c>
      <c r="E382" s="52" t="s">
        <v>49</v>
      </c>
      <c r="F382" s="52" t="s">
        <v>140</v>
      </c>
      <c r="G382" s="52" t="s">
        <v>551</v>
      </c>
      <c r="H382" s="53"/>
      <c r="I382" s="54" t="s">
        <v>181</v>
      </c>
      <c r="J382" s="54">
        <v>4.0</v>
      </c>
      <c r="K382" s="54" t="s">
        <v>78</v>
      </c>
      <c r="L382" s="54" t="s">
        <v>117</v>
      </c>
      <c r="M382" s="52" t="s">
        <v>73</v>
      </c>
      <c r="N382" s="55" t="s">
        <v>80</v>
      </c>
    </row>
    <row r="383">
      <c r="A383" s="48">
        <v>945.0</v>
      </c>
      <c r="B383" s="49">
        <v>45393.0</v>
      </c>
      <c r="C383" s="50">
        <v>46.409104585</v>
      </c>
      <c r="D383" s="51">
        <v>318.8002035260672</v>
      </c>
      <c r="E383" s="52" t="s">
        <v>49</v>
      </c>
      <c r="F383" s="52" t="s">
        <v>140</v>
      </c>
      <c r="G383" s="52" t="s">
        <v>552</v>
      </c>
      <c r="H383" s="53"/>
      <c r="I383" s="54" t="s">
        <v>181</v>
      </c>
      <c r="J383" s="54">
        <v>4.0</v>
      </c>
      <c r="K383" s="54" t="s">
        <v>78</v>
      </c>
      <c r="L383" s="54" t="s">
        <v>117</v>
      </c>
      <c r="M383" s="52" t="s">
        <v>73</v>
      </c>
      <c r="N383" s="55" t="s">
        <v>80</v>
      </c>
    </row>
    <row r="384">
      <c r="A384" s="48">
        <v>946.0</v>
      </c>
      <c r="B384" s="49">
        <v>45393.0</v>
      </c>
      <c r="C384" s="50">
        <v>40.6987992742</v>
      </c>
      <c r="D384" s="51">
        <v>279.57413977073645</v>
      </c>
      <c r="E384" s="52" t="s">
        <v>49</v>
      </c>
      <c r="F384" s="52" t="s">
        <v>140</v>
      </c>
      <c r="G384" s="52" t="s">
        <v>553</v>
      </c>
      <c r="H384" s="53"/>
      <c r="I384" s="54" t="s">
        <v>181</v>
      </c>
      <c r="J384" s="54">
        <v>4.0</v>
      </c>
      <c r="K384" s="54" t="s">
        <v>78</v>
      </c>
      <c r="L384" s="54" t="s">
        <v>117</v>
      </c>
      <c r="M384" s="52" t="s">
        <v>73</v>
      </c>
      <c r="N384" s="55" t="s">
        <v>80</v>
      </c>
    </row>
    <row r="385">
      <c r="A385" s="48">
        <v>947.0</v>
      </c>
      <c r="B385" s="49">
        <v>45393.0</v>
      </c>
      <c r="C385" s="50">
        <v>42.4525152839</v>
      </c>
      <c r="D385" s="51">
        <v>291.62102207580864</v>
      </c>
      <c r="E385" s="52" t="s">
        <v>49</v>
      </c>
      <c r="F385" s="52" t="s">
        <v>140</v>
      </c>
      <c r="G385" s="52" t="s">
        <v>554</v>
      </c>
      <c r="H385" s="53"/>
      <c r="I385" s="54" t="s">
        <v>181</v>
      </c>
      <c r="J385" s="54">
        <v>4.0</v>
      </c>
      <c r="K385" s="54" t="s">
        <v>78</v>
      </c>
      <c r="L385" s="54" t="s">
        <v>117</v>
      </c>
      <c r="M385" s="52" t="s">
        <v>73</v>
      </c>
      <c r="N385" s="55" t="s">
        <v>80</v>
      </c>
    </row>
    <row r="386">
      <c r="A386" s="48">
        <v>948.0</v>
      </c>
      <c r="B386" s="49">
        <v>45393.0</v>
      </c>
      <c r="C386" s="50">
        <v>46.9326446009</v>
      </c>
      <c r="D386" s="51">
        <v>322.3965811143757</v>
      </c>
      <c r="E386" s="52" t="s">
        <v>49</v>
      </c>
      <c r="F386" s="52" t="s">
        <v>140</v>
      </c>
      <c r="G386" s="52" t="s">
        <v>555</v>
      </c>
      <c r="H386" s="53"/>
      <c r="I386" s="54" t="s">
        <v>181</v>
      </c>
      <c r="J386" s="54">
        <v>4.0</v>
      </c>
      <c r="K386" s="54" t="s">
        <v>78</v>
      </c>
      <c r="L386" s="54" t="s">
        <v>117</v>
      </c>
      <c r="M386" s="52" t="s">
        <v>73</v>
      </c>
      <c r="N386" s="55" t="s">
        <v>80</v>
      </c>
    </row>
    <row r="387">
      <c r="A387" s="48">
        <v>949.0</v>
      </c>
      <c r="B387" s="49">
        <v>45393.0</v>
      </c>
      <c r="C387" s="50">
        <v>40.7016601486</v>
      </c>
      <c r="D387" s="51">
        <v>279.5937921072583</v>
      </c>
      <c r="E387" s="52" t="s">
        <v>49</v>
      </c>
      <c r="F387" s="52" t="s">
        <v>140</v>
      </c>
      <c r="G387" s="52" t="s">
        <v>556</v>
      </c>
      <c r="H387" s="53"/>
      <c r="I387" s="54" t="s">
        <v>181</v>
      </c>
      <c r="J387" s="54">
        <v>4.0</v>
      </c>
      <c r="K387" s="54" t="s">
        <v>78</v>
      </c>
      <c r="L387" s="54" t="s">
        <v>117</v>
      </c>
      <c r="M387" s="52" t="s">
        <v>73</v>
      </c>
      <c r="N387" s="55" t="s">
        <v>80</v>
      </c>
    </row>
    <row r="388">
      <c r="A388" s="48">
        <v>950.0</v>
      </c>
      <c r="B388" s="49">
        <v>45393.0</v>
      </c>
      <c r="C388" s="50">
        <v>27.9057013486</v>
      </c>
      <c r="D388" s="51">
        <v>179.0981720251789</v>
      </c>
      <c r="E388" s="52" t="s">
        <v>49</v>
      </c>
      <c r="F388" s="52" t="s">
        <v>140</v>
      </c>
      <c r="G388" s="52" t="s">
        <v>557</v>
      </c>
      <c r="H388" s="53"/>
      <c r="I388" s="54" t="s">
        <v>181</v>
      </c>
      <c r="J388" s="54">
        <v>4.0</v>
      </c>
      <c r="K388" s="54" t="s">
        <v>78</v>
      </c>
      <c r="L388" s="54" t="s">
        <v>117</v>
      </c>
      <c r="M388" s="52" t="s">
        <v>73</v>
      </c>
      <c r="N388" s="55" t="s">
        <v>80</v>
      </c>
    </row>
    <row r="389">
      <c r="A389" s="48">
        <v>951.0</v>
      </c>
      <c r="B389" s="49">
        <v>45393.0</v>
      </c>
      <c r="C389" s="50">
        <v>31.6616067615</v>
      </c>
      <c r="D389" s="51">
        <v>217.49453625077962</v>
      </c>
      <c r="E389" s="52" t="s">
        <v>49</v>
      </c>
      <c r="F389" s="52" t="s">
        <v>140</v>
      </c>
      <c r="G389" s="52" t="s">
        <v>558</v>
      </c>
      <c r="H389" s="53"/>
      <c r="I389" s="54" t="s">
        <v>181</v>
      </c>
      <c r="J389" s="54">
        <v>4.0</v>
      </c>
      <c r="K389" s="54" t="s">
        <v>78</v>
      </c>
      <c r="L389" s="54" t="s">
        <v>117</v>
      </c>
      <c r="M389" s="52" t="s">
        <v>73</v>
      </c>
      <c r="N389" s="55" t="s">
        <v>80</v>
      </c>
    </row>
    <row r="390">
      <c r="A390" s="48">
        <v>952.0</v>
      </c>
      <c r="B390" s="49">
        <v>45393.0</v>
      </c>
      <c r="C390" s="50">
        <v>43.8915351093</v>
      </c>
      <c r="D390" s="51">
        <v>281.6948983741978</v>
      </c>
      <c r="E390" s="52" t="s">
        <v>49</v>
      </c>
      <c r="F390" s="52" t="s">
        <v>140</v>
      </c>
      <c r="G390" s="52" t="s">
        <v>559</v>
      </c>
      <c r="H390" s="53"/>
      <c r="I390" s="54" t="s">
        <v>181</v>
      </c>
      <c r="J390" s="54">
        <v>4.0</v>
      </c>
      <c r="K390" s="54" t="s">
        <v>78</v>
      </c>
      <c r="L390" s="54" t="s">
        <v>117</v>
      </c>
      <c r="M390" s="52" t="s">
        <v>73</v>
      </c>
      <c r="N390" s="55" t="s">
        <v>80</v>
      </c>
    </row>
    <row r="391">
      <c r="A391" s="48">
        <v>953.0</v>
      </c>
      <c r="B391" s="49">
        <v>45393.0</v>
      </c>
      <c r="C391" s="50">
        <v>7.5542084484</v>
      </c>
      <c r="D391" s="51">
        <v>51.89247265948422</v>
      </c>
      <c r="E391" s="52" t="s">
        <v>49</v>
      </c>
      <c r="F391" s="52" t="s">
        <v>140</v>
      </c>
      <c r="G391" s="52" t="s">
        <v>560</v>
      </c>
      <c r="H391" s="53"/>
      <c r="I391" s="54" t="s">
        <v>181</v>
      </c>
      <c r="J391" s="54">
        <v>4.0</v>
      </c>
      <c r="K391" s="54" t="s">
        <v>78</v>
      </c>
      <c r="L391" s="54" t="s">
        <v>117</v>
      </c>
      <c r="M391" s="52" t="s">
        <v>73</v>
      </c>
      <c r="N391" s="55" t="s">
        <v>80</v>
      </c>
    </row>
    <row r="392">
      <c r="A392" s="48">
        <v>954.0</v>
      </c>
      <c r="B392" s="49">
        <v>45393.0</v>
      </c>
      <c r="C392" s="50">
        <v>7.5542084484</v>
      </c>
      <c r="D392" s="51">
        <v>51.89247265948422</v>
      </c>
      <c r="E392" s="52" t="s">
        <v>49</v>
      </c>
      <c r="F392" s="52" t="s">
        <v>140</v>
      </c>
      <c r="G392" s="52" t="s">
        <v>561</v>
      </c>
      <c r="H392" s="53"/>
      <c r="I392" s="54" t="s">
        <v>181</v>
      </c>
      <c r="J392" s="54">
        <v>4.0</v>
      </c>
      <c r="K392" s="54" t="s">
        <v>78</v>
      </c>
      <c r="L392" s="54" t="s">
        <v>117</v>
      </c>
      <c r="M392" s="52" t="s">
        <v>73</v>
      </c>
      <c r="N392" s="55" t="s">
        <v>80</v>
      </c>
    </row>
    <row r="393">
      <c r="A393" s="48">
        <v>955.0</v>
      </c>
      <c r="B393" s="49">
        <v>45393.0</v>
      </c>
      <c r="C393" s="50">
        <v>7.5542084484</v>
      </c>
      <c r="D393" s="51">
        <v>48.48274219323568</v>
      </c>
      <c r="E393" s="52" t="s">
        <v>49</v>
      </c>
      <c r="F393" s="52" t="s">
        <v>140</v>
      </c>
      <c r="G393" s="52" t="s">
        <v>562</v>
      </c>
      <c r="H393" s="53"/>
      <c r="I393" s="54" t="s">
        <v>181</v>
      </c>
      <c r="J393" s="54">
        <v>4.0</v>
      </c>
      <c r="K393" s="54" t="s">
        <v>78</v>
      </c>
      <c r="L393" s="54" t="s">
        <v>117</v>
      </c>
      <c r="M393" s="52" t="s">
        <v>73</v>
      </c>
      <c r="N393" s="55" t="s">
        <v>80</v>
      </c>
    </row>
    <row r="394">
      <c r="A394" s="48">
        <v>956.0</v>
      </c>
      <c r="B394" s="49">
        <v>45393.0</v>
      </c>
      <c r="C394" s="50">
        <v>4.634</v>
      </c>
      <c r="D394" s="51">
        <v>29.740909171104434</v>
      </c>
      <c r="E394" s="52" t="s">
        <v>49</v>
      </c>
      <c r="F394" s="52" t="s">
        <v>140</v>
      </c>
      <c r="G394" s="52" t="s">
        <v>563</v>
      </c>
      <c r="H394" s="53"/>
      <c r="I394" s="54" t="s">
        <v>181</v>
      </c>
      <c r="J394" s="54">
        <v>4.0</v>
      </c>
      <c r="K394" s="54" t="s">
        <v>78</v>
      </c>
      <c r="L394" s="54" t="s">
        <v>117</v>
      </c>
      <c r="M394" s="52" t="s">
        <v>73</v>
      </c>
      <c r="N394" s="55" t="s">
        <v>80</v>
      </c>
    </row>
    <row r="395">
      <c r="A395" s="48">
        <v>957.0</v>
      </c>
      <c r="B395" s="49">
        <v>45393.0</v>
      </c>
      <c r="C395" s="50">
        <v>109.8901098901</v>
      </c>
      <c r="D395" s="51">
        <v>754.8732023972052</v>
      </c>
      <c r="E395" s="52" t="s">
        <v>50</v>
      </c>
      <c r="F395" s="52" t="s">
        <v>157</v>
      </c>
      <c r="G395" s="52" t="s">
        <v>564</v>
      </c>
      <c r="H395" s="53"/>
      <c r="I395" s="54" t="s">
        <v>181</v>
      </c>
      <c r="J395" s="54">
        <v>4.0</v>
      </c>
      <c r="K395" s="54" t="s">
        <v>78</v>
      </c>
      <c r="L395" s="54" t="s">
        <v>117</v>
      </c>
      <c r="M395" s="52" t="s">
        <v>73</v>
      </c>
      <c r="N395" s="55" t="s">
        <v>80</v>
      </c>
    </row>
    <row r="396">
      <c r="A396" s="48">
        <v>958.0</v>
      </c>
      <c r="B396" s="49">
        <v>45396.0</v>
      </c>
      <c r="C396" s="50">
        <v>109.8901098901</v>
      </c>
      <c r="D396" s="51">
        <v>723.0359381371152</v>
      </c>
      <c r="E396" s="52" t="s">
        <v>50</v>
      </c>
      <c r="F396" s="52" t="s">
        <v>157</v>
      </c>
      <c r="G396" s="52" t="s">
        <v>565</v>
      </c>
      <c r="H396" s="53"/>
      <c r="I396" s="54" t="s">
        <v>181</v>
      </c>
      <c r="J396" s="54">
        <v>4.0</v>
      </c>
      <c r="K396" s="54" t="s">
        <v>78</v>
      </c>
      <c r="L396" s="54" t="s">
        <v>117</v>
      </c>
      <c r="M396" s="52" t="s">
        <v>73</v>
      </c>
      <c r="N396" s="55" t="s">
        <v>80</v>
      </c>
    </row>
    <row r="397">
      <c r="A397" s="48">
        <v>959.0</v>
      </c>
      <c r="B397" s="49">
        <v>45393.0</v>
      </c>
      <c r="C397" s="50">
        <v>54.9450549451</v>
      </c>
      <c r="D397" s="51">
        <v>377.43660119894605</v>
      </c>
      <c r="E397" s="52" t="s">
        <v>50</v>
      </c>
      <c r="F397" s="52" t="s">
        <v>157</v>
      </c>
      <c r="G397" s="52" t="s">
        <v>566</v>
      </c>
      <c r="H397" s="53"/>
      <c r="I397" s="54" t="s">
        <v>181</v>
      </c>
      <c r="J397" s="54">
        <v>4.0</v>
      </c>
      <c r="K397" s="54" t="s">
        <v>78</v>
      </c>
      <c r="L397" s="54" t="s">
        <v>117</v>
      </c>
      <c r="M397" s="52" t="s">
        <v>73</v>
      </c>
      <c r="N397" s="55" t="s">
        <v>80</v>
      </c>
    </row>
    <row r="398">
      <c r="A398" s="48">
        <v>960.0</v>
      </c>
      <c r="B398" s="49">
        <v>45393.0</v>
      </c>
      <c r="C398" s="50">
        <v>27.4725274725</v>
      </c>
      <c r="D398" s="51">
        <v>188.71830059912958</v>
      </c>
      <c r="E398" s="52" t="s">
        <v>50</v>
      </c>
      <c r="F398" s="52" t="s">
        <v>157</v>
      </c>
      <c r="G398" s="52" t="s">
        <v>567</v>
      </c>
      <c r="H398" s="53"/>
      <c r="I398" s="54" t="s">
        <v>181</v>
      </c>
      <c r="J398" s="54">
        <v>4.0</v>
      </c>
      <c r="K398" s="54" t="s">
        <v>78</v>
      </c>
      <c r="L398" s="54" t="s">
        <v>117</v>
      </c>
      <c r="M398" s="52" t="s">
        <v>73</v>
      </c>
      <c r="N398" s="55" t="s">
        <v>80</v>
      </c>
    </row>
    <row r="399">
      <c r="A399" s="48">
        <v>961.0</v>
      </c>
      <c r="B399" s="49">
        <v>45395.0</v>
      </c>
      <c r="C399" s="50">
        <v>27.4725</v>
      </c>
      <c r="D399" s="51">
        <v>184.06704165101053</v>
      </c>
      <c r="E399" s="52" t="s">
        <v>50</v>
      </c>
      <c r="F399" s="52" t="s">
        <v>157</v>
      </c>
      <c r="G399" s="52" t="s">
        <v>568</v>
      </c>
      <c r="H399" s="53"/>
      <c r="I399" s="54" t="s">
        <v>181</v>
      </c>
      <c r="J399" s="54">
        <v>4.0</v>
      </c>
      <c r="K399" s="54" t="s">
        <v>78</v>
      </c>
      <c r="L399" s="54" t="s">
        <v>117</v>
      </c>
      <c r="M399" s="52" t="s">
        <v>73</v>
      </c>
      <c r="N399" s="55" t="s">
        <v>80</v>
      </c>
    </row>
    <row r="400">
      <c r="A400" s="48">
        <v>962.0</v>
      </c>
      <c r="B400" s="49">
        <v>45395.0</v>
      </c>
      <c r="C400" s="50">
        <v>184.6153</v>
      </c>
      <c r="D400" s="51">
        <v>1239.2359408995628</v>
      </c>
      <c r="E400" s="52" t="s">
        <v>50</v>
      </c>
      <c r="F400" s="52" t="s">
        <v>157</v>
      </c>
      <c r="G400" s="52" t="s">
        <v>569</v>
      </c>
      <c r="H400" s="53"/>
      <c r="I400" s="54" t="s">
        <v>181</v>
      </c>
      <c r="J400" s="54">
        <v>4.0</v>
      </c>
      <c r="K400" s="54" t="s">
        <v>78</v>
      </c>
      <c r="L400" s="54" t="s">
        <v>117</v>
      </c>
      <c r="M400" s="52" t="s">
        <v>73</v>
      </c>
      <c r="N400" s="55" t="s">
        <v>80</v>
      </c>
    </row>
    <row r="401">
      <c r="A401" s="48">
        <v>963.0</v>
      </c>
      <c r="B401" s="49">
        <v>45397.0</v>
      </c>
      <c r="C401" s="50">
        <v>158.2417</v>
      </c>
      <c r="D401" s="51">
        <v>1073.7526850624563</v>
      </c>
      <c r="E401" s="52" t="s">
        <v>50</v>
      </c>
      <c r="F401" s="52" t="s">
        <v>157</v>
      </c>
      <c r="G401" s="52" t="s">
        <v>570</v>
      </c>
      <c r="H401" s="53"/>
      <c r="I401" s="54" t="s">
        <v>181</v>
      </c>
      <c r="J401" s="54">
        <v>4.0</v>
      </c>
      <c r="K401" s="54" t="s">
        <v>78</v>
      </c>
      <c r="L401" s="54" t="s">
        <v>117</v>
      </c>
      <c r="M401" s="52" t="s">
        <v>73</v>
      </c>
      <c r="N401" s="55" t="s">
        <v>80</v>
      </c>
    </row>
    <row r="402">
      <c r="A402" s="48">
        <v>964.0</v>
      </c>
      <c r="B402" s="49">
        <v>45395.0</v>
      </c>
      <c r="C402" s="50">
        <v>65.934</v>
      </c>
      <c r="D402" s="51">
        <v>441.76089996242524</v>
      </c>
      <c r="E402" s="52" t="s">
        <v>50</v>
      </c>
      <c r="F402" s="52" t="s">
        <v>157</v>
      </c>
      <c r="G402" s="52" t="s">
        <v>571</v>
      </c>
      <c r="H402" s="53"/>
      <c r="I402" s="54" t="s">
        <v>181</v>
      </c>
      <c r="J402" s="54">
        <v>4.0</v>
      </c>
      <c r="K402" s="54" t="s">
        <v>78</v>
      </c>
      <c r="L402" s="54" t="s">
        <v>117</v>
      </c>
      <c r="M402" s="52" t="s">
        <v>73</v>
      </c>
      <c r="N402" s="55" t="s">
        <v>80</v>
      </c>
    </row>
    <row r="403">
      <c r="A403" s="48">
        <v>965.0</v>
      </c>
      <c r="B403" s="49">
        <v>45395.0</v>
      </c>
      <c r="C403" s="50">
        <v>54.945</v>
      </c>
      <c r="D403" s="51">
        <v>368.13408330202105</v>
      </c>
      <c r="E403" s="52" t="s">
        <v>50</v>
      </c>
      <c r="F403" s="52" t="s">
        <v>157</v>
      </c>
      <c r="G403" s="52" t="s">
        <v>572</v>
      </c>
      <c r="H403" s="53"/>
      <c r="I403" s="54" t="s">
        <v>181</v>
      </c>
      <c r="J403" s="54">
        <v>4.0</v>
      </c>
      <c r="K403" s="54" t="s">
        <v>78</v>
      </c>
      <c r="L403" s="54" t="s">
        <v>117</v>
      </c>
      <c r="M403" s="52" t="s">
        <v>73</v>
      </c>
      <c r="N403" s="55" t="s">
        <v>80</v>
      </c>
    </row>
    <row r="404">
      <c r="A404" s="48">
        <v>966.0</v>
      </c>
      <c r="B404" s="49">
        <v>45393.0</v>
      </c>
      <c r="C404" s="50">
        <v>136.2</v>
      </c>
      <c r="D404" s="51">
        <v>935.6049445152282</v>
      </c>
      <c r="E404" s="52" t="s">
        <v>50</v>
      </c>
      <c r="F404" s="52" t="s">
        <v>157</v>
      </c>
      <c r="G404" s="52" t="s">
        <v>573</v>
      </c>
      <c r="H404" s="53"/>
      <c r="I404" s="54" t="s">
        <v>181</v>
      </c>
      <c r="J404" s="54">
        <v>4.0</v>
      </c>
      <c r="K404" s="54" t="s">
        <v>78</v>
      </c>
      <c r="L404" s="54" t="s">
        <v>117</v>
      </c>
      <c r="M404" s="52" t="s">
        <v>73</v>
      </c>
      <c r="N404" s="55" t="s">
        <v>80</v>
      </c>
    </row>
    <row r="405">
      <c r="A405" s="48">
        <v>967.0</v>
      </c>
      <c r="B405" s="49">
        <v>45396.0</v>
      </c>
      <c r="C405" s="50">
        <v>136.2</v>
      </c>
      <c r="D405" s="51">
        <v>896.1452024459838</v>
      </c>
      <c r="E405" s="52" t="s">
        <v>50</v>
      </c>
      <c r="F405" s="52" t="s">
        <v>157</v>
      </c>
      <c r="G405" s="52" t="s">
        <v>574</v>
      </c>
      <c r="H405" s="53"/>
      <c r="I405" s="54" t="s">
        <v>181</v>
      </c>
      <c r="J405" s="54">
        <v>4.0</v>
      </c>
      <c r="K405" s="54" t="s">
        <v>78</v>
      </c>
      <c r="L405" s="54" t="s">
        <v>117</v>
      </c>
      <c r="M405" s="52" t="s">
        <v>73</v>
      </c>
      <c r="N405" s="55" t="s">
        <v>80</v>
      </c>
    </row>
    <row r="406">
      <c r="A406" s="48">
        <v>968.0</v>
      </c>
      <c r="B406" s="49">
        <v>45393.0</v>
      </c>
      <c r="C406" s="50">
        <v>22.7</v>
      </c>
      <c r="D406" s="51">
        <v>155.9341574192047</v>
      </c>
      <c r="E406" s="52" t="s">
        <v>50</v>
      </c>
      <c r="F406" s="52" t="s">
        <v>157</v>
      </c>
      <c r="G406" s="52" t="s">
        <v>575</v>
      </c>
      <c r="H406" s="53"/>
      <c r="I406" s="54" t="s">
        <v>181</v>
      </c>
      <c r="J406" s="54">
        <v>4.0</v>
      </c>
      <c r="K406" s="54" t="s">
        <v>78</v>
      </c>
      <c r="L406" s="54" t="s">
        <v>117</v>
      </c>
      <c r="M406" s="52" t="s">
        <v>73</v>
      </c>
      <c r="N406" s="55" t="s">
        <v>80</v>
      </c>
    </row>
    <row r="407">
      <c r="A407" s="48">
        <v>969.0</v>
      </c>
      <c r="B407" s="49">
        <v>45393.0</v>
      </c>
      <c r="C407" s="50">
        <v>56.75</v>
      </c>
      <c r="D407" s="51">
        <v>389.8353935480118</v>
      </c>
      <c r="E407" s="52" t="s">
        <v>50</v>
      </c>
      <c r="F407" s="52" t="s">
        <v>157</v>
      </c>
      <c r="G407" s="52" t="s">
        <v>576</v>
      </c>
      <c r="H407" s="53"/>
      <c r="I407" s="54" t="s">
        <v>181</v>
      </c>
      <c r="J407" s="54">
        <v>4.0</v>
      </c>
      <c r="K407" s="54" t="s">
        <v>78</v>
      </c>
      <c r="L407" s="54" t="s">
        <v>117</v>
      </c>
      <c r="M407" s="52" t="s">
        <v>73</v>
      </c>
      <c r="N407" s="55" t="s">
        <v>80</v>
      </c>
    </row>
    <row r="408">
      <c r="A408" s="48">
        <v>970.0</v>
      </c>
      <c r="B408" s="49">
        <v>45396.0</v>
      </c>
      <c r="C408" s="50">
        <v>8389.3</v>
      </c>
      <c r="D408" s="51">
        <v>55198.465101909635</v>
      </c>
      <c r="E408" s="52" t="s">
        <v>81</v>
      </c>
      <c r="F408" s="52" t="s">
        <v>86</v>
      </c>
      <c r="G408" s="52" t="s">
        <v>577</v>
      </c>
      <c r="H408" s="53"/>
      <c r="I408" s="54" t="s">
        <v>181</v>
      </c>
      <c r="J408" s="54">
        <v>4.0</v>
      </c>
      <c r="K408" s="54" t="s">
        <v>78</v>
      </c>
      <c r="L408" s="54" t="s">
        <v>117</v>
      </c>
      <c r="M408" s="52" t="s">
        <v>73</v>
      </c>
      <c r="N408" s="55" t="s">
        <v>80</v>
      </c>
    </row>
    <row r="409">
      <c r="A409" s="48">
        <v>971.0</v>
      </c>
      <c r="B409" s="49">
        <v>45397.0</v>
      </c>
      <c r="C409" s="50">
        <v>3678.0</v>
      </c>
      <c r="D409" s="51">
        <v>24199.868242263794</v>
      </c>
      <c r="E409" s="52" t="s">
        <v>81</v>
      </c>
      <c r="F409" s="52" t="s">
        <v>86</v>
      </c>
      <c r="G409" s="52" t="s">
        <v>578</v>
      </c>
      <c r="H409" s="53"/>
      <c r="I409" s="54" t="s">
        <v>181</v>
      </c>
      <c r="J409" s="54">
        <v>4.0</v>
      </c>
      <c r="K409" s="54" t="s">
        <v>78</v>
      </c>
      <c r="L409" s="54" t="s">
        <v>117</v>
      </c>
      <c r="M409" s="52" t="s">
        <v>73</v>
      </c>
      <c r="N409" s="55" t="s">
        <v>80</v>
      </c>
    </row>
    <row r="410">
      <c r="A410" s="48">
        <v>972.0</v>
      </c>
      <c r="B410" s="49">
        <v>45395.0</v>
      </c>
      <c r="C410" s="50">
        <v>55.86</v>
      </c>
      <c r="D410" s="51">
        <v>374.2646263217926</v>
      </c>
      <c r="E410" s="52" t="s">
        <v>50</v>
      </c>
      <c r="F410" s="52" t="s">
        <v>157</v>
      </c>
      <c r="G410" s="52" t="s">
        <v>579</v>
      </c>
      <c r="H410" s="53"/>
      <c r="I410" s="54" t="s">
        <v>181</v>
      </c>
      <c r="J410" s="54">
        <v>4.0</v>
      </c>
      <c r="K410" s="54" t="s">
        <v>78</v>
      </c>
      <c r="L410" s="54" t="s">
        <v>117</v>
      </c>
      <c r="M410" s="52" t="s">
        <v>73</v>
      </c>
      <c r="N410" s="55" t="s">
        <v>80</v>
      </c>
    </row>
    <row r="411">
      <c r="A411" s="48">
        <v>973.0</v>
      </c>
      <c r="B411" s="49">
        <v>45395.0</v>
      </c>
      <c r="C411" s="50">
        <v>297.9</v>
      </c>
      <c r="D411" s="51">
        <v>1995.9440061092375</v>
      </c>
      <c r="E411" s="52" t="s">
        <v>50</v>
      </c>
      <c r="F411" s="52" t="s">
        <v>157</v>
      </c>
      <c r="G411" s="52" t="s">
        <v>580</v>
      </c>
      <c r="H411" s="53"/>
      <c r="I411" s="54" t="s">
        <v>181</v>
      </c>
      <c r="J411" s="54">
        <v>4.0</v>
      </c>
      <c r="K411" s="54" t="s">
        <v>78</v>
      </c>
      <c r="L411" s="54" t="s">
        <v>117</v>
      </c>
      <c r="M411" s="52" t="s">
        <v>73</v>
      </c>
      <c r="N411" s="55" t="s">
        <v>80</v>
      </c>
    </row>
    <row r="412">
      <c r="A412" s="48">
        <v>974.0</v>
      </c>
      <c r="B412" s="49">
        <v>45395.0</v>
      </c>
      <c r="C412" s="50">
        <v>297.9</v>
      </c>
      <c r="D412" s="51">
        <v>1995.9440061092375</v>
      </c>
      <c r="E412" s="52" t="s">
        <v>50</v>
      </c>
      <c r="F412" s="52" t="s">
        <v>157</v>
      </c>
      <c r="G412" s="52" t="s">
        <v>581</v>
      </c>
      <c r="H412" s="53"/>
      <c r="I412" s="54" t="s">
        <v>181</v>
      </c>
      <c r="J412" s="54">
        <v>4.0</v>
      </c>
      <c r="K412" s="54" t="s">
        <v>78</v>
      </c>
      <c r="L412" s="54" t="s">
        <v>117</v>
      </c>
      <c r="M412" s="52" t="s">
        <v>73</v>
      </c>
      <c r="N412" s="55" t="s">
        <v>80</v>
      </c>
    </row>
    <row r="413">
      <c r="A413" s="48">
        <v>975.0</v>
      </c>
      <c r="B413" s="49">
        <v>45395.0</v>
      </c>
      <c r="C413" s="50">
        <v>297.9</v>
      </c>
      <c r="D413" s="51">
        <v>1995.9440061092375</v>
      </c>
      <c r="E413" s="52" t="s">
        <v>50</v>
      </c>
      <c r="F413" s="52" t="s">
        <v>157</v>
      </c>
      <c r="G413" s="52" t="s">
        <v>582</v>
      </c>
      <c r="H413" s="53"/>
      <c r="I413" s="54" t="s">
        <v>181</v>
      </c>
      <c r="J413" s="54">
        <v>4.0</v>
      </c>
      <c r="K413" s="54" t="s">
        <v>78</v>
      </c>
      <c r="L413" s="54" t="s">
        <v>117</v>
      </c>
      <c r="M413" s="52" t="s">
        <v>73</v>
      </c>
      <c r="N413" s="55" t="s">
        <v>80</v>
      </c>
    </row>
    <row r="414">
      <c r="A414" s="48">
        <v>976.0</v>
      </c>
      <c r="B414" s="49">
        <v>45396.0</v>
      </c>
      <c r="C414" s="50">
        <v>30.16</v>
      </c>
      <c r="D414" s="51">
        <v>202.073418006897</v>
      </c>
      <c r="E414" s="52" t="s">
        <v>50</v>
      </c>
      <c r="F414" s="52" t="s">
        <v>157</v>
      </c>
      <c r="G414" s="52" t="s">
        <v>583</v>
      </c>
      <c r="H414" s="53"/>
      <c r="I414" s="54" t="s">
        <v>181</v>
      </c>
      <c r="J414" s="54">
        <v>4.0</v>
      </c>
      <c r="K414" s="54" t="s">
        <v>78</v>
      </c>
      <c r="L414" s="54" t="s">
        <v>117</v>
      </c>
      <c r="M414" s="52" t="s">
        <v>73</v>
      </c>
      <c r="N414" s="55" t="s">
        <v>80</v>
      </c>
    </row>
    <row r="415">
      <c r="A415" s="48">
        <v>977.0</v>
      </c>
      <c r="B415" s="49">
        <v>45395.0</v>
      </c>
      <c r="C415" s="50">
        <v>83.79</v>
      </c>
      <c r="D415" s="51">
        <v>561.3969394826889</v>
      </c>
      <c r="E415" s="52" t="s">
        <v>50</v>
      </c>
      <c r="F415" s="52" t="s">
        <v>157</v>
      </c>
      <c r="G415" s="52" t="s">
        <v>584</v>
      </c>
      <c r="H415" s="53"/>
      <c r="I415" s="54" t="s">
        <v>181</v>
      </c>
      <c r="J415" s="54">
        <v>4.0</v>
      </c>
      <c r="K415" s="54" t="s">
        <v>78</v>
      </c>
      <c r="L415" s="54" t="s">
        <v>117</v>
      </c>
      <c r="M415" s="52" t="s">
        <v>73</v>
      </c>
      <c r="N415" s="55" t="s">
        <v>80</v>
      </c>
    </row>
    <row r="416">
      <c r="A416" s="48">
        <v>978.0</v>
      </c>
      <c r="B416" s="49">
        <v>45396.0</v>
      </c>
      <c r="C416" s="50">
        <v>289.129</v>
      </c>
      <c r="D416" s="51">
        <v>1937.1778937306406</v>
      </c>
      <c r="E416" s="52" t="s">
        <v>50</v>
      </c>
      <c r="F416" s="52" t="s">
        <v>157</v>
      </c>
      <c r="G416" s="52" t="s">
        <v>585</v>
      </c>
      <c r="H416" s="53"/>
      <c r="I416" s="54" t="s">
        <v>181</v>
      </c>
      <c r="J416" s="54">
        <v>4.0</v>
      </c>
      <c r="K416" s="54" t="s">
        <v>78</v>
      </c>
      <c r="L416" s="54" t="s">
        <v>117</v>
      </c>
      <c r="M416" s="52" t="s">
        <v>73</v>
      </c>
      <c r="N416" s="55" t="s">
        <v>80</v>
      </c>
    </row>
    <row r="417">
      <c r="A417" s="48">
        <v>979.0</v>
      </c>
      <c r="B417" s="49">
        <v>45396.0</v>
      </c>
      <c r="C417" s="50">
        <v>283.937</v>
      </c>
      <c r="D417" s="51">
        <v>1902.391249622822</v>
      </c>
      <c r="E417" s="52" t="s">
        <v>50</v>
      </c>
      <c r="F417" s="52" t="s">
        <v>157</v>
      </c>
      <c r="G417" s="52" t="s">
        <v>586</v>
      </c>
      <c r="H417" s="53"/>
      <c r="I417" s="54" t="s">
        <v>181</v>
      </c>
      <c r="J417" s="54">
        <v>4.0</v>
      </c>
      <c r="K417" s="54" t="s">
        <v>78</v>
      </c>
      <c r="L417" s="54" t="s">
        <v>117</v>
      </c>
      <c r="M417" s="52" t="s">
        <v>73</v>
      </c>
      <c r="N417" s="55" t="s">
        <v>80</v>
      </c>
    </row>
    <row r="418">
      <c r="A418" s="48">
        <v>980.0</v>
      </c>
      <c r="B418" s="49">
        <v>45397.0</v>
      </c>
      <c r="C418" s="50">
        <v>748.336</v>
      </c>
      <c r="D418" s="51">
        <v>5077.851093162537</v>
      </c>
      <c r="E418" s="52" t="s">
        <v>50</v>
      </c>
      <c r="F418" s="52" t="s">
        <v>157</v>
      </c>
      <c r="G418" s="52" t="s">
        <v>587</v>
      </c>
      <c r="H418" s="53"/>
      <c r="I418" s="54" t="s">
        <v>181</v>
      </c>
      <c r="J418" s="54">
        <v>4.0</v>
      </c>
      <c r="K418" s="54" t="s">
        <v>78</v>
      </c>
      <c r="L418" s="54" t="s">
        <v>117</v>
      </c>
      <c r="M418" s="52" t="s">
        <v>73</v>
      </c>
      <c r="N418" s="55" t="s">
        <v>80</v>
      </c>
    </row>
    <row r="419">
      <c r="A419" s="48">
        <v>981.0</v>
      </c>
      <c r="B419" s="49">
        <v>45426.0</v>
      </c>
      <c r="C419" s="50">
        <v>1057.0</v>
      </c>
      <c r="D419" s="51">
        <v>7606.97097158432</v>
      </c>
      <c r="E419" s="52" t="s">
        <v>46</v>
      </c>
      <c r="F419" s="52" t="s">
        <v>112</v>
      </c>
      <c r="G419" s="52" t="s">
        <v>588</v>
      </c>
      <c r="H419" s="53"/>
      <c r="I419" s="54" t="s">
        <v>181</v>
      </c>
      <c r="J419" s="54">
        <v>5.0</v>
      </c>
      <c r="K419" s="54" t="s">
        <v>78</v>
      </c>
      <c r="L419" s="54" t="s">
        <v>120</v>
      </c>
      <c r="M419" s="52" t="s">
        <v>73</v>
      </c>
      <c r="N419" s="55" t="s">
        <v>80</v>
      </c>
    </row>
    <row r="420">
      <c r="A420" s="48">
        <v>982.0</v>
      </c>
      <c r="B420" s="49">
        <v>45398.0</v>
      </c>
      <c r="C420" s="50">
        <v>1620.0</v>
      </c>
      <c r="D420" s="51">
        <v>10992.547159194946</v>
      </c>
      <c r="E420" s="52" t="s">
        <v>81</v>
      </c>
      <c r="F420" s="52" t="s">
        <v>84</v>
      </c>
      <c r="G420" s="52" t="s">
        <v>589</v>
      </c>
      <c r="H420" s="53"/>
      <c r="I420" s="54" t="s">
        <v>181</v>
      </c>
      <c r="J420" s="54">
        <v>4.0</v>
      </c>
      <c r="K420" s="54" t="s">
        <v>78</v>
      </c>
      <c r="L420" s="54" t="s">
        <v>117</v>
      </c>
      <c r="M420" s="52" t="s">
        <v>73</v>
      </c>
      <c r="N420" s="55" t="s">
        <v>80</v>
      </c>
    </row>
    <row r="421">
      <c r="A421" s="48">
        <v>983.0</v>
      </c>
      <c r="B421" s="49">
        <v>45400.0</v>
      </c>
      <c r="C421" s="50">
        <v>135.0</v>
      </c>
      <c r="D421" s="51">
        <v>963.2288932800293</v>
      </c>
      <c r="E421" s="52" t="s">
        <v>49</v>
      </c>
      <c r="F421" s="52" t="s">
        <v>108</v>
      </c>
      <c r="G421" s="52" t="s">
        <v>590</v>
      </c>
      <c r="H421" s="53"/>
      <c r="I421" s="54" t="s">
        <v>181</v>
      </c>
      <c r="J421" s="54">
        <v>4.0</v>
      </c>
      <c r="K421" s="54" t="s">
        <v>78</v>
      </c>
      <c r="L421" s="54" t="s">
        <v>117</v>
      </c>
      <c r="M421" s="52" t="s">
        <v>73</v>
      </c>
      <c r="N421" s="55" t="s">
        <v>80</v>
      </c>
    </row>
    <row r="422">
      <c r="A422" s="48">
        <v>984.0</v>
      </c>
      <c r="B422" s="49">
        <v>45397.0</v>
      </c>
      <c r="C422" s="50">
        <v>6278.0</v>
      </c>
      <c r="D422" s="51">
        <v>41306.89853858948</v>
      </c>
      <c r="E422" s="52" t="s">
        <v>81</v>
      </c>
      <c r="F422" s="52" t="s">
        <v>84</v>
      </c>
      <c r="G422" s="52" t="s">
        <v>591</v>
      </c>
      <c r="H422" s="53"/>
      <c r="I422" s="54" t="s">
        <v>181</v>
      </c>
      <c r="J422" s="54">
        <v>4.0</v>
      </c>
      <c r="K422" s="54" t="s">
        <v>78</v>
      </c>
      <c r="L422" s="54" t="s">
        <v>117</v>
      </c>
      <c r="M422" s="52" t="s">
        <v>73</v>
      </c>
      <c r="N422" s="55" t="s">
        <v>80</v>
      </c>
    </row>
    <row r="423">
      <c r="A423" s="48">
        <v>985.0</v>
      </c>
      <c r="B423" s="49">
        <v>45397.0</v>
      </c>
      <c r="C423" s="50">
        <v>70702.8</v>
      </c>
      <c r="D423" s="51">
        <v>465198.0544750214</v>
      </c>
      <c r="E423" s="52" t="s">
        <v>81</v>
      </c>
      <c r="F423" s="52" t="s">
        <v>84</v>
      </c>
      <c r="G423" s="52" t="s">
        <v>592</v>
      </c>
      <c r="H423" s="53"/>
      <c r="I423" s="54" t="s">
        <v>181</v>
      </c>
      <c r="J423" s="54">
        <v>4.0</v>
      </c>
      <c r="K423" s="54" t="s">
        <v>78</v>
      </c>
      <c r="L423" s="54" t="s">
        <v>117</v>
      </c>
      <c r="M423" s="52" t="s">
        <v>73</v>
      </c>
      <c r="N423" s="55" t="s">
        <v>80</v>
      </c>
    </row>
    <row r="424">
      <c r="A424" s="48">
        <v>986.0</v>
      </c>
      <c r="B424" s="49">
        <v>45401.0</v>
      </c>
      <c r="C424" s="50">
        <v>6361.8</v>
      </c>
      <c r="D424" s="51">
        <v>45391.62646865845</v>
      </c>
      <c r="E424" s="52" t="s">
        <v>81</v>
      </c>
      <c r="F424" s="52" t="s">
        <v>82</v>
      </c>
      <c r="G424" s="52" t="s">
        <v>593</v>
      </c>
      <c r="H424" s="53"/>
      <c r="I424" s="54" t="s">
        <v>181</v>
      </c>
      <c r="J424" s="54">
        <v>4.0</v>
      </c>
      <c r="K424" s="54" t="s">
        <v>78</v>
      </c>
      <c r="L424" s="54" t="s">
        <v>117</v>
      </c>
      <c r="M424" s="52" t="s">
        <v>73</v>
      </c>
      <c r="N424" s="55" t="s">
        <v>80</v>
      </c>
    </row>
    <row r="425">
      <c r="A425" s="48">
        <v>987.0</v>
      </c>
      <c r="B425" s="49">
        <v>45406.0</v>
      </c>
      <c r="C425" s="50">
        <v>3480.0</v>
      </c>
      <c r="D425" s="51">
        <v>23518.594665527344</v>
      </c>
      <c r="E425" s="52" t="s">
        <v>46</v>
      </c>
      <c r="F425" s="52" t="s">
        <v>114</v>
      </c>
      <c r="G425" s="52" t="s">
        <v>594</v>
      </c>
      <c r="H425" s="53"/>
      <c r="I425" s="54" t="s">
        <v>181</v>
      </c>
      <c r="J425" s="54">
        <v>4.0</v>
      </c>
      <c r="K425" s="54" t="s">
        <v>78</v>
      </c>
      <c r="L425" s="54" t="s">
        <v>117</v>
      </c>
      <c r="M425" s="52" t="s">
        <v>73</v>
      </c>
      <c r="N425" s="55" t="s">
        <v>80</v>
      </c>
    </row>
    <row r="426">
      <c r="A426" s="48">
        <v>988.0</v>
      </c>
      <c r="B426" s="49">
        <v>45432.0</v>
      </c>
      <c r="C426" s="50">
        <v>2221.0</v>
      </c>
      <c r="D426" s="51">
        <v>15992.91948223114</v>
      </c>
      <c r="E426" s="52" t="s">
        <v>46</v>
      </c>
      <c r="F426" s="52" t="s">
        <v>114</v>
      </c>
      <c r="G426" s="52" t="s">
        <v>595</v>
      </c>
      <c r="H426" s="53"/>
      <c r="I426" s="54" t="s">
        <v>181</v>
      </c>
      <c r="J426" s="54">
        <v>5.0</v>
      </c>
      <c r="K426" s="54" t="s">
        <v>78</v>
      </c>
      <c r="L426" s="54" t="s">
        <v>120</v>
      </c>
      <c r="M426" s="52" t="s">
        <v>73</v>
      </c>
      <c r="N426" s="55" t="s">
        <v>80</v>
      </c>
    </row>
    <row r="427">
      <c r="A427" s="48">
        <v>989.0</v>
      </c>
      <c r="B427" s="49">
        <v>45403.0</v>
      </c>
      <c r="C427" s="50">
        <v>396.26</v>
      </c>
      <c r="D427" s="51">
        <v>2870.7400226593018</v>
      </c>
      <c r="E427" s="52" t="s">
        <v>81</v>
      </c>
      <c r="F427" s="52" t="s">
        <v>87</v>
      </c>
      <c r="G427" s="52" t="s">
        <v>596</v>
      </c>
      <c r="H427" s="53"/>
      <c r="I427" s="54" t="s">
        <v>181</v>
      </c>
      <c r="J427" s="54">
        <v>4.0</v>
      </c>
      <c r="K427" s="54" t="s">
        <v>78</v>
      </c>
      <c r="L427" s="54" t="s">
        <v>117</v>
      </c>
      <c r="M427" s="52" t="s">
        <v>73</v>
      </c>
      <c r="N427" s="55" t="s">
        <v>80</v>
      </c>
    </row>
    <row r="428">
      <c r="A428" s="48">
        <v>990.0</v>
      </c>
      <c r="B428" s="49">
        <v>45406.0</v>
      </c>
      <c r="C428" s="50">
        <v>5147.75</v>
      </c>
      <c r="D428" s="51">
        <v>34997.67335188389</v>
      </c>
      <c r="E428" s="52" t="s">
        <v>49</v>
      </c>
      <c r="F428" s="52" t="s">
        <v>144</v>
      </c>
      <c r="G428" s="52" t="s">
        <v>597</v>
      </c>
      <c r="H428" s="53"/>
      <c r="I428" s="54" t="s">
        <v>181</v>
      </c>
      <c r="J428" s="54">
        <v>4.0</v>
      </c>
      <c r="K428" s="54" t="s">
        <v>78</v>
      </c>
      <c r="L428" s="54" t="s">
        <v>117</v>
      </c>
      <c r="M428" s="52" t="s">
        <v>73</v>
      </c>
      <c r="N428" s="55" t="s">
        <v>80</v>
      </c>
    </row>
    <row r="429">
      <c r="A429" s="48">
        <v>991.0</v>
      </c>
      <c r="B429" s="49">
        <v>45406.0</v>
      </c>
      <c r="C429" s="50">
        <v>10295.5</v>
      </c>
      <c r="D429" s="51">
        <v>69579.22166061401</v>
      </c>
      <c r="E429" s="52" t="s">
        <v>49</v>
      </c>
      <c r="F429" s="52" t="s">
        <v>144</v>
      </c>
      <c r="G429" s="52" t="s">
        <v>598</v>
      </c>
      <c r="H429" s="53"/>
      <c r="I429" s="54" t="s">
        <v>181</v>
      </c>
      <c r="J429" s="54">
        <v>4.0</v>
      </c>
      <c r="K429" s="54" t="s">
        <v>78</v>
      </c>
      <c r="L429" s="54" t="s">
        <v>117</v>
      </c>
      <c r="M429" s="52" t="s">
        <v>73</v>
      </c>
      <c r="N429" s="55" t="s">
        <v>80</v>
      </c>
    </row>
    <row r="430">
      <c r="A430" s="48">
        <v>992.0</v>
      </c>
      <c r="B430" s="49">
        <v>45406.0</v>
      </c>
      <c r="C430" s="50">
        <v>5147.75</v>
      </c>
      <c r="D430" s="51">
        <v>34997.67335188389</v>
      </c>
      <c r="E430" s="52" t="s">
        <v>49</v>
      </c>
      <c r="F430" s="52" t="s">
        <v>144</v>
      </c>
      <c r="G430" s="52" t="s">
        <v>599</v>
      </c>
      <c r="H430" s="53"/>
      <c r="I430" s="54" t="s">
        <v>181</v>
      </c>
      <c r="J430" s="54">
        <v>4.0</v>
      </c>
      <c r="K430" s="54" t="s">
        <v>78</v>
      </c>
      <c r="L430" s="54" t="s">
        <v>117</v>
      </c>
      <c r="M430" s="52" t="s">
        <v>73</v>
      </c>
      <c r="N430" s="55" t="s">
        <v>80</v>
      </c>
    </row>
    <row r="431">
      <c r="A431" s="48">
        <v>993.0</v>
      </c>
      <c r="B431" s="49">
        <v>45422.0</v>
      </c>
      <c r="C431" s="50">
        <v>10295.5</v>
      </c>
      <c r="D431" s="51">
        <v>68160.11169695854</v>
      </c>
      <c r="E431" s="52" t="s">
        <v>49</v>
      </c>
      <c r="F431" s="52" t="s">
        <v>144</v>
      </c>
      <c r="G431" s="52" t="s">
        <v>600</v>
      </c>
      <c r="H431" s="53"/>
      <c r="I431" s="54" t="s">
        <v>181</v>
      </c>
      <c r="J431" s="54">
        <v>5.0</v>
      </c>
      <c r="K431" s="54" t="s">
        <v>78</v>
      </c>
      <c r="L431" s="54" t="s">
        <v>120</v>
      </c>
      <c r="M431" s="52" t="s">
        <v>73</v>
      </c>
      <c r="N431" s="55" t="s">
        <v>80</v>
      </c>
    </row>
    <row r="432">
      <c r="A432" s="48">
        <v>994.0</v>
      </c>
      <c r="B432" s="49">
        <v>45405.0</v>
      </c>
      <c r="C432" s="50">
        <v>45.6</v>
      </c>
      <c r="D432" s="51">
        <v>308.17468872070316</v>
      </c>
      <c r="E432" s="52" t="s">
        <v>49</v>
      </c>
      <c r="F432" s="52" t="s">
        <v>144</v>
      </c>
      <c r="G432" s="52" t="s">
        <v>601</v>
      </c>
      <c r="H432" s="53"/>
      <c r="I432" s="54" t="s">
        <v>181</v>
      </c>
      <c r="J432" s="54">
        <v>4.0</v>
      </c>
      <c r="K432" s="54" t="s">
        <v>78</v>
      </c>
      <c r="L432" s="54" t="s">
        <v>117</v>
      </c>
      <c r="M432" s="52" t="s">
        <v>73</v>
      </c>
      <c r="N432" s="55" t="s">
        <v>80</v>
      </c>
    </row>
    <row r="433">
      <c r="A433" s="48">
        <v>995.0</v>
      </c>
      <c r="B433" s="49">
        <v>45409.0</v>
      </c>
      <c r="C433" s="50">
        <v>21810.74</v>
      </c>
      <c r="D433" s="51">
        <v>143770.574150486</v>
      </c>
      <c r="E433" s="52" t="s">
        <v>81</v>
      </c>
      <c r="F433" s="52" t="s">
        <v>84</v>
      </c>
      <c r="G433" s="52" t="s">
        <v>602</v>
      </c>
      <c r="H433" s="53"/>
      <c r="I433" s="54" t="s">
        <v>181</v>
      </c>
      <c r="J433" s="54">
        <v>4.0</v>
      </c>
      <c r="K433" s="54" t="s">
        <v>78</v>
      </c>
      <c r="L433" s="54" t="s">
        <v>117</v>
      </c>
      <c r="M433" s="52" t="s">
        <v>73</v>
      </c>
      <c r="N433" s="55" t="s">
        <v>80</v>
      </c>
    </row>
    <row r="434">
      <c r="A434" s="48">
        <v>996.0</v>
      </c>
      <c r="B434" s="49">
        <v>45431.0</v>
      </c>
      <c r="C434" s="50">
        <v>1.0</v>
      </c>
      <c r="D434" s="51">
        <v>7.454471111297607</v>
      </c>
      <c r="E434" s="52" t="s">
        <v>46</v>
      </c>
      <c r="F434" s="52" t="s">
        <v>126</v>
      </c>
      <c r="G434" s="52" t="s">
        <v>603</v>
      </c>
      <c r="H434" s="53"/>
      <c r="I434" s="54" t="s">
        <v>181</v>
      </c>
      <c r="J434" s="54">
        <v>5.0</v>
      </c>
      <c r="K434" s="54" t="s">
        <v>78</v>
      </c>
      <c r="L434" s="54" t="s">
        <v>120</v>
      </c>
      <c r="M434" s="52" t="s">
        <v>73</v>
      </c>
      <c r="N434" s="55" t="s">
        <v>80</v>
      </c>
    </row>
    <row r="435">
      <c r="A435" s="48">
        <v>997.0</v>
      </c>
      <c r="B435" s="49">
        <v>45420.0</v>
      </c>
      <c r="C435" s="50">
        <v>98.557</v>
      </c>
      <c r="D435" s="51">
        <v>656.3135190205575</v>
      </c>
      <c r="E435" s="52" t="s">
        <v>49</v>
      </c>
      <c r="F435" s="52" t="s">
        <v>140</v>
      </c>
      <c r="G435" s="52" t="s">
        <v>604</v>
      </c>
      <c r="H435" s="53"/>
      <c r="I435" s="54" t="s">
        <v>181</v>
      </c>
      <c r="J435" s="54">
        <v>5.0</v>
      </c>
      <c r="K435" s="54" t="s">
        <v>78</v>
      </c>
      <c r="L435" s="54" t="s">
        <v>120</v>
      </c>
      <c r="M435" s="52" t="s">
        <v>73</v>
      </c>
      <c r="N435" s="55" t="s">
        <v>80</v>
      </c>
    </row>
    <row r="436">
      <c r="A436" s="48">
        <v>999.0</v>
      </c>
      <c r="B436" s="49">
        <v>45425.0</v>
      </c>
      <c r="C436" s="50">
        <v>537.482</v>
      </c>
      <c r="D436" s="51">
        <v>3742.7451550636288</v>
      </c>
      <c r="E436" s="52" t="s">
        <v>49</v>
      </c>
      <c r="F436" s="52" t="s">
        <v>140</v>
      </c>
      <c r="G436" s="52" t="s">
        <v>605</v>
      </c>
      <c r="H436" s="53"/>
      <c r="I436" s="54" t="s">
        <v>181</v>
      </c>
      <c r="J436" s="54">
        <v>5.0</v>
      </c>
      <c r="K436" s="54" t="s">
        <v>78</v>
      </c>
      <c r="L436" s="54" t="s">
        <v>120</v>
      </c>
      <c r="M436" s="52" t="s">
        <v>73</v>
      </c>
      <c r="N436" s="55" t="s">
        <v>80</v>
      </c>
    </row>
    <row r="437">
      <c r="A437" s="48">
        <v>1000.0</v>
      </c>
      <c r="B437" s="49">
        <v>45411.0</v>
      </c>
      <c r="C437" s="50">
        <v>707.214</v>
      </c>
      <c r="D437" s="51">
        <v>5152.136165210724</v>
      </c>
      <c r="E437" s="52" t="s">
        <v>49</v>
      </c>
      <c r="F437" s="52" t="s">
        <v>140</v>
      </c>
      <c r="G437" s="52" t="s">
        <v>606</v>
      </c>
      <c r="H437" s="53"/>
      <c r="I437" s="54" t="s">
        <v>181</v>
      </c>
      <c r="J437" s="54">
        <v>4.0</v>
      </c>
      <c r="K437" s="54" t="s">
        <v>78</v>
      </c>
      <c r="L437" s="54" t="s">
        <v>117</v>
      </c>
      <c r="M437" s="52" t="s">
        <v>73</v>
      </c>
      <c r="N437" s="55" t="s">
        <v>80</v>
      </c>
    </row>
    <row r="438">
      <c r="A438" s="48">
        <v>1002.0</v>
      </c>
      <c r="B438" s="49">
        <v>45411.0</v>
      </c>
      <c r="C438" s="50">
        <v>495.05</v>
      </c>
      <c r="D438" s="51">
        <v>3606.496772670746</v>
      </c>
      <c r="E438" s="52" t="s">
        <v>49</v>
      </c>
      <c r="F438" s="52" t="s">
        <v>140</v>
      </c>
      <c r="G438" s="52" t="s">
        <v>607</v>
      </c>
      <c r="H438" s="53"/>
      <c r="I438" s="54" t="s">
        <v>181</v>
      </c>
      <c r="J438" s="54">
        <v>4.0</v>
      </c>
      <c r="K438" s="54" t="s">
        <v>78</v>
      </c>
      <c r="L438" s="54" t="s">
        <v>117</v>
      </c>
      <c r="M438" s="52" t="s">
        <v>73</v>
      </c>
      <c r="N438" s="55" t="s">
        <v>80</v>
      </c>
    </row>
    <row r="439">
      <c r="A439" s="48">
        <v>1003.0</v>
      </c>
      <c r="B439" s="49">
        <v>45413.0</v>
      </c>
      <c r="C439" s="50">
        <v>558.699</v>
      </c>
      <c r="D439" s="51">
        <v>3981.881259475708</v>
      </c>
      <c r="E439" s="52" t="s">
        <v>49</v>
      </c>
      <c r="F439" s="52" t="s">
        <v>140</v>
      </c>
      <c r="G439" s="52" t="s">
        <v>608</v>
      </c>
      <c r="H439" s="53"/>
      <c r="I439" s="54" t="s">
        <v>181</v>
      </c>
      <c r="J439" s="54">
        <v>5.0</v>
      </c>
      <c r="K439" s="54" t="s">
        <v>78</v>
      </c>
      <c r="L439" s="54" t="s">
        <v>120</v>
      </c>
      <c r="M439" s="52" t="s">
        <v>73</v>
      </c>
      <c r="N439" s="55" t="s">
        <v>80</v>
      </c>
    </row>
    <row r="440">
      <c r="A440" s="48">
        <v>1004.0</v>
      </c>
      <c r="B440" s="49">
        <v>45414.0</v>
      </c>
      <c r="C440" s="50">
        <v>726.21</v>
      </c>
      <c r="D440" s="51">
        <v>5175.742196502686</v>
      </c>
      <c r="E440" s="52" t="s">
        <v>81</v>
      </c>
      <c r="F440" s="52" t="s">
        <v>87</v>
      </c>
      <c r="G440" s="52" t="s">
        <v>609</v>
      </c>
      <c r="H440" s="53"/>
      <c r="I440" s="54" t="s">
        <v>181</v>
      </c>
      <c r="J440" s="54">
        <v>5.0</v>
      </c>
      <c r="K440" s="54" t="s">
        <v>78</v>
      </c>
      <c r="L440" s="54" t="s">
        <v>120</v>
      </c>
      <c r="M440" s="52" t="s">
        <v>73</v>
      </c>
      <c r="N440" s="55" t="s">
        <v>80</v>
      </c>
    </row>
    <row r="441">
      <c r="A441" s="48">
        <v>1005.0</v>
      </c>
      <c r="B441" s="49">
        <v>45418.0</v>
      </c>
      <c r="C441" s="50">
        <v>2155.77</v>
      </c>
      <c r="D441" s="51">
        <v>15198.436926941871</v>
      </c>
      <c r="E441" s="52" t="s">
        <v>81</v>
      </c>
      <c r="F441" s="52" t="s">
        <v>86</v>
      </c>
      <c r="G441" s="52" t="s">
        <v>610</v>
      </c>
      <c r="H441" s="53"/>
      <c r="I441" s="54" t="s">
        <v>181</v>
      </c>
      <c r="J441" s="54">
        <v>5.0</v>
      </c>
      <c r="K441" s="54" t="s">
        <v>78</v>
      </c>
      <c r="L441" s="54" t="s">
        <v>120</v>
      </c>
      <c r="M441" s="52" t="s">
        <v>73</v>
      </c>
      <c r="N441" s="55" t="s">
        <v>80</v>
      </c>
    </row>
    <row r="442">
      <c r="A442" s="48">
        <v>1007.0</v>
      </c>
      <c r="B442" s="49">
        <v>45417.0</v>
      </c>
      <c r="C442" s="50">
        <v>193.29</v>
      </c>
      <c r="D442" s="51">
        <v>1351.1200977230071</v>
      </c>
      <c r="E442" s="52" t="s">
        <v>81</v>
      </c>
      <c r="F442" s="52" t="s">
        <v>97</v>
      </c>
      <c r="G442" s="52" t="s">
        <v>611</v>
      </c>
      <c r="H442" s="53"/>
      <c r="I442" s="54" t="s">
        <v>181</v>
      </c>
      <c r="J442" s="54">
        <v>5.0</v>
      </c>
      <c r="K442" s="54" t="s">
        <v>78</v>
      </c>
      <c r="L442" s="54" t="s">
        <v>120</v>
      </c>
      <c r="M442" s="52" t="s">
        <v>73</v>
      </c>
      <c r="N442" s="55" t="s">
        <v>80</v>
      </c>
    </row>
    <row r="443">
      <c r="A443" s="48">
        <v>1008.0</v>
      </c>
      <c r="B443" s="49">
        <v>45417.0</v>
      </c>
      <c r="C443" s="50">
        <v>844.67</v>
      </c>
      <c r="D443" s="51">
        <v>5904.343799180984</v>
      </c>
      <c r="E443" s="52" t="s">
        <v>81</v>
      </c>
      <c r="F443" s="52" t="s">
        <v>86</v>
      </c>
      <c r="G443" s="52" t="s">
        <v>612</v>
      </c>
      <c r="H443" s="53"/>
      <c r="I443" s="54" t="s">
        <v>181</v>
      </c>
      <c r="J443" s="54">
        <v>5.0</v>
      </c>
      <c r="K443" s="54" t="s">
        <v>78</v>
      </c>
      <c r="L443" s="54" t="s">
        <v>120</v>
      </c>
      <c r="M443" s="52" t="s">
        <v>73</v>
      </c>
      <c r="N443" s="55" t="s">
        <v>80</v>
      </c>
    </row>
    <row r="444">
      <c r="A444" s="48">
        <v>1009.0</v>
      </c>
      <c r="B444" s="49">
        <v>45435.0</v>
      </c>
      <c r="C444" s="50">
        <v>2743.39</v>
      </c>
      <c r="D444" s="51">
        <v>20705.006443419454</v>
      </c>
      <c r="E444" s="52" t="s">
        <v>81</v>
      </c>
      <c r="F444" s="52" t="s">
        <v>86</v>
      </c>
      <c r="G444" s="52" t="s">
        <v>613</v>
      </c>
      <c r="H444" s="53"/>
      <c r="I444" s="54" t="s">
        <v>181</v>
      </c>
      <c r="J444" s="54">
        <v>5.0</v>
      </c>
      <c r="K444" s="54" t="s">
        <v>78</v>
      </c>
      <c r="L444" s="54" t="s">
        <v>120</v>
      </c>
      <c r="M444" s="52" t="s">
        <v>73</v>
      </c>
      <c r="N444" s="55" t="s">
        <v>80</v>
      </c>
    </row>
    <row r="445">
      <c r="A445" s="48">
        <v>1010.0</v>
      </c>
      <c r="B445" s="49">
        <v>45417.0</v>
      </c>
      <c r="C445" s="50">
        <v>1282.7</v>
      </c>
      <c r="D445" s="51">
        <v>8966.225616168977</v>
      </c>
      <c r="E445" s="52" t="s">
        <v>81</v>
      </c>
      <c r="F445" s="52" t="s">
        <v>86</v>
      </c>
      <c r="G445" s="52" t="s">
        <v>614</v>
      </c>
      <c r="H445" s="53"/>
      <c r="I445" s="54" t="s">
        <v>181</v>
      </c>
      <c r="J445" s="54">
        <v>5.0</v>
      </c>
      <c r="K445" s="54" t="s">
        <v>78</v>
      </c>
      <c r="L445" s="54" t="s">
        <v>120</v>
      </c>
      <c r="M445" s="52" t="s">
        <v>73</v>
      </c>
      <c r="N445" s="55" t="s">
        <v>80</v>
      </c>
    </row>
    <row r="446">
      <c r="A446" s="48">
        <v>1011.0</v>
      </c>
      <c r="B446" s="49">
        <v>45420.0</v>
      </c>
      <c r="C446" s="50">
        <v>8219.47</v>
      </c>
      <c r="D446" s="51">
        <v>54735.32352023601</v>
      </c>
      <c r="E446" s="52" t="s">
        <v>81</v>
      </c>
      <c r="F446" s="52" t="s">
        <v>86</v>
      </c>
      <c r="G446" s="52" t="s">
        <v>615</v>
      </c>
      <c r="H446" s="53"/>
      <c r="I446" s="54" t="s">
        <v>181</v>
      </c>
      <c r="J446" s="54">
        <v>5.0</v>
      </c>
      <c r="K446" s="54" t="s">
        <v>78</v>
      </c>
      <c r="L446" s="54" t="s">
        <v>120</v>
      </c>
      <c r="M446" s="52" t="s">
        <v>73</v>
      </c>
      <c r="N446" s="55" t="s">
        <v>80</v>
      </c>
    </row>
    <row r="447">
      <c r="A447" s="48">
        <v>1012.0</v>
      </c>
      <c r="B447" s="49">
        <v>45418.0</v>
      </c>
      <c r="C447" s="50">
        <v>327.0</v>
      </c>
      <c r="D447" s="51">
        <v>2305.389199733734</v>
      </c>
      <c r="E447" s="52" t="s">
        <v>81</v>
      </c>
      <c r="F447" s="52" t="s">
        <v>86</v>
      </c>
      <c r="G447" s="52" t="s">
        <v>616</v>
      </c>
      <c r="H447" s="53"/>
      <c r="I447" s="54" t="s">
        <v>181</v>
      </c>
      <c r="J447" s="54">
        <v>5.0</v>
      </c>
      <c r="K447" s="54" t="s">
        <v>78</v>
      </c>
      <c r="L447" s="54" t="s">
        <v>120</v>
      </c>
      <c r="M447" s="52" t="s">
        <v>73</v>
      </c>
      <c r="N447" s="55" t="s">
        <v>80</v>
      </c>
    </row>
    <row r="448">
      <c r="A448" s="48">
        <v>1013.0</v>
      </c>
      <c r="B448" s="49">
        <v>45430.0</v>
      </c>
      <c r="C448" s="50">
        <v>42.7</v>
      </c>
      <c r="D448" s="51">
        <v>323.45377459526065</v>
      </c>
      <c r="E448" s="52" t="s">
        <v>81</v>
      </c>
      <c r="F448" s="52" t="s">
        <v>97</v>
      </c>
      <c r="G448" s="52" t="s">
        <v>617</v>
      </c>
      <c r="H448" s="53"/>
      <c r="I448" s="54" t="s">
        <v>181</v>
      </c>
      <c r="J448" s="54">
        <v>5.0</v>
      </c>
      <c r="K448" s="54" t="s">
        <v>78</v>
      </c>
      <c r="L448" s="54" t="s">
        <v>120</v>
      </c>
      <c r="M448" s="52" t="s">
        <v>73</v>
      </c>
      <c r="N448" s="55" t="s">
        <v>80</v>
      </c>
    </row>
    <row r="449">
      <c r="A449" s="48">
        <v>1014.0</v>
      </c>
      <c r="B449" s="49">
        <v>45417.0</v>
      </c>
      <c r="C449" s="50">
        <v>239.78</v>
      </c>
      <c r="D449" s="51">
        <v>1677.6780560016632</v>
      </c>
      <c r="E449" s="52" t="s">
        <v>81</v>
      </c>
      <c r="F449" s="52" t="s">
        <v>97</v>
      </c>
      <c r="G449" s="52" t="s">
        <v>618</v>
      </c>
      <c r="H449" s="53"/>
      <c r="I449" s="54" t="s">
        <v>181</v>
      </c>
      <c r="J449" s="54">
        <v>5.0</v>
      </c>
      <c r="K449" s="54" t="s">
        <v>78</v>
      </c>
      <c r="L449" s="54" t="s">
        <v>120</v>
      </c>
      <c r="M449" s="52" t="s">
        <v>73</v>
      </c>
      <c r="N449" s="55" t="s">
        <v>80</v>
      </c>
    </row>
    <row r="450">
      <c r="A450" s="48">
        <v>1015.0</v>
      </c>
      <c r="B450" s="49">
        <v>45418.0</v>
      </c>
      <c r="C450" s="50">
        <v>176.44</v>
      </c>
      <c r="D450" s="51">
        <v>1233.3365929031372</v>
      </c>
      <c r="E450" s="52" t="s">
        <v>81</v>
      </c>
      <c r="F450" s="52" t="s">
        <v>97</v>
      </c>
      <c r="G450" s="52" t="s">
        <v>619</v>
      </c>
      <c r="H450" s="53"/>
      <c r="I450" s="54" t="s">
        <v>181</v>
      </c>
      <c r="J450" s="54">
        <v>5.0</v>
      </c>
      <c r="K450" s="54" t="s">
        <v>78</v>
      </c>
      <c r="L450" s="54" t="s">
        <v>120</v>
      </c>
      <c r="M450" s="52" t="s">
        <v>73</v>
      </c>
      <c r="N450" s="55" t="s">
        <v>80</v>
      </c>
    </row>
    <row r="451">
      <c r="A451" s="48">
        <v>1016.0</v>
      </c>
      <c r="B451" s="49">
        <v>45417.0</v>
      </c>
      <c r="C451" s="50">
        <v>124.2</v>
      </c>
      <c r="D451" s="51">
        <v>868.1727773666382</v>
      </c>
      <c r="E451" s="52" t="s">
        <v>81</v>
      </c>
      <c r="F451" s="52" t="s">
        <v>86</v>
      </c>
      <c r="G451" s="52" t="s">
        <v>620</v>
      </c>
      <c r="H451" s="53"/>
      <c r="I451" s="54" t="s">
        <v>181</v>
      </c>
      <c r="J451" s="54">
        <v>5.0</v>
      </c>
      <c r="K451" s="54" t="s">
        <v>78</v>
      </c>
      <c r="L451" s="54" t="s">
        <v>120</v>
      </c>
      <c r="M451" s="52" t="s">
        <v>73</v>
      </c>
      <c r="N451" s="55" t="s">
        <v>80</v>
      </c>
    </row>
    <row r="452">
      <c r="A452" s="48">
        <v>1017.0</v>
      </c>
      <c r="B452" s="49">
        <v>45417.0</v>
      </c>
      <c r="C452" s="50">
        <v>230.37</v>
      </c>
      <c r="D452" s="51">
        <v>1610.3137095165253</v>
      </c>
      <c r="E452" s="52" t="s">
        <v>81</v>
      </c>
      <c r="F452" s="52" t="s">
        <v>97</v>
      </c>
      <c r="G452" s="52" t="s">
        <v>621</v>
      </c>
      <c r="H452" s="53"/>
      <c r="I452" s="54" t="s">
        <v>181</v>
      </c>
      <c r="J452" s="54">
        <v>5.0</v>
      </c>
      <c r="K452" s="54" t="s">
        <v>78</v>
      </c>
      <c r="L452" s="54" t="s">
        <v>120</v>
      </c>
      <c r="M452" s="52" t="s">
        <v>73</v>
      </c>
      <c r="N452" s="55" t="s">
        <v>80</v>
      </c>
    </row>
    <row r="453">
      <c r="A453" s="48">
        <v>1018.0</v>
      </c>
      <c r="B453" s="49">
        <v>45415.0</v>
      </c>
      <c r="C453" s="50">
        <v>58.08</v>
      </c>
      <c r="D453" s="51">
        <v>413.66097702026366</v>
      </c>
      <c r="E453" s="52" t="s">
        <v>49</v>
      </c>
      <c r="F453" s="52" t="s">
        <v>144</v>
      </c>
      <c r="G453" s="52" t="s">
        <v>622</v>
      </c>
      <c r="H453" s="53"/>
      <c r="I453" s="54" t="s">
        <v>181</v>
      </c>
      <c r="J453" s="54">
        <v>5.0</v>
      </c>
      <c r="K453" s="54" t="s">
        <v>78</v>
      </c>
      <c r="L453" s="54" t="s">
        <v>120</v>
      </c>
      <c r="M453" s="52" t="s">
        <v>73</v>
      </c>
      <c r="N453" s="55" t="s">
        <v>80</v>
      </c>
    </row>
    <row r="454">
      <c r="A454" s="48">
        <v>1019.0</v>
      </c>
      <c r="B454" s="49">
        <v>45415.0</v>
      </c>
      <c r="C454" s="50">
        <v>198.55</v>
      </c>
      <c r="D454" s="51">
        <v>1414.125120306015</v>
      </c>
      <c r="E454" s="52" t="s">
        <v>49</v>
      </c>
      <c r="F454" s="52" t="s">
        <v>144</v>
      </c>
      <c r="G454" s="52" t="s">
        <v>623</v>
      </c>
      <c r="H454" s="53"/>
      <c r="I454" s="54" t="s">
        <v>181</v>
      </c>
      <c r="J454" s="54">
        <v>5.0</v>
      </c>
      <c r="K454" s="54" t="s">
        <v>78</v>
      </c>
      <c r="L454" s="54" t="s">
        <v>120</v>
      </c>
      <c r="M454" s="52" t="s">
        <v>73</v>
      </c>
      <c r="N454" s="55" t="s">
        <v>80</v>
      </c>
    </row>
    <row r="455">
      <c r="A455" s="48">
        <v>1020.0</v>
      </c>
      <c r="B455" s="49">
        <v>45419.0</v>
      </c>
      <c r="C455" s="50">
        <v>31.62</v>
      </c>
      <c r="D455" s="51">
        <v>213.43379379272463</v>
      </c>
      <c r="E455" s="52" t="s">
        <v>49</v>
      </c>
      <c r="F455" s="52" t="s">
        <v>144</v>
      </c>
      <c r="G455" s="52" t="s">
        <v>624</v>
      </c>
      <c r="H455" s="53"/>
      <c r="I455" s="54" t="s">
        <v>181</v>
      </c>
      <c r="J455" s="54">
        <v>5.0</v>
      </c>
      <c r="K455" s="54" t="s">
        <v>78</v>
      </c>
      <c r="L455" s="54" t="s">
        <v>120</v>
      </c>
      <c r="M455" s="52" t="s">
        <v>73</v>
      </c>
      <c r="N455" s="55" t="s">
        <v>80</v>
      </c>
    </row>
    <row r="456">
      <c r="A456" s="48">
        <v>1021.0</v>
      </c>
      <c r="B456" s="49">
        <v>45419.0</v>
      </c>
      <c r="C456" s="50">
        <v>132.38</v>
      </c>
      <c r="D456" s="51">
        <v>893.5599501037598</v>
      </c>
      <c r="E456" s="52" t="s">
        <v>49</v>
      </c>
      <c r="F456" s="52" t="s">
        <v>144</v>
      </c>
      <c r="G456" s="52" t="s">
        <v>625</v>
      </c>
      <c r="H456" s="53"/>
      <c r="I456" s="54" t="s">
        <v>181</v>
      </c>
      <c r="J456" s="54">
        <v>5.0</v>
      </c>
      <c r="K456" s="54" t="s">
        <v>78</v>
      </c>
      <c r="L456" s="54" t="s">
        <v>120</v>
      </c>
      <c r="M456" s="52" t="s">
        <v>73</v>
      </c>
      <c r="N456" s="55" t="s">
        <v>80</v>
      </c>
    </row>
    <row r="457">
      <c r="A457" s="48">
        <v>1022.0</v>
      </c>
      <c r="B457" s="49">
        <v>45459.0</v>
      </c>
      <c r="C457" s="50">
        <v>19.41</v>
      </c>
      <c r="D457" s="51">
        <v>112.46565228939056</v>
      </c>
      <c r="E457" s="52" t="s">
        <v>81</v>
      </c>
      <c r="F457" s="52" t="s">
        <v>93</v>
      </c>
      <c r="G457" s="52" t="s">
        <v>626</v>
      </c>
      <c r="H457" s="53"/>
      <c r="I457" s="54" t="s">
        <v>181</v>
      </c>
      <c r="J457" s="54">
        <v>6.0</v>
      </c>
      <c r="K457" s="54" t="s">
        <v>78</v>
      </c>
      <c r="L457" s="54" t="s">
        <v>122</v>
      </c>
      <c r="M457" s="52" t="s">
        <v>73</v>
      </c>
      <c r="N457" s="55" t="s">
        <v>80</v>
      </c>
    </row>
    <row r="458">
      <c r="A458" s="48">
        <v>1023.0</v>
      </c>
      <c r="B458" s="49">
        <v>45416.0</v>
      </c>
      <c r="C458" s="50">
        <v>201.27</v>
      </c>
      <c r="D458" s="51">
        <v>1408.233640551567</v>
      </c>
      <c r="E458" s="52" t="s">
        <v>81</v>
      </c>
      <c r="F458" s="52" t="s">
        <v>93</v>
      </c>
      <c r="G458" s="52" t="s">
        <v>627</v>
      </c>
      <c r="H458" s="53"/>
      <c r="I458" s="54" t="s">
        <v>181</v>
      </c>
      <c r="J458" s="54">
        <v>5.0</v>
      </c>
      <c r="K458" s="54" t="s">
        <v>78</v>
      </c>
      <c r="L458" s="54" t="s">
        <v>120</v>
      </c>
      <c r="M458" s="52" t="s">
        <v>73</v>
      </c>
      <c r="N458" s="55" t="s">
        <v>80</v>
      </c>
    </row>
    <row r="459">
      <c r="A459" s="48">
        <v>1024.0</v>
      </c>
      <c r="B459" s="49">
        <v>45417.0</v>
      </c>
      <c r="C459" s="50">
        <v>201.27</v>
      </c>
      <c r="D459" s="51">
        <v>1406.9012471866608</v>
      </c>
      <c r="E459" s="52" t="s">
        <v>81</v>
      </c>
      <c r="F459" s="52" t="s">
        <v>93</v>
      </c>
      <c r="G459" s="52" t="s">
        <v>628</v>
      </c>
      <c r="H459" s="53"/>
      <c r="I459" s="54" t="s">
        <v>181</v>
      </c>
      <c r="J459" s="54">
        <v>5.0</v>
      </c>
      <c r="K459" s="54" t="s">
        <v>78</v>
      </c>
      <c r="L459" s="54" t="s">
        <v>120</v>
      </c>
      <c r="M459" s="52" t="s">
        <v>73</v>
      </c>
      <c r="N459" s="55" t="s">
        <v>80</v>
      </c>
    </row>
    <row r="460">
      <c r="A460" s="48">
        <v>1025.0</v>
      </c>
      <c r="B460" s="49">
        <v>45428.0</v>
      </c>
      <c r="C460" s="50">
        <v>237.21</v>
      </c>
      <c r="D460" s="51">
        <v>1645.6526320695878</v>
      </c>
      <c r="E460" s="52" t="s">
        <v>81</v>
      </c>
      <c r="F460" s="52" t="s">
        <v>93</v>
      </c>
      <c r="G460" s="52" t="s">
        <v>629</v>
      </c>
      <c r="H460" s="53"/>
      <c r="I460" s="54" t="s">
        <v>181</v>
      </c>
      <c r="J460" s="54">
        <v>5.0</v>
      </c>
      <c r="K460" s="54" t="s">
        <v>78</v>
      </c>
      <c r="L460" s="54" t="s">
        <v>120</v>
      </c>
      <c r="M460" s="52" t="s">
        <v>73</v>
      </c>
      <c r="N460" s="55" t="s">
        <v>80</v>
      </c>
    </row>
    <row r="461">
      <c r="A461" s="48">
        <v>1026.0</v>
      </c>
      <c r="B461" s="49">
        <v>45417.0</v>
      </c>
      <c r="C461" s="50">
        <v>201.27</v>
      </c>
      <c r="D461" s="51">
        <v>1408.233640551567</v>
      </c>
      <c r="E461" s="52" t="s">
        <v>81</v>
      </c>
      <c r="F461" s="52" t="s">
        <v>93</v>
      </c>
      <c r="G461" s="52" t="s">
        <v>630</v>
      </c>
      <c r="H461" s="53"/>
      <c r="I461" s="54" t="s">
        <v>181</v>
      </c>
      <c r="J461" s="54">
        <v>5.0</v>
      </c>
      <c r="K461" s="54" t="s">
        <v>78</v>
      </c>
      <c r="L461" s="54" t="s">
        <v>120</v>
      </c>
      <c r="M461" s="52" t="s">
        <v>73</v>
      </c>
      <c r="N461" s="55" t="s">
        <v>80</v>
      </c>
    </row>
    <row r="462">
      <c r="A462" s="48">
        <v>1027.0</v>
      </c>
      <c r="B462" s="49">
        <v>45417.0</v>
      </c>
      <c r="C462" s="50">
        <v>220.67</v>
      </c>
      <c r="D462" s="51">
        <v>1542.5095554065704</v>
      </c>
      <c r="E462" s="52" t="s">
        <v>81</v>
      </c>
      <c r="F462" s="52" t="s">
        <v>93</v>
      </c>
      <c r="G462" s="52" t="s">
        <v>631</v>
      </c>
      <c r="H462" s="53"/>
      <c r="I462" s="54" t="s">
        <v>181</v>
      </c>
      <c r="J462" s="54">
        <v>5.0</v>
      </c>
      <c r="K462" s="54" t="s">
        <v>78</v>
      </c>
      <c r="L462" s="54" t="s">
        <v>120</v>
      </c>
      <c r="M462" s="52" t="s">
        <v>73</v>
      </c>
      <c r="N462" s="55" t="s">
        <v>80</v>
      </c>
    </row>
    <row r="463">
      <c r="A463" s="48">
        <v>1028.0</v>
      </c>
      <c r="B463" s="49">
        <v>45457.0</v>
      </c>
      <c r="C463" s="50">
        <v>201.27</v>
      </c>
      <c r="D463" s="51">
        <v>1222.4968730020523</v>
      </c>
      <c r="E463" s="52" t="s">
        <v>81</v>
      </c>
      <c r="F463" s="52" t="s">
        <v>93</v>
      </c>
      <c r="G463" s="52" t="s">
        <v>632</v>
      </c>
      <c r="H463" s="53"/>
      <c r="I463" s="54" t="s">
        <v>181</v>
      </c>
      <c r="J463" s="54">
        <v>6.0</v>
      </c>
      <c r="K463" s="54" t="s">
        <v>78</v>
      </c>
      <c r="L463" s="54" t="s">
        <v>122</v>
      </c>
      <c r="M463" s="52" t="s">
        <v>73</v>
      </c>
      <c r="N463" s="55" t="s">
        <v>80</v>
      </c>
    </row>
    <row r="464">
      <c r="A464" s="48">
        <v>1029.0</v>
      </c>
      <c r="B464" s="49">
        <v>45417.0</v>
      </c>
      <c r="C464" s="50">
        <v>201.27</v>
      </c>
      <c r="D464" s="51">
        <v>1406.9012471866608</v>
      </c>
      <c r="E464" s="52" t="s">
        <v>81</v>
      </c>
      <c r="F464" s="52" t="s">
        <v>93</v>
      </c>
      <c r="G464" s="52" t="s">
        <v>633</v>
      </c>
      <c r="H464" s="53"/>
      <c r="I464" s="54" t="s">
        <v>181</v>
      </c>
      <c r="J464" s="54">
        <v>5.0</v>
      </c>
      <c r="K464" s="54" t="s">
        <v>78</v>
      </c>
      <c r="L464" s="54" t="s">
        <v>120</v>
      </c>
      <c r="M464" s="52" t="s">
        <v>73</v>
      </c>
      <c r="N464" s="55" t="s">
        <v>80</v>
      </c>
    </row>
    <row r="465">
      <c r="A465" s="48">
        <v>1030.0</v>
      </c>
      <c r="B465" s="49">
        <v>45422.0</v>
      </c>
      <c r="C465" s="50">
        <v>201.27</v>
      </c>
      <c r="D465" s="51">
        <v>1332.4836755132676</v>
      </c>
      <c r="E465" s="52" t="s">
        <v>81</v>
      </c>
      <c r="F465" s="52" t="s">
        <v>93</v>
      </c>
      <c r="G465" s="52" t="s">
        <v>634</v>
      </c>
      <c r="H465" s="53"/>
      <c r="I465" s="54" t="s">
        <v>181</v>
      </c>
      <c r="J465" s="54">
        <v>5.0</v>
      </c>
      <c r="K465" s="54" t="s">
        <v>78</v>
      </c>
      <c r="L465" s="54" t="s">
        <v>120</v>
      </c>
      <c r="M465" s="52" t="s">
        <v>73</v>
      </c>
      <c r="N465" s="55" t="s">
        <v>80</v>
      </c>
    </row>
    <row r="466">
      <c r="A466" s="48">
        <v>1031.0</v>
      </c>
      <c r="B466" s="49">
        <v>45417.0</v>
      </c>
      <c r="C466" s="50">
        <v>201.27</v>
      </c>
      <c r="D466" s="51">
        <v>1406.9012471866608</v>
      </c>
      <c r="E466" s="52" t="s">
        <v>81</v>
      </c>
      <c r="F466" s="52" t="s">
        <v>93</v>
      </c>
      <c r="G466" s="52" t="s">
        <v>635</v>
      </c>
      <c r="H466" s="53"/>
      <c r="I466" s="54" t="s">
        <v>181</v>
      </c>
      <c r="J466" s="54">
        <v>5.0</v>
      </c>
      <c r="K466" s="54" t="s">
        <v>78</v>
      </c>
      <c r="L466" s="54" t="s">
        <v>120</v>
      </c>
      <c r="M466" s="52" t="s">
        <v>73</v>
      </c>
      <c r="N466" s="55" t="s">
        <v>80</v>
      </c>
    </row>
    <row r="467">
      <c r="A467" s="48">
        <v>1032.0</v>
      </c>
      <c r="B467" s="49">
        <v>45417.0</v>
      </c>
      <c r="C467" s="50">
        <v>202.02</v>
      </c>
      <c r="D467" s="51">
        <v>1412.1438364219666</v>
      </c>
      <c r="E467" s="52" t="s">
        <v>81</v>
      </c>
      <c r="F467" s="52" t="s">
        <v>93</v>
      </c>
      <c r="G467" s="52" t="s">
        <v>636</v>
      </c>
      <c r="H467" s="53"/>
      <c r="I467" s="54" t="s">
        <v>181</v>
      </c>
      <c r="J467" s="54">
        <v>5.0</v>
      </c>
      <c r="K467" s="54" t="s">
        <v>78</v>
      </c>
      <c r="L467" s="54" t="s">
        <v>120</v>
      </c>
      <c r="M467" s="52" t="s">
        <v>73</v>
      </c>
      <c r="N467" s="55" t="s">
        <v>80</v>
      </c>
    </row>
    <row r="468">
      <c r="A468" s="48">
        <v>1033.0</v>
      </c>
      <c r="B468" s="49">
        <v>45417.0</v>
      </c>
      <c r="C468" s="50">
        <v>202.02</v>
      </c>
      <c r="D468" s="51">
        <v>1412.1438364219666</v>
      </c>
      <c r="E468" s="52" t="s">
        <v>81</v>
      </c>
      <c r="F468" s="52" t="s">
        <v>93</v>
      </c>
      <c r="G468" s="52" t="s">
        <v>637</v>
      </c>
      <c r="H468" s="53"/>
      <c r="I468" s="54" t="s">
        <v>181</v>
      </c>
      <c r="J468" s="54">
        <v>5.0</v>
      </c>
      <c r="K468" s="54" t="s">
        <v>78</v>
      </c>
      <c r="L468" s="54" t="s">
        <v>120</v>
      </c>
      <c r="M468" s="52" t="s">
        <v>73</v>
      </c>
      <c r="N468" s="55" t="s">
        <v>80</v>
      </c>
    </row>
    <row r="469">
      <c r="A469" s="48">
        <v>1034.0</v>
      </c>
      <c r="B469" s="49">
        <v>45417.0</v>
      </c>
      <c r="C469" s="50">
        <v>221.5</v>
      </c>
      <c r="D469" s="51">
        <v>1548.3113541603088</v>
      </c>
      <c r="E469" s="52" t="s">
        <v>81</v>
      </c>
      <c r="F469" s="52" t="s">
        <v>93</v>
      </c>
      <c r="G469" s="52" t="s">
        <v>638</v>
      </c>
      <c r="H469" s="53"/>
      <c r="I469" s="54" t="s">
        <v>181</v>
      </c>
      <c r="J469" s="54">
        <v>5.0</v>
      </c>
      <c r="K469" s="54" t="s">
        <v>78</v>
      </c>
      <c r="L469" s="54" t="s">
        <v>120</v>
      </c>
      <c r="M469" s="52" t="s">
        <v>73</v>
      </c>
      <c r="N469" s="55" t="s">
        <v>80</v>
      </c>
    </row>
    <row r="470">
      <c r="A470" s="48">
        <v>1035.0</v>
      </c>
      <c r="B470" s="49">
        <v>45423.0</v>
      </c>
      <c r="C470" s="50">
        <v>202.02</v>
      </c>
      <c r="D470" s="51">
        <v>1308.8677543830872</v>
      </c>
      <c r="E470" s="52" t="s">
        <v>81</v>
      </c>
      <c r="F470" s="52" t="s">
        <v>93</v>
      </c>
      <c r="G470" s="52" t="s">
        <v>639</v>
      </c>
      <c r="H470" s="53"/>
      <c r="I470" s="54" t="s">
        <v>181</v>
      </c>
      <c r="J470" s="54">
        <v>5.0</v>
      </c>
      <c r="K470" s="54" t="s">
        <v>78</v>
      </c>
      <c r="L470" s="54" t="s">
        <v>120</v>
      </c>
      <c r="M470" s="52" t="s">
        <v>73</v>
      </c>
      <c r="N470" s="55" t="s">
        <v>80</v>
      </c>
    </row>
    <row r="471">
      <c r="A471" s="48">
        <v>1036.0</v>
      </c>
      <c r="B471" s="49">
        <v>45461.0</v>
      </c>
      <c r="C471" s="50">
        <v>132.38</v>
      </c>
      <c r="D471" s="51">
        <v>742.7923941612244</v>
      </c>
      <c r="E471" s="52" t="s">
        <v>49</v>
      </c>
      <c r="F471" s="52" t="s">
        <v>144</v>
      </c>
      <c r="G471" s="52" t="s">
        <v>640</v>
      </c>
      <c r="H471" s="53"/>
      <c r="I471" s="54" t="s">
        <v>181</v>
      </c>
      <c r="J471" s="54">
        <v>6.0</v>
      </c>
      <c r="K471" s="54" t="s">
        <v>78</v>
      </c>
      <c r="L471" s="54" t="s">
        <v>122</v>
      </c>
      <c r="M471" s="52" t="s">
        <v>73</v>
      </c>
      <c r="N471" s="55" t="s">
        <v>80</v>
      </c>
    </row>
    <row r="472">
      <c r="A472" s="48">
        <v>1037.0</v>
      </c>
      <c r="B472" s="49">
        <v>45419.0</v>
      </c>
      <c r="C472" s="50">
        <v>91.09</v>
      </c>
      <c r="D472" s="51">
        <v>642.1954195833206</v>
      </c>
      <c r="E472" s="52" t="s">
        <v>49</v>
      </c>
      <c r="F472" s="52" t="s">
        <v>144</v>
      </c>
      <c r="G472" s="52" t="s">
        <v>641</v>
      </c>
      <c r="H472" s="53"/>
      <c r="I472" s="54" t="s">
        <v>181</v>
      </c>
      <c r="J472" s="54">
        <v>5.0</v>
      </c>
      <c r="K472" s="54" t="s">
        <v>78</v>
      </c>
      <c r="L472" s="54" t="s">
        <v>120</v>
      </c>
      <c r="M472" s="52" t="s">
        <v>73</v>
      </c>
      <c r="N472" s="55" t="s">
        <v>80</v>
      </c>
    </row>
    <row r="473">
      <c r="A473" s="48">
        <v>1038.0</v>
      </c>
      <c r="B473" s="49">
        <v>45419.0</v>
      </c>
      <c r="C473" s="50">
        <v>132.36</v>
      </c>
      <c r="D473" s="51">
        <v>933.1538669013978</v>
      </c>
      <c r="E473" s="52" t="s">
        <v>49</v>
      </c>
      <c r="F473" s="52" t="s">
        <v>144</v>
      </c>
      <c r="G473" s="52" t="s">
        <v>642</v>
      </c>
      <c r="H473" s="53"/>
      <c r="I473" s="54" t="s">
        <v>181</v>
      </c>
      <c r="J473" s="54">
        <v>5.0</v>
      </c>
      <c r="K473" s="54" t="s">
        <v>78</v>
      </c>
      <c r="L473" s="54" t="s">
        <v>120</v>
      </c>
      <c r="M473" s="52" t="s">
        <v>73</v>
      </c>
      <c r="N473" s="55" t="s">
        <v>80</v>
      </c>
    </row>
    <row r="474">
      <c r="A474" s="48">
        <v>1040.0</v>
      </c>
      <c r="B474" s="49">
        <v>45421.0</v>
      </c>
      <c r="C474" s="50">
        <v>1287.59</v>
      </c>
      <c r="D474" s="51">
        <v>8574.355184874534</v>
      </c>
      <c r="E474" s="52" t="s">
        <v>50</v>
      </c>
      <c r="F474" s="52" t="s">
        <v>157</v>
      </c>
      <c r="G474" s="52" t="s">
        <v>643</v>
      </c>
      <c r="H474" s="53"/>
      <c r="I474" s="54" t="s">
        <v>181</v>
      </c>
      <c r="J474" s="54">
        <v>5.0</v>
      </c>
      <c r="K474" s="54" t="s">
        <v>78</v>
      </c>
      <c r="L474" s="54" t="s">
        <v>120</v>
      </c>
      <c r="M474" s="52" t="s">
        <v>73</v>
      </c>
      <c r="N474" s="55" t="s">
        <v>80</v>
      </c>
    </row>
    <row r="475">
      <c r="A475" s="48">
        <v>1041.0</v>
      </c>
      <c r="B475" s="49">
        <v>45425.0</v>
      </c>
      <c r="C475" s="50">
        <v>948.9</v>
      </c>
      <c r="D475" s="51">
        <v>6669.936915206909</v>
      </c>
      <c r="E475" s="52" t="s">
        <v>50</v>
      </c>
      <c r="F475" s="52" t="s">
        <v>157</v>
      </c>
      <c r="G475" s="52" t="s">
        <v>644</v>
      </c>
      <c r="H475" s="53"/>
      <c r="I475" s="54" t="s">
        <v>181</v>
      </c>
      <c r="J475" s="54">
        <v>5.0</v>
      </c>
      <c r="K475" s="54" t="s">
        <v>78</v>
      </c>
      <c r="L475" s="54" t="s">
        <v>120</v>
      </c>
      <c r="M475" s="52" t="s">
        <v>73</v>
      </c>
      <c r="N475" s="55" t="s">
        <v>80</v>
      </c>
    </row>
    <row r="476">
      <c r="A476" s="48">
        <v>1042.0</v>
      </c>
      <c r="B476" s="49">
        <v>45423.0</v>
      </c>
      <c r="C476" s="50">
        <v>1000.0</v>
      </c>
      <c r="D476" s="51">
        <v>6665.497779846191</v>
      </c>
      <c r="E476" s="52" t="s">
        <v>50</v>
      </c>
      <c r="F476" s="52" t="s">
        <v>157</v>
      </c>
      <c r="G476" s="52" t="s">
        <v>645</v>
      </c>
      <c r="H476" s="53"/>
      <c r="I476" s="54" t="s">
        <v>181</v>
      </c>
      <c r="J476" s="54">
        <v>5.0</v>
      </c>
      <c r="K476" s="54" t="s">
        <v>78</v>
      </c>
      <c r="L476" s="54" t="s">
        <v>120</v>
      </c>
      <c r="M476" s="52" t="s">
        <v>73</v>
      </c>
      <c r="N476" s="55" t="s">
        <v>80</v>
      </c>
    </row>
    <row r="477">
      <c r="A477" s="48">
        <v>1043.0</v>
      </c>
      <c r="B477" s="49">
        <v>45431.0</v>
      </c>
      <c r="C477" s="50">
        <v>107.75</v>
      </c>
      <c r="D477" s="51">
        <v>803.2192622423172</v>
      </c>
      <c r="E477" s="52" t="s">
        <v>50</v>
      </c>
      <c r="F477" s="52" t="s">
        <v>157</v>
      </c>
      <c r="G477" s="52" t="s">
        <v>646</v>
      </c>
      <c r="H477" s="53"/>
      <c r="I477" s="54" t="s">
        <v>181</v>
      </c>
      <c r="J477" s="54">
        <v>5.0</v>
      </c>
      <c r="K477" s="54" t="s">
        <v>78</v>
      </c>
      <c r="L477" s="54" t="s">
        <v>120</v>
      </c>
      <c r="M477" s="52" t="s">
        <v>73</v>
      </c>
      <c r="N477" s="55" t="s">
        <v>80</v>
      </c>
    </row>
    <row r="478">
      <c r="A478" s="48">
        <v>1044.0</v>
      </c>
      <c r="B478" s="49">
        <v>45423.0</v>
      </c>
      <c r="C478" s="50">
        <v>107.75</v>
      </c>
      <c r="D478" s="51">
        <v>698.1016757488251</v>
      </c>
      <c r="E478" s="52" t="s">
        <v>50</v>
      </c>
      <c r="F478" s="52" t="s">
        <v>157</v>
      </c>
      <c r="G478" s="52" t="s">
        <v>647</v>
      </c>
      <c r="H478" s="53"/>
      <c r="I478" s="54" t="s">
        <v>181</v>
      </c>
      <c r="J478" s="54">
        <v>5.0</v>
      </c>
      <c r="K478" s="54" t="s">
        <v>78</v>
      </c>
      <c r="L478" s="54" t="s">
        <v>120</v>
      </c>
      <c r="M478" s="52" t="s">
        <v>73</v>
      </c>
      <c r="N478" s="55" t="s">
        <v>80</v>
      </c>
    </row>
    <row r="479">
      <c r="A479" s="48">
        <v>1045.0</v>
      </c>
      <c r="B479" s="49">
        <v>45425.0</v>
      </c>
      <c r="C479" s="50">
        <v>89.8</v>
      </c>
      <c r="D479" s="51">
        <v>625.320503616333</v>
      </c>
      <c r="E479" s="52" t="s">
        <v>50</v>
      </c>
      <c r="F479" s="52" t="s">
        <v>157</v>
      </c>
      <c r="G479" s="52" t="s">
        <v>648</v>
      </c>
      <c r="H479" s="53"/>
      <c r="I479" s="54" t="s">
        <v>181</v>
      </c>
      <c r="J479" s="54">
        <v>5.0</v>
      </c>
      <c r="K479" s="54" t="s">
        <v>78</v>
      </c>
      <c r="L479" s="54" t="s">
        <v>120</v>
      </c>
      <c r="M479" s="52" t="s">
        <v>73</v>
      </c>
      <c r="N479" s="55" t="s">
        <v>80</v>
      </c>
    </row>
    <row r="480">
      <c r="A480" s="48">
        <v>1046.0</v>
      </c>
      <c r="B480" s="49">
        <v>45421.0</v>
      </c>
      <c r="C480" s="50">
        <v>74.8</v>
      </c>
      <c r="D480" s="51">
        <v>495.204347038269</v>
      </c>
      <c r="E480" s="52" t="s">
        <v>50</v>
      </c>
      <c r="F480" s="52" t="s">
        <v>157</v>
      </c>
      <c r="G480" s="52" t="s">
        <v>649</v>
      </c>
      <c r="H480" s="53"/>
      <c r="I480" s="54" t="s">
        <v>181</v>
      </c>
      <c r="J480" s="54">
        <v>5.0</v>
      </c>
      <c r="K480" s="54" t="s">
        <v>78</v>
      </c>
      <c r="L480" s="54" t="s">
        <v>120</v>
      </c>
      <c r="M480" s="52" t="s">
        <v>73</v>
      </c>
      <c r="N480" s="55" t="s">
        <v>80</v>
      </c>
    </row>
    <row r="481">
      <c r="A481" s="48">
        <v>1047.0</v>
      </c>
      <c r="B481" s="49">
        <v>45421.0</v>
      </c>
      <c r="C481" s="50">
        <v>215.5</v>
      </c>
      <c r="D481" s="51">
        <v>1426.6916682720184</v>
      </c>
      <c r="E481" s="52" t="s">
        <v>50</v>
      </c>
      <c r="F481" s="52" t="s">
        <v>157</v>
      </c>
      <c r="G481" s="52" t="s">
        <v>650</v>
      </c>
      <c r="H481" s="53"/>
      <c r="I481" s="54" t="s">
        <v>181</v>
      </c>
      <c r="J481" s="54">
        <v>5.0</v>
      </c>
      <c r="K481" s="54" t="s">
        <v>78</v>
      </c>
      <c r="L481" s="54" t="s">
        <v>120</v>
      </c>
      <c r="M481" s="52" t="s">
        <v>73</v>
      </c>
      <c r="N481" s="55" t="s">
        <v>80</v>
      </c>
    </row>
    <row r="482">
      <c r="A482" s="48">
        <v>1048.0</v>
      </c>
      <c r="B482" s="49">
        <v>45421.0</v>
      </c>
      <c r="C482" s="50">
        <v>74.8</v>
      </c>
      <c r="D482" s="51">
        <v>495.204347038269</v>
      </c>
      <c r="E482" s="52" t="s">
        <v>50</v>
      </c>
      <c r="F482" s="52" t="s">
        <v>157</v>
      </c>
      <c r="G482" s="52" t="s">
        <v>651</v>
      </c>
      <c r="H482" s="53"/>
      <c r="I482" s="54" t="s">
        <v>181</v>
      </c>
      <c r="J482" s="54">
        <v>5.0</v>
      </c>
      <c r="K482" s="54" t="s">
        <v>78</v>
      </c>
      <c r="L482" s="54" t="s">
        <v>120</v>
      </c>
      <c r="M482" s="52" t="s">
        <v>73</v>
      </c>
      <c r="N482" s="55" t="s">
        <v>80</v>
      </c>
    </row>
    <row r="483">
      <c r="A483" s="48">
        <v>1049.0</v>
      </c>
      <c r="B483" s="49">
        <v>45421.0</v>
      </c>
      <c r="C483" s="50">
        <v>179.6</v>
      </c>
      <c r="D483" s="51">
        <v>1189.0200632095336</v>
      </c>
      <c r="E483" s="52" t="s">
        <v>50</v>
      </c>
      <c r="F483" s="52" t="s">
        <v>157</v>
      </c>
      <c r="G483" s="52" t="s">
        <v>652</v>
      </c>
      <c r="H483" s="53"/>
      <c r="I483" s="54" t="s">
        <v>181</v>
      </c>
      <c r="J483" s="54">
        <v>5.0</v>
      </c>
      <c r="K483" s="54" t="s">
        <v>78</v>
      </c>
      <c r="L483" s="54" t="s">
        <v>120</v>
      </c>
      <c r="M483" s="52" t="s">
        <v>73</v>
      </c>
      <c r="N483" s="55" t="s">
        <v>80</v>
      </c>
    </row>
    <row r="484">
      <c r="A484" s="48">
        <v>1050.0</v>
      </c>
      <c r="B484" s="49">
        <v>45422.0</v>
      </c>
      <c r="C484" s="50">
        <v>251.42</v>
      </c>
      <c r="D484" s="51">
        <v>1664.495680913925</v>
      </c>
      <c r="E484" s="52" t="s">
        <v>50</v>
      </c>
      <c r="F484" s="52" t="s">
        <v>157</v>
      </c>
      <c r="G484" s="52" t="s">
        <v>653</v>
      </c>
      <c r="H484" s="53"/>
      <c r="I484" s="54" t="s">
        <v>181</v>
      </c>
      <c r="J484" s="54">
        <v>5.0</v>
      </c>
      <c r="K484" s="54" t="s">
        <v>78</v>
      </c>
      <c r="L484" s="54" t="s">
        <v>120</v>
      </c>
      <c r="M484" s="52" t="s">
        <v>73</v>
      </c>
      <c r="N484" s="55" t="s">
        <v>80</v>
      </c>
    </row>
    <row r="485">
      <c r="A485" s="48">
        <v>1051.0</v>
      </c>
      <c r="B485" s="49">
        <v>45423.0</v>
      </c>
      <c r="C485" s="50">
        <v>215.5</v>
      </c>
      <c r="D485" s="51">
        <v>1396.2033514976501</v>
      </c>
      <c r="E485" s="52" t="s">
        <v>50</v>
      </c>
      <c r="F485" s="52" t="s">
        <v>157</v>
      </c>
      <c r="G485" s="52" t="s">
        <v>654</v>
      </c>
      <c r="H485" s="53"/>
      <c r="I485" s="54" t="s">
        <v>181</v>
      </c>
      <c r="J485" s="54">
        <v>5.0</v>
      </c>
      <c r="K485" s="54" t="s">
        <v>78</v>
      </c>
      <c r="L485" s="54" t="s">
        <v>120</v>
      </c>
      <c r="M485" s="52" t="s">
        <v>73</v>
      </c>
      <c r="N485" s="55" t="s">
        <v>80</v>
      </c>
    </row>
    <row r="486">
      <c r="A486" s="48">
        <v>1052.0</v>
      </c>
      <c r="B486" s="49">
        <v>45421.0</v>
      </c>
      <c r="C486" s="50">
        <v>179.6</v>
      </c>
      <c r="D486" s="51">
        <v>1189.0200632095336</v>
      </c>
      <c r="E486" s="52" t="s">
        <v>50</v>
      </c>
      <c r="F486" s="52" t="s">
        <v>157</v>
      </c>
      <c r="G486" s="52" t="s">
        <v>655</v>
      </c>
      <c r="H486" s="53"/>
      <c r="I486" s="54" t="s">
        <v>181</v>
      </c>
      <c r="J486" s="54">
        <v>5.0</v>
      </c>
      <c r="K486" s="54" t="s">
        <v>78</v>
      </c>
      <c r="L486" s="54" t="s">
        <v>120</v>
      </c>
      <c r="M486" s="52" t="s">
        <v>73</v>
      </c>
      <c r="N486" s="55" t="s">
        <v>80</v>
      </c>
    </row>
    <row r="487">
      <c r="A487" s="48">
        <v>1053.0</v>
      </c>
      <c r="B487" s="49">
        <v>45421.0</v>
      </c>
      <c r="C487" s="50">
        <v>74.8</v>
      </c>
      <c r="D487" s="51">
        <v>495.204347038269</v>
      </c>
      <c r="E487" s="52" t="s">
        <v>50</v>
      </c>
      <c r="F487" s="52" t="s">
        <v>157</v>
      </c>
      <c r="G487" s="52" t="s">
        <v>656</v>
      </c>
      <c r="H487" s="53"/>
      <c r="I487" s="54" t="s">
        <v>181</v>
      </c>
      <c r="J487" s="54">
        <v>5.0</v>
      </c>
      <c r="K487" s="54" t="s">
        <v>78</v>
      </c>
      <c r="L487" s="54" t="s">
        <v>120</v>
      </c>
      <c r="M487" s="52" t="s">
        <v>73</v>
      </c>
      <c r="N487" s="55" t="s">
        <v>80</v>
      </c>
    </row>
    <row r="488">
      <c r="A488" s="48">
        <v>1054.0</v>
      </c>
      <c r="B488" s="49">
        <v>45422.0</v>
      </c>
      <c r="C488" s="50">
        <v>149.6</v>
      </c>
      <c r="D488" s="51">
        <v>990.408694076538</v>
      </c>
      <c r="E488" s="52" t="s">
        <v>50</v>
      </c>
      <c r="F488" s="52" t="s">
        <v>157</v>
      </c>
      <c r="G488" s="52" t="s">
        <v>657</v>
      </c>
      <c r="H488" s="53"/>
      <c r="I488" s="54" t="s">
        <v>181</v>
      </c>
      <c r="J488" s="54">
        <v>5.0</v>
      </c>
      <c r="K488" s="54" t="s">
        <v>78</v>
      </c>
      <c r="L488" s="54" t="s">
        <v>120</v>
      </c>
      <c r="M488" s="52" t="s">
        <v>73</v>
      </c>
      <c r="N488" s="55" t="s">
        <v>80</v>
      </c>
    </row>
    <row r="489">
      <c r="A489" s="48">
        <v>1055.0</v>
      </c>
      <c r="B489" s="49">
        <v>45423.0</v>
      </c>
      <c r="C489" s="50">
        <v>149.6</v>
      </c>
      <c r="D489" s="51">
        <v>969.2437187194823</v>
      </c>
      <c r="E489" s="52" t="s">
        <v>50</v>
      </c>
      <c r="F489" s="52" t="s">
        <v>157</v>
      </c>
      <c r="G489" s="52" t="s">
        <v>658</v>
      </c>
      <c r="H489" s="53"/>
      <c r="I489" s="54" t="s">
        <v>181</v>
      </c>
      <c r="J489" s="54">
        <v>5.0</v>
      </c>
      <c r="K489" s="54" t="s">
        <v>78</v>
      </c>
      <c r="L489" s="54" t="s">
        <v>120</v>
      </c>
      <c r="M489" s="52" t="s">
        <v>73</v>
      </c>
      <c r="N489" s="55" t="s">
        <v>80</v>
      </c>
    </row>
    <row r="490">
      <c r="A490" s="48">
        <v>1056.0</v>
      </c>
      <c r="B490" s="49">
        <v>45421.0</v>
      </c>
      <c r="C490" s="50">
        <v>74.8</v>
      </c>
      <c r="D490" s="51">
        <v>495.204347038269</v>
      </c>
      <c r="E490" s="52" t="s">
        <v>50</v>
      </c>
      <c r="F490" s="52" t="s">
        <v>157</v>
      </c>
      <c r="G490" s="52" t="s">
        <v>659</v>
      </c>
      <c r="H490" s="53"/>
      <c r="I490" s="54" t="s">
        <v>181</v>
      </c>
      <c r="J490" s="54">
        <v>5.0</v>
      </c>
      <c r="K490" s="54" t="s">
        <v>78</v>
      </c>
      <c r="L490" s="54" t="s">
        <v>120</v>
      </c>
      <c r="M490" s="52" t="s">
        <v>73</v>
      </c>
      <c r="N490" s="55" t="s">
        <v>80</v>
      </c>
    </row>
    <row r="491">
      <c r="A491" s="48">
        <v>1057.0</v>
      </c>
      <c r="B491" s="49">
        <v>45421.0</v>
      </c>
      <c r="C491" s="50">
        <v>37.4</v>
      </c>
      <c r="D491" s="51">
        <v>247.6021735191345</v>
      </c>
      <c r="E491" s="52" t="s">
        <v>50</v>
      </c>
      <c r="F491" s="52" t="s">
        <v>157</v>
      </c>
      <c r="G491" s="52" t="s">
        <v>660</v>
      </c>
      <c r="H491" s="53"/>
      <c r="I491" s="54" t="s">
        <v>181</v>
      </c>
      <c r="J491" s="54">
        <v>5.0</v>
      </c>
      <c r="K491" s="54" t="s">
        <v>78</v>
      </c>
      <c r="L491" s="54" t="s">
        <v>120</v>
      </c>
      <c r="M491" s="52" t="s">
        <v>73</v>
      </c>
      <c r="N491" s="55" t="s">
        <v>80</v>
      </c>
    </row>
    <row r="492">
      <c r="A492" s="48">
        <v>1058.0</v>
      </c>
      <c r="B492" s="49">
        <v>45427.0</v>
      </c>
      <c r="C492" s="50">
        <v>74.8</v>
      </c>
      <c r="D492" s="51">
        <v>538.3173402786255</v>
      </c>
      <c r="E492" s="52" t="s">
        <v>50</v>
      </c>
      <c r="F492" s="52" t="s">
        <v>157</v>
      </c>
      <c r="G492" s="52" t="s">
        <v>661</v>
      </c>
      <c r="H492" s="53"/>
      <c r="I492" s="54" t="s">
        <v>181</v>
      </c>
      <c r="J492" s="54">
        <v>5.0</v>
      </c>
      <c r="K492" s="54" t="s">
        <v>78</v>
      </c>
      <c r="L492" s="54" t="s">
        <v>120</v>
      </c>
      <c r="M492" s="52" t="s">
        <v>73</v>
      </c>
      <c r="N492" s="55" t="s">
        <v>80</v>
      </c>
    </row>
    <row r="493">
      <c r="A493" s="48">
        <v>1059.0</v>
      </c>
      <c r="B493" s="49">
        <v>45423.0</v>
      </c>
      <c r="C493" s="50">
        <v>59.9</v>
      </c>
      <c r="D493" s="51">
        <v>388.08622159957883</v>
      </c>
      <c r="E493" s="52" t="s">
        <v>50</v>
      </c>
      <c r="F493" s="52" t="s">
        <v>157</v>
      </c>
      <c r="G493" s="52" t="s">
        <v>662</v>
      </c>
      <c r="H493" s="53"/>
      <c r="I493" s="54" t="s">
        <v>181</v>
      </c>
      <c r="J493" s="54">
        <v>5.0</v>
      </c>
      <c r="K493" s="54" t="s">
        <v>78</v>
      </c>
      <c r="L493" s="54" t="s">
        <v>120</v>
      </c>
      <c r="M493" s="52" t="s">
        <v>73</v>
      </c>
      <c r="N493" s="55" t="s">
        <v>80</v>
      </c>
    </row>
    <row r="494">
      <c r="A494" s="48">
        <v>1060.0</v>
      </c>
      <c r="B494" s="49">
        <v>45423.0</v>
      </c>
      <c r="C494" s="50">
        <v>59.9</v>
      </c>
      <c r="D494" s="51">
        <v>388.08622159957883</v>
      </c>
      <c r="E494" s="52" t="s">
        <v>50</v>
      </c>
      <c r="F494" s="52" t="s">
        <v>157</v>
      </c>
      <c r="G494" s="52" t="s">
        <v>663</v>
      </c>
      <c r="H494" s="53"/>
      <c r="I494" s="54" t="s">
        <v>181</v>
      </c>
      <c r="J494" s="54">
        <v>5.0</v>
      </c>
      <c r="K494" s="54" t="s">
        <v>78</v>
      </c>
      <c r="L494" s="54" t="s">
        <v>120</v>
      </c>
      <c r="M494" s="52" t="s">
        <v>73</v>
      </c>
      <c r="N494" s="55" t="s">
        <v>80</v>
      </c>
    </row>
    <row r="495">
      <c r="A495" s="48">
        <v>1061.0</v>
      </c>
      <c r="B495" s="49">
        <v>45422.0</v>
      </c>
      <c r="C495" s="50">
        <v>59.9</v>
      </c>
      <c r="D495" s="51">
        <v>396.5607003688812</v>
      </c>
      <c r="E495" s="52" t="s">
        <v>50</v>
      </c>
      <c r="F495" s="52" t="s">
        <v>157</v>
      </c>
      <c r="G495" s="52" t="s">
        <v>664</v>
      </c>
      <c r="H495" s="53"/>
      <c r="I495" s="54" t="s">
        <v>181</v>
      </c>
      <c r="J495" s="54">
        <v>5.0</v>
      </c>
      <c r="K495" s="54" t="s">
        <v>78</v>
      </c>
      <c r="L495" s="54" t="s">
        <v>120</v>
      </c>
      <c r="M495" s="52" t="s">
        <v>73</v>
      </c>
      <c r="N495" s="55" t="s">
        <v>80</v>
      </c>
    </row>
    <row r="496">
      <c r="A496" s="48">
        <v>1062.0</v>
      </c>
      <c r="B496" s="49">
        <v>45427.0</v>
      </c>
      <c r="C496" s="50">
        <v>74.8</v>
      </c>
      <c r="D496" s="51">
        <v>538.3173402786255</v>
      </c>
      <c r="E496" s="52" t="s">
        <v>50</v>
      </c>
      <c r="F496" s="52" t="s">
        <v>157</v>
      </c>
      <c r="G496" s="52" t="s">
        <v>665</v>
      </c>
      <c r="H496" s="53"/>
      <c r="I496" s="54" t="s">
        <v>181</v>
      </c>
      <c r="J496" s="54">
        <v>5.0</v>
      </c>
      <c r="K496" s="54" t="s">
        <v>78</v>
      </c>
      <c r="L496" s="54" t="s">
        <v>120</v>
      </c>
      <c r="M496" s="52" t="s">
        <v>73</v>
      </c>
      <c r="N496" s="55" t="s">
        <v>80</v>
      </c>
    </row>
    <row r="497">
      <c r="A497" s="48">
        <v>1063.0</v>
      </c>
      <c r="B497" s="49">
        <v>45422.0</v>
      </c>
      <c r="C497" s="50">
        <v>340.182310914</v>
      </c>
      <c r="D497" s="51">
        <v>2267.484438140214</v>
      </c>
      <c r="E497" s="52" t="s">
        <v>50</v>
      </c>
      <c r="F497" s="52" t="s">
        <v>157</v>
      </c>
      <c r="G497" s="52" t="s">
        <v>666</v>
      </c>
      <c r="H497" s="53"/>
      <c r="I497" s="54" t="s">
        <v>181</v>
      </c>
      <c r="J497" s="54">
        <v>5.0</v>
      </c>
      <c r="K497" s="54" t="s">
        <v>78</v>
      </c>
      <c r="L497" s="54" t="s">
        <v>120</v>
      </c>
      <c r="M497" s="52" t="s">
        <v>73</v>
      </c>
      <c r="N497" s="55" t="s">
        <v>80</v>
      </c>
    </row>
    <row r="498">
      <c r="A498" s="48">
        <v>1064.0</v>
      </c>
      <c r="B498" s="49">
        <v>45422.0</v>
      </c>
      <c r="C498" s="50">
        <v>340.182310914</v>
      </c>
      <c r="D498" s="51">
        <v>2267.484438140214</v>
      </c>
      <c r="E498" s="52" t="s">
        <v>50</v>
      </c>
      <c r="F498" s="52" t="s">
        <v>157</v>
      </c>
      <c r="G498" s="52" t="s">
        <v>667</v>
      </c>
      <c r="H498" s="53"/>
      <c r="I498" s="54" t="s">
        <v>181</v>
      </c>
      <c r="J498" s="54">
        <v>5.0</v>
      </c>
      <c r="K498" s="54" t="s">
        <v>78</v>
      </c>
      <c r="L498" s="54" t="s">
        <v>120</v>
      </c>
      <c r="M498" s="52" t="s">
        <v>73</v>
      </c>
      <c r="N498" s="55" t="s">
        <v>80</v>
      </c>
    </row>
    <row r="499">
      <c r="A499" s="48">
        <v>1065.0</v>
      </c>
      <c r="B499" s="49">
        <v>45422.0</v>
      </c>
      <c r="C499" s="50">
        <v>230.056664203</v>
      </c>
      <c r="D499" s="51">
        <v>1533.4421844839173</v>
      </c>
      <c r="E499" s="52" t="s">
        <v>50</v>
      </c>
      <c r="F499" s="52" t="s">
        <v>157</v>
      </c>
      <c r="G499" s="52" t="s">
        <v>668</v>
      </c>
      <c r="H499" s="53"/>
      <c r="I499" s="54" t="s">
        <v>181</v>
      </c>
      <c r="J499" s="54">
        <v>5.0</v>
      </c>
      <c r="K499" s="54" t="s">
        <v>78</v>
      </c>
      <c r="L499" s="54" t="s">
        <v>120</v>
      </c>
      <c r="M499" s="52" t="s">
        <v>73</v>
      </c>
      <c r="N499" s="55" t="s">
        <v>80</v>
      </c>
    </row>
    <row r="500">
      <c r="A500" s="48">
        <v>1066.0</v>
      </c>
      <c r="B500" s="49">
        <v>45423.0</v>
      </c>
      <c r="C500" s="50">
        <v>110.8647450111</v>
      </c>
      <c r="D500" s="51">
        <v>718.2818030043165</v>
      </c>
      <c r="E500" s="52" t="s">
        <v>50</v>
      </c>
      <c r="F500" s="52" t="s">
        <v>157</v>
      </c>
      <c r="G500" s="52" t="s">
        <v>669</v>
      </c>
      <c r="H500" s="53"/>
      <c r="I500" s="54" t="s">
        <v>181</v>
      </c>
      <c r="J500" s="54">
        <v>5.0</v>
      </c>
      <c r="K500" s="54" t="s">
        <v>78</v>
      </c>
      <c r="L500" s="54" t="s">
        <v>120</v>
      </c>
      <c r="M500" s="52" t="s">
        <v>73</v>
      </c>
      <c r="N500" s="55" t="s">
        <v>80</v>
      </c>
    </row>
    <row r="501">
      <c r="A501" s="48">
        <v>1067.0</v>
      </c>
      <c r="B501" s="49">
        <v>45422.0</v>
      </c>
      <c r="C501" s="50">
        <v>100.5</v>
      </c>
      <c r="D501" s="51">
        <v>669.8825268745422</v>
      </c>
      <c r="E501" s="52" t="s">
        <v>81</v>
      </c>
      <c r="F501" s="52" t="s">
        <v>89</v>
      </c>
      <c r="G501" s="52" t="s">
        <v>670</v>
      </c>
      <c r="H501" s="53"/>
      <c r="I501" s="54" t="s">
        <v>181</v>
      </c>
      <c r="J501" s="54">
        <v>5.0</v>
      </c>
      <c r="K501" s="54" t="s">
        <v>78</v>
      </c>
      <c r="L501" s="54" t="s">
        <v>120</v>
      </c>
      <c r="M501" s="52" t="s">
        <v>73</v>
      </c>
      <c r="N501" s="55" t="s">
        <v>80</v>
      </c>
    </row>
    <row r="502">
      <c r="A502" s="48">
        <v>1068.0</v>
      </c>
      <c r="B502" s="49">
        <v>45423.0</v>
      </c>
      <c r="C502" s="50">
        <v>985.12</v>
      </c>
      <c r="D502" s="51">
        <v>6382.495803375245</v>
      </c>
      <c r="E502" s="52" t="s">
        <v>50</v>
      </c>
      <c r="F502" s="52" t="s">
        <v>157</v>
      </c>
      <c r="G502" s="52" t="s">
        <v>671</v>
      </c>
      <c r="H502" s="53"/>
      <c r="I502" s="54" t="s">
        <v>181</v>
      </c>
      <c r="J502" s="54">
        <v>5.0</v>
      </c>
      <c r="K502" s="54" t="s">
        <v>78</v>
      </c>
      <c r="L502" s="54" t="s">
        <v>120</v>
      </c>
      <c r="M502" s="52" t="s">
        <v>73</v>
      </c>
      <c r="N502" s="55" t="s">
        <v>80</v>
      </c>
    </row>
    <row r="503">
      <c r="A503" s="48">
        <v>1069.0</v>
      </c>
      <c r="B503" s="49">
        <v>45423.0</v>
      </c>
      <c r="C503" s="50">
        <v>248.6</v>
      </c>
      <c r="D503" s="51">
        <v>1610.6550031661986</v>
      </c>
      <c r="E503" s="52" t="s">
        <v>50</v>
      </c>
      <c r="F503" s="52" t="s">
        <v>157</v>
      </c>
      <c r="G503" s="52" t="s">
        <v>672</v>
      </c>
      <c r="H503" s="53"/>
      <c r="I503" s="54" t="s">
        <v>181</v>
      </c>
      <c r="J503" s="54">
        <v>5.0</v>
      </c>
      <c r="K503" s="54" t="s">
        <v>78</v>
      </c>
      <c r="L503" s="54" t="s">
        <v>120</v>
      </c>
      <c r="M503" s="52" t="s">
        <v>73</v>
      </c>
      <c r="N503" s="55" t="s">
        <v>80</v>
      </c>
    </row>
    <row r="504">
      <c r="A504" s="48">
        <v>1070.0</v>
      </c>
      <c r="B504" s="49">
        <v>45423.0</v>
      </c>
      <c r="C504" s="50">
        <v>377.91</v>
      </c>
      <c r="D504" s="51">
        <v>2518.9582659816742</v>
      </c>
      <c r="E504" s="52" t="s">
        <v>50</v>
      </c>
      <c r="F504" s="52" t="s">
        <v>157</v>
      </c>
      <c r="G504" s="52" t="s">
        <v>673</v>
      </c>
      <c r="H504" s="53"/>
      <c r="I504" s="54" t="s">
        <v>181</v>
      </c>
      <c r="J504" s="54">
        <v>5.0</v>
      </c>
      <c r="K504" s="54" t="s">
        <v>78</v>
      </c>
      <c r="L504" s="54" t="s">
        <v>120</v>
      </c>
      <c r="M504" s="52" t="s">
        <v>73</v>
      </c>
      <c r="N504" s="55" t="s">
        <v>80</v>
      </c>
    </row>
    <row r="505">
      <c r="A505" s="48">
        <v>1071.0</v>
      </c>
      <c r="B505" s="49">
        <v>45448.0</v>
      </c>
      <c r="C505" s="50">
        <v>4389.0</v>
      </c>
      <c r="D505" s="51">
        <v>29220.93856859207</v>
      </c>
      <c r="E505" s="52" t="s">
        <v>81</v>
      </c>
      <c r="F505" s="52" t="s">
        <v>86</v>
      </c>
      <c r="G505" s="52" t="s">
        <v>674</v>
      </c>
      <c r="H505" s="53"/>
      <c r="I505" s="54" t="s">
        <v>181</v>
      </c>
      <c r="J505" s="54">
        <v>6.0</v>
      </c>
      <c r="K505" s="54" t="s">
        <v>78</v>
      </c>
      <c r="L505" s="54" t="s">
        <v>122</v>
      </c>
      <c r="M505" s="52" t="s">
        <v>73</v>
      </c>
      <c r="N505" s="55" t="s">
        <v>80</v>
      </c>
    </row>
    <row r="506">
      <c r="A506" s="48">
        <v>1072.0</v>
      </c>
      <c r="B506" s="49">
        <v>45429.0</v>
      </c>
      <c r="C506" s="50">
        <v>6217.0</v>
      </c>
      <c r="D506" s="51">
        <v>43130.653908252716</v>
      </c>
      <c r="E506" s="52" t="s">
        <v>81</v>
      </c>
      <c r="F506" s="52" t="s">
        <v>86</v>
      </c>
      <c r="G506" s="52" t="s">
        <v>675</v>
      </c>
      <c r="H506" s="53"/>
      <c r="I506" s="54" t="s">
        <v>181</v>
      </c>
      <c r="J506" s="54">
        <v>5.0</v>
      </c>
      <c r="K506" s="54" t="s">
        <v>78</v>
      </c>
      <c r="L506" s="54" t="s">
        <v>120</v>
      </c>
      <c r="M506" s="52" t="s">
        <v>73</v>
      </c>
      <c r="N506" s="55" t="s">
        <v>80</v>
      </c>
    </row>
    <row r="507">
      <c r="A507" s="48">
        <v>1073.0</v>
      </c>
      <c r="B507" s="49">
        <v>45436.0</v>
      </c>
      <c r="C507" s="50">
        <v>2142.0</v>
      </c>
      <c r="D507" s="51">
        <v>16166.175353050232</v>
      </c>
      <c r="E507" s="52" t="s">
        <v>81</v>
      </c>
      <c r="F507" s="52" t="s">
        <v>97</v>
      </c>
      <c r="G507" s="52" t="s">
        <v>676</v>
      </c>
      <c r="H507" s="53"/>
      <c r="I507" s="54" t="s">
        <v>181</v>
      </c>
      <c r="J507" s="54">
        <v>5.0</v>
      </c>
      <c r="K507" s="54" t="s">
        <v>78</v>
      </c>
      <c r="L507" s="54" t="s">
        <v>120</v>
      </c>
      <c r="M507" s="52" t="s">
        <v>73</v>
      </c>
      <c r="N507" s="55" t="s">
        <v>80</v>
      </c>
    </row>
    <row r="508">
      <c r="A508" s="48">
        <v>1074.0</v>
      </c>
      <c r="B508" s="49">
        <v>45428.0</v>
      </c>
      <c r="C508" s="50">
        <v>4255.0</v>
      </c>
      <c r="D508" s="51">
        <v>29519.210612773895</v>
      </c>
      <c r="E508" s="52" t="s">
        <v>81</v>
      </c>
      <c r="F508" s="52" t="s">
        <v>86</v>
      </c>
      <c r="G508" s="52" t="s">
        <v>677</v>
      </c>
      <c r="H508" s="53"/>
      <c r="I508" s="54" t="s">
        <v>181</v>
      </c>
      <c r="J508" s="54">
        <v>5.0</v>
      </c>
      <c r="K508" s="54" t="s">
        <v>78</v>
      </c>
      <c r="L508" s="54" t="s">
        <v>120</v>
      </c>
      <c r="M508" s="52" t="s">
        <v>73</v>
      </c>
      <c r="N508" s="55" t="s">
        <v>80</v>
      </c>
    </row>
    <row r="509">
      <c r="A509" s="48">
        <v>1075.0</v>
      </c>
      <c r="B509" s="49">
        <v>45441.0</v>
      </c>
      <c r="C509" s="50">
        <v>146.0</v>
      </c>
      <c r="D509" s="51">
        <v>1030.5573329925537</v>
      </c>
      <c r="E509" s="52" t="s">
        <v>81</v>
      </c>
      <c r="F509" s="52" t="s">
        <v>97</v>
      </c>
      <c r="G509" s="52" t="s">
        <v>678</v>
      </c>
      <c r="H509" s="53"/>
      <c r="I509" s="54" t="s">
        <v>181</v>
      </c>
      <c r="J509" s="54">
        <v>5.0</v>
      </c>
      <c r="K509" s="54" t="s">
        <v>78</v>
      </c>
      <c r="L509" s="54" t="s">
        <v>120</v>
      </c>
      <c r="M509" s="52" t="s">
        <v>73</v>
      </c>
      <c r="N509" s="55" t="s">
        <v>80</v>
      </c>
    </row>
    <row r="510">
      <c r="A510" s="48">
        <v>1076.0</v>
      </c>
      <c r="B510" s="49">
        <v>45453.0</v>
      </c>
      <c r="C510" s="50">
        <v>1754.0</v>
      </c>
      <c r="D510" s="51">
        <v>11824.971375465393</v>
      </c>
      <c r="E510" s="52" t="s">
        <v>81</v>
      </c>
      <c r="F510" s="52" t="s">
        <v>97</v>
      </c>
      <c r="G510" s="52" t="s">
        <v>679</v>
      </c>
      <c r="H510" s="53"/>
      <c r="I510" s="54" t="s">
        <v>181</v>
      </c>
      <c r="J510" s="54">
        <v>6.0</v>
      </c>
      <c r="K510" s="54" t="s">
        <v>78</v>
      </c>
      <c r="L510" s="54" t="s">
        <v>122</v>
      </c>
      <c r="M510" s="52" t="s">
        <v>73</v>
      </c>
      <c r="N510" s="55" t="s">
        <v>80</v>
      </c>
    </row>
    <row r="511">
      <c r="A511" s="48">
        <v>1078.0</v>
      </c>
      <c r="B511" s="49">
        <v>45431.0</v>
      </c>
      <c r="C511" s="50">
        <v>1719.0</v>
      </c>
      <c r="D511" s="51">
        <v>12814.235840320587</v>
      </c>
      <c r="E511" s="52" t="s">
        <v>81</v>
      </c>
      <c r="F511" s="52" t="s">
        <v>97</v>
      </c>
      <c r="G511" s="52" t="s">
        <v>680</v>
      </c>
      <c r="H511" s="53"/>
      <c r="I511" s="54" t="s">
        <v>181</v>
      </c>
      <c r="J511" s="54">
        <v>5.0</v>
      </c>
      <c r="K511" s="54" t="s">
        <v>78</v>
      </c>
      <c r="L511" s="54" t="s">
        <v>120</v>
      </c>
      <c r="M511" s="52" t="s">
        <v>73</v>
      </c>
      <c r="N511" s="55" t="s">
        <v>80</v>
      </c>
    </row>
    <row r="512">
      <c r="A512" s="48">
        <v>1079.0</v>
      </c>
      <c r="B512" s="49">
        <v>45430.0</v>
      </c>
      <c r="C512" s="50">
        <v>1797.0</v>
      </c>
      <c r="D512" s="51">
        <v>13612.328640460968</v>
      </c>
      <c r="E512" s="52" t="s">
        <v>81</v>
      </c>
      <c r="F512" s="52" t="s">
        <v>97</v>
      </c>
      <c r="G512" s="52" t="s">
        <v>681</v>
      </c>
      <c r="H512" s="53"/>
      <c r="I512" s="54" t="s">
        <v>181</v>
      </c>
      <c r="J512" s="54">
        <v>5.0</v>
      </c>
      <c r="K512" s="54" t="s">
        <v>78</v>
      </c>
      <c r="L512" s="54" t="s">
        <v>120</v>
      </c>
      <c r="M512" s="52" t="s">
        <v>73</v>
      </c>
      <c r="N512" s="55" t="s">
        <v>80</v>
      </c>
    </row>
    <row r="513">
      <c r="A513" s="48">
        <v>1080.0</v>
      </c>
      <c r="B513" s="49">
        <v>45441.0</v>
      </c>
      <c r="C513" s="50">
        <v>1719.0</v>
      </c>
      <c r="D513" s="51">
        <v>12133.753804206848</v>
      </c>
      <c r="E513" s="52" t="s">
        <v>81</v>
      </c>
      <c r="F513" s="52" t="s">
        <v>97</v>
      </c>
      <c r="G513" s="52" t="s">
        <v>682</v>
      </c>
      <c r="H513" s="53"/>
      <c r="I513" s="54" t="s">
        <v>181</v>
      </c>
      <c r="J513" s="54">
        <v>5.0</v>
      </c>
      <c r="K513" s="54" t="s">
        <v>78</v>
      </c>
      <c r="L513" s="54" t="s">
        <v>120</v>
      </c>
      <c r="M513" s="52" t="s">
        <v>73</v>
      </c>
      <c r="N513" s="55" t="s">
        <v>80</v>
      </c>
    </row>
    <row r="514">
      <c r="A514" s="48">
        <v>1081.0</v>
      </c>
      <c r="B514" s="49">
        <v>45429.0</v>
      </c>
      <c r="C514" s="50">
        <v>50.0</v>
      </c>
      <c r="D514" s="51">
        <v>346.87674045562744</v>
      </c>
      <c r="E514" s="52" t="s">
        <v>81</v>
      </c>
      <c r="F514" s="52" t="s">
        <v>97</v>
      </c>
      <c r="G514" s="52" t="s">
        <v>683</v>
      </c>
      <c r="H514" s="53"/>
      <c r="I514" s="54" t="s">
        <v>181</v>
      </c>
      <c r="J514" s="54">
        <v>5.0</v>
      </c>
      <c r="K514" s="54" t="s">
        <v>78</v>
      </c>
      <c r="L514" s="54" t="s">
        <v>120</v>
      </c>
      <c r="M514" s="52" t="s">
        <v>73</v>
      </c>
      <c r="N514" s="55" t="s">
        <v>80</v>
      </c>
    </row>
    <row r="515">
      <c r="A515" s="48">
        <v>1082.0</v>
      </c>
      <c r="B515" s="49">
        <v>45440.0</v>
      </c>
      <c r="C515" s="50">
        <v>50.0</v>
      </c>
      <c r="D515" s="51">
        <v>349.8929977416992</v>
      </c>
      <c r="E515" s="52" t="s">
        <v>81</v>
      </c>
      <c r="F515" s="52" t="s">
        <v>97</v>
      </c>
      <c r="G515" s="52" t="s">
        <v>684</v>
      </c>
      <c r="H515" s="53"/>
      <c r="I515" s="54" t="s">
        <v>181</v>
      </c>
      <c r="J515" s="54">
        <v>5.0</v>
      </c>
      <c r="K515" s="54" t="s">
        <v>78</v>
      </c>
      <c r="L515" s="54" t="s">
        <v>120</v>
      </c>
      <c r="M515" s="52" t="s">
        <v>73</v>
      </c>
      <c r="N515" s="55" t="s">
        <v>80</v>
      </c>
    </row>
    <row r="516">
      <c r="A516" s="48">
        <v>1083.0</v>
      </c>
      <c r="B516" s="49">
        <v>45428.0</v>
      </c>
      <c r="C516" s="50">
        <v>50.0</v>
      </c>
      <c r="D516" s="51">
        <v>346.87674045562744</v>
      </c>
      <c r="E516" s="52" t="s">
        <v>81</v>
      </c>
      <c r="F516" s="52" t="s">
        <v>97</v>
      </c>
      <c r="G516" s="52" t="s">
        <v>685</v>
      </c>
      <c r="H516" s="53"/>
      <c r="I516" s="54" t="s">
        <v>181</v>
      </c>
      <c r="J516" s="54">
        <v>5.0</v>
      </c>
      <c r="K516" s="54" t="s">
        <v>78</v>
      </c>
      <c r="L516" s="54" t="s">
        <v>120</v>
      </c>
      <c r="M516" s="52" t="s">
        <v>73</v>
      </c>
      <c r="N516" s="55" t="s">
        <v>80</v>
      </c>
    </row>
    <row r="517">
      <c r="A517" s="48">
        <v>1084.0</v>
      </c>
      <c r="B517" s="49">
        <v>45430.0</v>
      </c>
      <c r="C517" s="50">
        <v>5298.0</v>
      </c>
      <c r="D517" s="51">
        <v>40132.50814533234</v>
      </c>
      <c r="E517" s="52" t="s">
        <v>81</v>
      </c>
      <c r="F517" s="52" t="s">
        <v>86</v>
      </c>
      <c r="G517" s="52" t="s">
        <v>686</v>
      </c>
      <c r="H517" s="53"/>
      <c r="I517" s="54" t="s">
        <v>181</v>
      </c>
      <c r="J517" s="54">
        <v>5.0</v>
      </c>
      <c r="K517" s="54" t="s">
        <v>78</v>
      </c>
      <c r="L517" s="54" t="s">
        <v>120</v>
      </c>
      <c r="M517" s="52" t="s">
        <v>73</v>
      </c>
      <c r="N517" s="55" t="s">
        <v>80</v>
      </c>
    </row>
    <row r="518">
      <c r="A518" s="48">
        <v>1085.0</v>
      </c>
      <c r="B518" s="49">
        <v>45438.0</v>
      </c>
      <c r="C518" s="50">
        <v>1229.5</v>
      </c>
      <c r="D518" s="51">
        <v>9057.816326141357</v>
      </c>
      <c r="E518" s="52" t="s">
        <v>81</v>
      </c>
      <c r="F518" s="52" t="s">
        <v>97</v>
      </c>
      <c r="G518" s="52" t="s">
        <v>687</v>
      </c>
      <c r="H518" s="53"/>
      <c r="I518" s="54" t="s">
        <v>181</v>
      </c>
      <c r="J518" s="54">
        <v>5.0</v>
      </c>
      <c r="K518" s="54" t="s">
        <v>78</v>
      </c>
      <c r="L518" s="54" t="s">
        <v>120</v>
      </c>
      <c r="M518" s="52" t="s">
        <v>73</v>
      </c>
      <c r="N518" s="55" t="s">
        <v>80</v>
      </c>
    </row>
    <row r="519">
      <c r="A519" s="48">
        <v>1086.0</v>
      </c>
      <c r="B519" s="49">
        <v>45428.0</v>
      </c>
      <c r="C519" s="50">
        <v>7915.8</v>
      </c>
      <c r="D519" s="51">
        <v>56692.587339019774</v>
      </c>
      <c r="E519" s="52" t="s">
        <v>81</v>
      </c>
      <c r="F519" s="52" t="s">
        <v>86</v>
      </c>
      <c r="G519" s="52" t="s">
        <v>688</v>
      </c>
      <c r="H519" s="53"/>
      <c r="I519" s="54" t="s">
        <v>181</v>
      </c>
      <c r="J519" s="54">
        <v>5.0</v>
      </c>
      <c r="K519" s="54" t="s">
        <v>78</v>
      </c>
      <c r="L519" s="54" t="s">
        <v>120</v>
      </c>
      <c r="M519" s="52" t="s">
        <v>73</v>
      </c>
      <c r="N519" s="55" t="s">
        <v>80</v>
      </c>
    </row>
    <row r="520">
      <c r="A520" s="48">
        <v>1087.0</v>
      </c>
      <c r="B520" s="49">
        <v>45428.0</v>
      </c>
      <c r="C520" s="50">
        <v>13666.7</v>
      </c>
      <c r="D520" s="51">
        <v>94813.20697569847</v>
      </c>
      <c r="E520" s="52" t="s">
        <v>81</v>
      </c>
      <c r="F520" s="52" t="s">
        <v>86</v>
      </c>
      <c r="G520" s="52" t="s">
        <v>689</v>
      </c>
      <c r="H520" s="53"/>
      <c r="I520" s="54" t="s">
        <v>181</v>
      </c>
      <c r="J520" s="54">
        <v>5.0</v>
      </c>
      <c r="K520" s="54" t="s">
        <v>78</v>
      </c>
      <c r="L520" s="54" t="s">
        <v>120</v>
      </c>
      <c r="M520" s="52" t="s">
        <v>73</v>
      </c>
      <c r="N520" s="55" t="s">
        <v>80</v>
      </c>
    </row>
    <row r="521">
      <c r="A521" s="48">
        <v>1088.0</v>
      </c>
      <c r="B521" s="49">
        <v>45429.0</v>
      </c>
      <c r="C521" s="50">
        <v>106.41</v>
      </c>
      <c r="D521" s="51">
        <v>806.0589263391495</v>
      </c>
      <c r="E521" s="52" t="s">
        <v>50</v>
      </c>
      <c r="F521" s="52" t="s">
        <v>157</v>
      </c>
      <c r="G521" s="52" t="s">
        <v>690</v>
      </c>
      <c r="H521" s="53"/>
      <c r="I521" s="54" t="s">
        <v>181</v>
      </c>
      <c r="J521" s="54">
        <v>5.0</v>
      </c>
      <c r="K521" s="54" t="s">
        <v>78</v>
      </c>
      <c r="L521" s="54" t="s">
        <v>120</v>
      </c>
      <c r="M521" s="52" t="s">
        <v>73</v>
      </c>
      <c r="N521" s="55" t="s">
        <v>80</v>
      </c>
    </row>
    <row r="522">
      <c r="A522" s="48">
        <v>1089.0</v>
      </c>
      <c r="B522" s="49">
        <v>45429.0</v>
      </c>
      <c r="C522" s="50">
        <v>70.94</v>
      </c>
      <c r="D522" s="51">
        <v>537.3726175594329</v>
      </c>
      <c r="E522" s="52" t="s">
        <v>50</v>
      </c>
      <c r="F522" s="52" t="s">
        <v>157</v>
      </c>
      <c r="G522" s="52" t="s">
        <v>691</v>
      </c>
      <c r="H522" s="53"/>
      <c r="I522" s="54" t="s">
        <v>181</v>
      </c>
      <c r="J522" s="54">
        <v>5.0</v>
      </c>
      <c r="K522" s="54" t="s">
        <v>78</v>
      </c>
      <c r="L522" s="54" t="s">
        <v>120</v>
      </c>
      <c r="M522" s="52" t="s">
        <v>73</v>
      </c>
      <c r="N522" s="55" t="s">
        <v>80</v>
      </c>
    </row>
    <row r="523">
      <c r="A523" s="48">
        <v>1090.0</v>
      </c>
      <c r="B523" s="49">
        <v>45436.0</v>
      </c>
      <c r="C523" s="50">
        <v>1374.0</v>
      </c>
      <c r="D523" s="51">
        <v>10369.899596214294</v>
      </c>
      <c r="E523" s="52" t="s">
        <v>46</v>
      </c>
      <c r="F523" s="52" t="s">
        <v>114</v>
      </c>
      <c r="G523" s="52" t="s">
        <v>692</v>
      </c>
      <c r="H523" s="53"/>
      <c r="I523" s="54" t="s">
        <v>181</v>
      </c>
      <c r="J523" s="54">
        <v>5.0</v>
      </c>
      <c r="K523" s="54" t="s">
        <v>78</v>
      </c>
      <c r="L523" s="54" t="s">
        <v>120</v>
      </c>
      <c r="M523" s="52" t="s">
        <v>73</v>
      </c>
      <c r="N523" s="55" t="s">
        <v>80</v>
      </c>
    </row>
    <row r="524">
      <c r="A524" s="48">
        <v>1091.0</v>
      </c>
      <c r="B524" s="49">
        <v>45432.0</v>
      </c>
      <c r="C524" s="50">
        <v>6.3847900114</v>
      </c>
      <c r="D524" s="51">
        <v>45.975431140600556</v>
      </c>
      <c r="E524" s="52" t="s">
        <v>49</v>
      </c>
      <c r="F524" s="52" t="s">
        <v>140</v>
      </c>
      <c r="G524" s="52" t="s">
        <v>693</v>
      </c>
      <c r="H524" s="53"/>
      <c r="I524" s="54" t="s">
        <v>181</v>
      </c>
      <c r="J524" s="54">
        <v>5.0</v>
      </c>
      <c r="K524" s="54" t="s">
        <v>78</v>
      </c>
      <c r="L524" s="54" t="s">
        <v>120</v>
      </c>
      <c r="M524" s="52" t="s">
        <v>73</v>
      </c>
      <c r="N524" s="55" t="s">
        <v>80</v>
      </c>
    </row>
    <row r="525">
      <c r="A525" s="48">
        <v>1092.0</v>
      </c>
      <c r="B525" s="49">
        <v>45432.0</v>
      </c>
      <c r="C525" s="50">
        <v>37.1172386658</v>
      </c>
      <c r="D525" s="51">
        <v>267.2728542930643</v>
      </c>
      <c r="E525" s="52" t="s">
        <v>49</v>
      </c>
      <c r="F525" s="52" t="s">
        <v>140</v>
      </c>
      <c r="G525" s="52" t="s">
        <v>694</v>
      </c>
      <c r="H525" s="53"/>
      <c r="I525" s="54" t="s">
        <v>181</v>
      </c>
      <c r="J525" s="54">
        <v>5.0</v>
      </c>
      <c r="K525" s="54" t="s">
        <v>78</v>
      </c>
      <c r="L525" s="54" t="s">
        <v>120</v>
      </c>
      <c r="M525" s="52" t="s">
        <v>73</v>
      </c>
      <c r="N525" s="55" t="s">
        <v>80</v>
      </c>
    </row>
    <row r="526">
      <c r="A526" s="48">
        <v>1093.0</v>
      </c>
      <c r="B526" s="49">
        <v>45432.0</v>
      </c>
      <c r="C526" s="50">
        <v>38.1959753972</v>
      </c>
      <c r="D526" s="51">
        <v>275.0405939093657</v>
      </c>
      <c r="E526" s="52" t="s">
        <v>49</v>
      </c>
      <c r="F526" s="52" t="s">
        <v>140</v>
      </c>
      <c r="G526" s="52" t="s">
        <v>695</v>
      </c>
      <c r="H526" s="53"/>
      <c r="I526" s="54" t="s">
        <v>181</v>
      </c>
      <c r="J526" s="54">
        <v>5.0</v>
      </c>
      <c r="K526" s="54" t="s">
        <v>78</v>
      </c>
      <c r="L526" s="54" t="s">
        <v>120</v>
      </c>
      <c r="M526" s="52" t="s">
        <v>73</v>
      </c>
      <c r="N526" s="55" t="s">
        <v>80</v>
      </c>
    </row>
    <row r="527">
      <c r="A527" s="48">
        <v>1094.0</v>
      </c>
      <c r="B527" s="49">
        <v>45432.0</v>
      </c>
      <c r="C527" s="50">
        <v>38.0818521158</v>
      </c>
      <c r="D527" s="51">
        <v>274.21881792986176</v>
      </c>
      <c r="E527" s="52" t="s">
        <v>49</v>
      </c>
      <c r="F527" s="52" t="s">
        <v>140</v>
      </c>
      <c r="G527" s="52" t="s">
        <v>696</v>
      </c>
      <c r="H527" s="53"/>
      <c r="I527" s="54" t="s">
        <v>181</v>
      </c>
      <c r="J527" s="54">
        <v>5.0</v>
      </c>
      <c r="K527" s="54" t="s">
        <v>78</v>
      </c>
      <c r="L527" s="54" t="s">
        <v>120</v>
      </c>
      <c r="M527" s="52" t="s">
        <v>73</v>
      </c>
      <c r="N527" s="55" t="s">
        <v>80</v>
      </c>
    </row>
    <row r="528">
      <c r="A528" s="48">
        <v>1095.0</v>
      </c>
      <c r="B528" s="49">
        <v>45432.0</v>
      </c>
      <c r="C528" s="50">
        <v>39.1143960904</v>
      </c>
      <c r="D528" s="51">
        <v>281.65393393510294</v>
      </c>
      <c r="E528" s="52" t="s">
        <v>49</v>
      </c>
      <c r="F528" s="52" t="s">
        <v>140</v>
      </c>
      <c r="G528" s="52" t="s">
        <v>697</v>
      </c>
      <c r="H528" s="53"/>
      <c r="I528" s="54" t="s">
        <v>181</v>
      </c>
      <c r="J528" s="54">
        <v>5.0</v>
      </c>
      <c r="K528" s="54" t="s">
        <v>78</v>
      </c>
      <c r="L528" s="54" t="s">
        <v>120</v>
      </c>
      <c r="M528" s="52" t="s">
        <v>73</v>
      </c>
      <c r="N528" s="55" t="s">
        <v>80</v>
      </c>
    </row>
    <row r="529">
      <c r="A529" s="48">
        <v>1096.0</v>
      </c>
      <c r="B529" s="49">
        <v>45432.0</v>
      </c>
      <c r="C529" s="50">
        <v>52.4605687742</v>
      </c>
      <c r="D529" s="51">
        <v>377.75670976939654</v>
      </c>
      <c r="E529" s="52" t="s">
        <v>49</v>
      </c>
      <c r="F529" s="52" t="s">
        <v>140</v>
      </c>
      <c r="G529" s="52" t="s">
        <v>698</v>
      </c>
      <c r="H529" s="53"/>
      <c r="I529" s="54" t="s">
        <v>181</v>
      </c>
      <c r="J529" s="54">
        <v>5.0</v>
      </c>
      <c r="K529" s="54" t="s">
        <v>78</v>
      </c>
      <c r="L529" s="54" t="s">
        <v>120</v>
      </c>
      <c r="M529" s="52" t="s">
        <v>73</v>
      </c>
      <c r="N529" s="55" t="s">
        <v>80</v>
      </c>
    </row>
    <row r="530">
      <c r="A530" s="48">
        <v>1097.0</v>
      </c>
      <c r="B530" s="49">
        <v>45432.0</v>
      </c>
      <c r="C530" s="50">
        <v>57.3518605518</v>
      </c>
      <c r="D530" s="51">
        <v>412.9777973710427</v>
      </c>
      <c r="E530" s="52" t="s">
        <v>49</v>
      </c>
      <c r="F530" s="52" t="s">
        <v>140</v>
      </c>
      <c r="G530" s="52" t="s">
        <v>699</v>
      </c>
      <c r="H530" s="53"/>
      <c r="I530" s="54" t="s">
        <v>181</v>
      </c>
      <c r="J530" s="54">
        <v>5.0</v>
      </c>
      <c r="K530" s="54" t="s">
        <v>78</v>
      </c>
      <c r="L530" s="54" t="s">
        <v>120</v>
      </c>
      <c r="M530" s="52" t="s">
        <v>73</v>
      </c>
      <c r="N530" s="55" t="s">
        <v>80</v>
      </c>
    </row>
    <row r="531">
      <c r="A531" s="48">
        <v>1098.0</v>
      </c>
      <c r="B531" s="49">
        <v>45432.0</v>
      </c>
      <c r="C531" s="50">
        <v>54.7378019222</v>
      </c>
      <c r="D531" s="51">
        <v>394.15455145252656</v>
      </c>
      <c r="E531" s="52" t="s">
        <v>49</v>
      </c>
      <c r="F531" s="52" t="s">
        <v>140</v>
      </c>
      <c r="G531" s="52" t="s">
        <v>700</v>
      </c>
      <c r="H531" s="53"/>
      <c r="I531" s="54" t="s">
        <v>181</v>
      </c>
      <c r="J531" s="54">
        <v>5.0</v>
      </c>
      <c r="K531" s="54" t="s">
        <v>78</v>
      </c>
      <c r="L531" s="54" t="s">
        <v>120</v>
      </c>
      <c r="M531" s="52" t="s">
        <v>73</v>
      </c>
      <c r="N531" s="55" t="s">
        <v>80</v>
      </c>
    </row>
    <row r="532">
      <c r="A532" s="48">
        <v>1099.0</v>
      </c>
      <c r="B532" s="49">
        <v>45432.0</v>
      </c>
      <c r="C532" s="50">
        <v>51.4647369152</v>
      </c>
      <c r="D532" s="51">
        <v>370.5859494187313</v>
      </c>
      <c r="E532" s="52" t="s">
        <v>49</v>
      </c>
      <c r="F532" s="52" t="s">
        <v>140</v>
      </c>
      <c r="G532" s="52" t="s">
        <v>701</v>
      </c>
      <c r="H532" s="53"/>
      <c r="I532" s="54" t="s">
        <v>181</v>
      </c>
      <c r="J532" s="54">
        <v>5.0</v>
      </c>
      <c r="K532" s="54" t="s">
        <v>78</v>
      </c>
      <c r="L532" s="54" t="s">
        <v>120</v>
      </c>
      <c r="M532" s="52" t="s">
        <v>73</v>
      </c>
      <c r="N532" s="55" t="s">
        <v>80</v>
      </c>
    </row>
    <row r="533">
      <c r="A533" s="48">
        <v>1100.0</v>
      </c>
      <c r="B533" s="49">
        <v>45432.0</v>
      </c>
      <c r="C533" s="50">
        <v>34.6783800285</v>
      </c>
      <c r="D533" s="51">
        <v>249.71118395768255</v>
      </c>
      <c r="E533" s="52" t="s">
        <v>49</v>
      </c>
      <c r="F533" s="52" t="s">
        <v>140</v>
      </c>
      <c r="G533" s="52" t="s">
        <v>702</v>
      </c>
      <c r="H533" s="53"/>
      <c r="I533" s="54" t="s">
        <v>181</v>
      </c>
      <c r="J533" s="54">
        <v>5.0</v>
      </c>
      <c r="K533" s="54" t="s">
        <v>78</v>
      </c>
      <c r="L533" s="54" t="s">
        <v>120</v>
      </c>
      <c r="M533" s="52" t="s">
        <v>73</v>
      </c>
      <c r="N533" s="55" t="s">
        <v>80</v>
      </c>
    </row>
    <row r="534">
      <c r="A534" s="48">
        <v>1101.0</v>
      </c>
      <c r="B534" s="49">
        <v>45432.0</v>
      </c>
      <c r="C534" s="50">
        <v>39.3209048853</v>
      </c>
      <c r="D534" s="51">
        <v>283.1409571360072</v>
      </c>
      <c r="E534" s="52" t="s">
        <v>49</v>
      </c>
      <c r="F534" s="52" t="s">
        <v>140</v>
      </c>
      <c r="G534" s="52" t="s">
        <v>703</v>
      </c>
      <c r="H534" s="53"/>
      <c r="I534" s="54" t="s">
        <v>181</v>
      </c>
      <c r="J534" s="54">
        <v>5.0</v>
      </c>
      <c r="K534" s="54" t="s">
        <v>78</v>
      </c>
      <c r="L534" s="54" t="s">
        <v>120</v>
      </c>
      <c r="M534" s="52" t="s">
        <v>73</v>
      </c>
      <c r="N534" s="55" t="s">
        <v>80</v>
      </c>
    </row>
    <row r="535">
      <c r="A535" s="48">
        <v>1102.0</v>
      </c>
      <c r="B535" s="49">
        <v>45432.0</v>
      </c>
      <c r="C535" s="50">
        <v>51.6697611215</v>
      </c>
      <c r="D535" s="51">
        <v>372.06228243235773</v>
      </c>
      <c r="E535" s="52" t="s">
        <v>49</v>
      </c>
      <c r="F535" s="52" t="s">
        <v>140</v>
      </c>
      <c r="G535" s="52" t="s">
        <v>704</v>
      </c>
      <c r="H535" s="53"/>
      <c r="I535" s="54" t="s">
        <v>181</v>
      </c>
      <c r="J535" s="54">
        <v>5.0</v>
      </c>
      <c r="K535" s="54" t="s">
        <v>78</v>
      </c>
      <c r="L535" s="54" t="s">
        <v>120</v>
      </c>
      <c r="M535" s="52" t="s">
        <v>73</v>
      </c>
      <c r="N535" s="55" t="s">
        <v>80</v>
      </c>
    </row>
    <row r="536">
      <c r="A536" s="48">
        <v>1103.0</v>
      </c>
      <c r="B536" s="49">
        <v>45432.0</v>
      </c>
      <c r="C536" s="50">
        <v>51.8674630347</v>
      </c>
      <c r="D536" s="51">
        <v>373.48588926679747</v>
      </c>
      <c r="E536" s="52" t="s">
        <v>49</v>
      </c>
      <c r="F536" s="52" t="s">
        <v>140</v>
      </c>
      <c r="G536" s="52" t="s">
        <v>705</v>
      </c>
      <c r="H536" s="53"/>
      <c r="I536" s="54" t="s">
        <v>181</v>
      </c>
      <c r="J536" s="54">
        <v>5.0</v>
      </c>
      <c r="K536" s="54" t="s">
        <v>78</v>
      </c>
      <c r="L536" s="54" t="s">
        <v>120</v>
      </c>
      <c r="M536" s="52" t="s">
        <v>73</v>
      </c>
      <c r="N536" s="55" t="s">
        <v>80</v>
      </c>
    </row>
    <row r="537">
      <c r="A537" s="48">
        <v>1104.0</v>
      </c>
      <c r="B537" s="49">
        <v>45432.0</v>
      </c>
      <c r="C537" s="50">
        <v>16.2115568799</v>
      </c>
      <c r="D537" s="51">
        <v>116.73576040605629</v>
      </c>
      <c r="E537" s="52" t="s">
        <v>49</v>
      </c>
      <c r="F537" s="52" t="s">
        <v>140</v>
      </c>
      <c r="G537" s="52" t="s">
        <v>706</v>
      </c>
      <c r="H537" s="53"/>
      <c r="I537" s="54" t="s">
        <v>181</v>
      </c>
      <c r="J537" s="54">
        <v>5.0</v>
      </c>
      <c r="K537" s="54" t="s">
        <v>78</v>
      </c>
      <c r="L537" s="54" t="s">
        <v>120</v>
      </c>
      <c r="M537" s="52" t="s">
        <v>73</v>
      </c>
      <c r="N537" s="55" t="s">
        <v>80</v>
      </c>
    </row>
    <row r="538">
      <c r="A538" s="48">
        <v>1105.0</v>
      </c>
      <c r="B538" s="49">
        <v>45432.0</v>
      </c>
      <c r="C538" s="50">
        <v>9.4776214399</v>
      </c>
      <c r="D538" s="51">
        <v>68.24621187365523</v>
      </c>
      <c r="E538" s="52" t="s">
        <v>49</v>
      </c>
      <c r="F538" s="52" t="s">
        <v>140</v>
      </c>
      <c r="G538" s="52" t="s">
        <v>707</v>
      </c>
      <c r="H538" s="53"/>
      <c r="I538" s="54" t="s">
        <v>181</v>
      </c>
      <c r="J538" s="54">
        <v>5.0</v>
      </c>
      <c r="K538" s="54" t="s">
        <v>78</v>
      </c>
      <c r="L538" s="54" t="s">
        <v>120</v>
      </c>
      <c r="M538" s="52" t="s">
        <v>73</v>
      </c>
      <c r="N538" s="55" t="s">
        <v>80</v>
      </c>
    </row>
    <row r="539">
      <c r="A539" s="48">
        <v>1106.0</v>
      </c>
      <c r="B539" s="49">
        <v>45432.0</v>
      </c>
      <c r="C539" s="50">
        <v>9.4776214399</v>
      </c>
      <c r="D539" s="51">
        <v>68.24621187365523</v>
      </c>
      <c r="E539" s="52" t="s">
        <v>49</v>
      </c>
      <c r="F539" s="52" t="s">
        <v>140</v>
      </c>
      <c r="G539" s="52" t="s">
        <v>708</v>
      </c>
      <c r="H539" s="53"/>
      <c r="I539" s="54" t="s">
        <v>181</v>
      </c>
      <c r="J539" s="54">
        <v>5.0</v>
      </c>
      <c r="K539" s="54" t="s">
        <v>78</v>
      </c>
      <c r="L539" s="54" t="s">
        <v>120</v>
      </c>
      <c r="M539" s="52" t="s">
        <v>73</v>
      </c>
      <c r="N539" s="55" t="s">
        <v>80</v>
      </c>
    </row>
    <row r="540">
      <c r="A540" s="48">
        <v>1107.0</v>
      </c>
      <c r="B540" s="49">
        <v>45432.0</v>
      </c>
      <c r="C540" s="50">
        <v>9.4776214399</v>
      </c>
      <c r="D540" s="51">
        <v>68.24621187365523</v>
      </c>
      <c r="E540" s="52" t="s">
        <v>49</v>
      </c>
      <c r="F540" s="52" t="s">
        <v>140</v>
      </c>
      <c r="G540" s="52" t="s">
        <v>709</v>
      </c>
      <c r="H540" s="53"/>
      <c r="I540" s="54" t="s">
        <v>181</v>
      </c>
      <c r="J540" s="54">
        <v>5.0</v>
      </c>
      <c r="K540" s="54" t="s">
        <v>78</v>
      </c>
      <c r="L540" s="54" t="s">
        <v>120</v>
      </c>
      <c r="M540" s="52" t="s">
        <v>73</v>
      </c>
      <c r="N540" s="55" t="s">
        <v>80</v>
      </c>
    </row>
    <row r="541">
      <c r="A541" s="48">
        <v>1108.0</v>
      </c>
      <c r="B541" s="49">
        <v>45432.0</v>
      </c>
      <c r="C541" s="50">
        <v>6.3847900114</v>
      </c>
      <c r="D541" s="51">
        <v>45.975431140600556</v>
      </c>
      <c r="E541" s="52" t="s">
        <v>49</v>
      </c>
      <c r="F541" s="52" t="s">
        <v>140</v>
      </c>
      <c r="G541" s="52" t="s">
        <v>693</v>
      </c>
      <c r="H541" s="53"/>
      <c r="I541" s="54" t="s">
        <v>181</v>
      </c>
      <c r="J541" s="54">
        <v>5.0</v>
      </c>
      <c r="K541" s="54" t="s">
        <v>78</v>
      </c>
      <c r="L541" s="54" t="s">
        <v>120</v>
      </c>
      <c r="M541" s="52" t="s">
        <v>73</v>
      </c>
      <c r="N541" s="55" t="s">
        <v>80</v>
      </c>
    </row>
    <row r="542">
      <c r="A542" s="48">
        <v>1109.0</v>
      </c>
      <c r="B542" s="49">
        <v>45432.0</v>
      </c>
      <c r="C542" s="50">
        <v>38.7764365289</v>
      </c>
      <c r="D542" s="51">
        <v>279.2203634464404</v>
      </c>
      <c r="E542" s="52" t="s">
        <v>49</v>
      </c>
      <c r="F542" s="52" t="s">
        <v>140</v>
      </c>
      <c r="G542" s="52" t="s">
        <v>710</v>
      </c>
      <c r="H542" s="53"/>
      <c r="I542" s="54" t="s">
        <v>181</v>
      </c>
      <c r="J542" s="54">
        <v>5.0</v>
      </c>
      <c r="K542" s="54" t="s">
        <v>78</v>
      </c>
      <c r="L542" s="54" t="s">
        <v>120</v>
      </c>
      <c r="M542" s="52" t="s">
        <v>73</v>
      </c>
      <c r="N542" s="55" t="s">
        <v>80</v>
      </c>
    </row>
    <row r="543">
      <c r="A543" s="48">
        <v>1110.0</v>
      </c>
      <c r="B543" s="49">
        <v>45432.0</v>
      </c>
      <c r="C543" s="50">
        <v>38.1952109621</v>
      </c>
      <c r="D543" s="51">
        <v>275.03508938482554</v>
      </c>
      <c r="E543" s="52" t="s">
        <v>49</v>
      </c>
      <c r="F543" s="52" t="s">
        <v>140</v>
      </c>
      <c r="G543" s="52" t="s">
        <v>711</v>
      </c>
      <c r="H543" s="53"/>
      <c r="I543" s="54" t="s">
        <v>181</v>
      </c>
      <c r="J543" s="54">
        <v>5.0</v>
      </c>
      <c r="K543" s="54" t="s">
        <v>78</v>
      </c>
      <c r="L543" s="54" t="s">
        <v>120</v>
      </c>
      <c r="M543" s="52" t="s">
        <v>73</v>
      </c>
      <c r="N543" s="55" t="s">
        <v>80</v>
      </c>
    </row>
    <row r="544">
      <c r="A544" s="48">
        <v>1111.0</v>
      </c>
      <c r="B544" s="49">
        <v>45432.0</v>
      </c>
      <c r="C544" s="50">
        <v>38.3310113281</v>
      </c>
      <c r="D544" s="51">
        <v>276.01295715569245</v>
      </c>
      <c r="E544" s="52" t="s">
        <v>49</v>
      </c>
      <c r="F544" s="52" t="s">
        <v>140</v>
      </c>
      <c r="G544" s="52" t="s">
        <v>712</v>
      </c>
      <c r="H544" s="53"/>
      <c r="I544" s="54" t="s">
        <v>181</v>
      </c>
      <c r="J544" s="54">
        <v>5.0</v>
      </c>
      <c r="K544" s="54" t="s">
        <v>78</v>
      </c>
      <c r="L544" s="54" t="s">
        <v>120</v>
      </c>
      <c r="M544" s="52" t="s">
        <v>73</v>
      </c>
      <c r="N544" s="55" t="s">
        <v>80</v>
      </c>
    </row>
    <row r="545">
      <c r="A545" s="48">
        <v>1112.0</v>
      </c>
      <c r="B545" s="49">
        <v>45432.0</v>
      </c>
      <c r="C545" s="50">
        <v>38.447799643</v>
      </c>
      <c r="D545" s="51">
        <v>276.8539234396462</v>
      </c>
      <c r="E545" s="52" t="s">
        <v>49</v>
      </c>
      <c r="F545" s="52" t="s">
        <v>140</v>
      </c>
      <c r="G545" s="52" t="s">
        <v>713</v>
      </c>
      <c r="H545" s="53"/>
      <c r="I545" s="54" t="s">
        <v>181</v>
      </c>
      <c r="J545" s="54">
        <v>5.0</v>
      </c>
      <c r="K545" s="54" t="s">
        <v>78</v>
      </c>
      <c r="L545" s="54" t="s">
        <v>120</v>
      </c>
      <c r="M545" s="52" t="s">
        <v>73</v>
      </c>
      <c r="N545" s="55" t="s">
        <v>80</v>
      </c>
    </row>
    <row r="546">
      <c r="A546" s="48">
        <v>1113.0</v>
      </c>
      <c r="B546" s="49">
        <v>45432.0</v>
      </c>
      <c r="C546" s="50">
        <v>52.9311709432</v>
      </c>
      <c r="D546" s="51">
        <v>381.1454097230122</v>
      </c>
      <c r="E546" s="52" t="s">
        <v>49</v>
      </c>
      <c r="F546" s="52" t="s">
        <v>140</v>
      </c>
      <c r="G546" s="52" t="s">
        <v>714</v>
      </c>
      <c r="H546" s="53"/>
      <c r="I546" s="54" t="s">
        <v>181</v>
      </c>
      <c r="J546" s="54">
        <v>5.0</v>
      </c>
      <c r="K546" s="54" t="s">
        <v>78</v>
      </c>
      <c r="L546" s="54" t="s">
        <v>120</v>
      </c>
      <c r="M546" s="52" t="s">
        <v>73</v>
      </c>
      <c r="N546" s="55" t="s">
        <v>80</v>
      </c>
    </row>
    <row r="547">
      <c r="A547" s="48">
        <v>1114.0</v>
      </c>
      <c r="B547" s="49">
        <v>45432.0</v>
      </c>
      <c r="C547" s="50">
        <v>31.2009930491</v>
      </c>
      <c r="D547" s="51">
        <v>224.6713055380053</v>
      </c>
      <c r="E547" s="52" t="s">
        <v>49</v>
      </c>
      <c r="F547" s="52" t="s">
        <v>140</v>
      </c>
      <c r="G547" s="52" t="s">
        <v>715</v>
      </c>
      <c r="H547" s="53"/>
      <c r="I547" s="54" t="s">
        <v>181</v>
      </c>
      <c r="J547" s="54">
        <v>5.0</v>
      </c>
      <c r="K547" s="54" t="s">
        <v>78</v>
      </c>
      <c r="L547" s="54" t="s">
        <v>120</v>
      </c>
      <c r="M547" s="52" t="s">
        <v>73</v>
      </c>
      <c r="N547" s="55" t="s">
        <v>80</v>
      </c>
    </row>
    <row r="548">
      <c r="A548" s="48">
        <v>1115.0</v>
      </c>
      <c r="B548" s="49">
        <v>45432.0</v>
      </c>
      <c r="C548" s="50">
        <v>51.7711058721</v>
      </c>
      <c r="D548" s="51">
        <v>372.792043097055</v>
      </c>
      <c r="E548" s="52" t="s">
        <v>49</v>
      </c>
      <c r="F548" s="52" t="s">
        <v>140</v>
      </c>
      <c r="G548" s="52" t="s">
        <v>716</v>
      </c>
      <c r="H548" s="53"/>
      <c r="I548" s="54" t="s">
        <v>181</v>
      </c>
      <c r="J548" s="54">
        <v>5.0</v>
      </c>
      <c r="K548" s="54" t="s">
        <v>78</v>
      </c>
      <c r="L548" s="54" t="s">
        <v>120</v>
      </c>
      <c r="M548" s="52" t="s">
        <v>73</v>
      </c>
      <c r="N548" s="55" t="s">
        <v>80</v>
      </c>
    </row>
    <row r="549">
      <c r="A549" s="48">
        <v>1116.0</v>
      </c>
      <c r="B549" s="49">
        <v>45432.0</v>
      </c>
      <c r="C549" s="50">
        <v>54.8780309364</v>
      </c>
      <c r="D549" s="51">
        <v>395.16430891906117</v>
      </c>
      <c r="E549" s="52" t="s">
        <v>49</v>
      </c>
      <c r="F549" s="52" t="s">
        <v>140</v>
      </c>
      <c r="G549" s="52" t="s">
        <v>717</v>
      </c>
      <c r="H549" s="53"/>
      <c r="I549" s="54" t="s">
        <v>181</v>
      </c>
      <c r="J549" s="54">
        <v>5.0</v>
      </c>
      <c r="K549" s="54" t="s">
        <v>78</v>
      </c>
      <c r="L549" s="54" t="s">
        <v>120</v>
      </c>
      <c r="M549" s="52" t="s">
        <v>73</v>
      </c>
      <c r="N549" s="55" t="s">
        <v>80</v>
      </c>
    </row>
    <row r="550">
      <c r="A550" s="48">
        <v>1117.0</v>
      </c>
      <c r="B550" s="49">
        <v>45432.0</v>
      </c>
      <c r="C550" s="50">
        <v>57.3518605518</v>
      </c>
      <c r="D550" s="51">
        <v>412.9777973710427</v>
      </c>
      <c r="E550" s="52" t="s">
        <v>49</v>
      </c>
      <c r="F550" s="52" t="s">
        <v>140</v>
      </c>
      <c r="G550" s="52" t="s">
        <v>718</v>
      </c>
      <c r="H550" s="53"/>
      <c r="I550" s="54" t="s">
        <v>181</v>
      </c>
      <c r="J550" s="54">
        <v>5.0</v>
      </c>
      <c r="K550" s="54" t="s">
        <v>78</v>
      </c>
      <c r="L550" s="54" t="s">
        <v>120</v>
      </c>
      <c r="M550" s="52" t="s">
        <v>73</v>
      </c>
      <c r="N550" s="55" t="s">
        <v>80</v>
      </c>
    </row>
    <row r="551">
      <c r="A551" s="48">
        <v>1118.0</v>
      </c>
      <c r="B551" s="49">
        <v>45432.0</v>
      </c>
      <c r="C551" s="50">
        <v>52.6713456434</v>
      </c>
      <c r="D551" s="51">
        <v>379.2744664095732</v>
      </c>
      <c r="E551" s="52" t="s">
        <v>49</v>
      </c>
      <c r="F551" s="52" t="s">
        <v>140</v>
      </c>
      <c r="G551" s="52" t="s">
        <v>719</v>
      </c>
      <c r="H551" s="53"/>
      <c r="I551" s="54" t="s">
        <v>181</v>
      </c>
      <c r="J551" s="54">
        <v>5.0</v>
      </c>
      <c r="K551" s="54" t="s">
        <v>78</v>
      </c>
      <c r="L551" s="54" t="s">
        <v>120</v>
      </c>
      <c r="M551" s="52" t="s">
        <v>73</v>
      </c>
      <c r="N551" s="55" t="s">
        <v>80</v>
      </c>
    </row>
    <row r="552">
      <c r="A552" s="48">
        <v>1119.0</v>
      </c>
      <c r="B552" s="49">
        <v>45432.0</v>
      </c>
      <c r="C552" s="50">
        <v>15.1833122403</v>
      </c>
      <c r="D552" s="51">
        <v>109.33160294132931</v>
      </c>
      <c r="E552" s="52" t="s">
        <v>49</v>
      </c>
      <c r="F552" s="52" t="s">
        <v>140</v>
      </c>
      <c r="G552" s="52" t="s">
        <v>720</v>
      </c>
      <c r="H552" s="53"/>
      <c r="I552" s="54" t="s">
        <v>181</v>
      </c>
      <c r="J552" s="54">
        <v>5.0</v>
      </c>
      <c r="K552" s="54" t="s">
        <v>78</v>
      </c>
      <c r="L552" s="54" t="s">
        <v>120</v>
      </c>
      <c r="M552" s="52" t="s">
        <v>73</v>
      </c>
      <c r="N552" s="55" t="s">
        <v>80</v>
      </c>
    </row>
    <row r="553">
      <c r="A553" s="48">
        <v>1120.0</v>
      </c>
      <c r="B553" s="49">
        <v>45432.0</v>
      </c>
      <c r="C553" s="50">
        <v>39.0045811439</v>
      </c>
      <c r="D553" s="51">
        <v>280.86318130236094</v>
      </c>
      <c r="E553" s="52" t="s">
        <v>49</v>
      </c>
      <c r="F553" s="52" t="s">
        <v>140</v>
      </c>
      <c r="G553" s="52" t="s">
        <v>721</v>
      </c>
      <c r="H553" s="53"/>
      <c r="I553" s="54" t="s">
        <v>181</v>
      </c>
      <c r="J553" s="54">
        <v>5.0</v>
      </c>
      <c r="K553" s="54" t="s">
        <v>78</v>
      </c>
      <c r="L553" s="54" t="s">
        <v>120</v>
      </c>
      <c r="M553" s="52" t="s">
        <v>73</v>
      </c>
      <c r="N553" s="55" t="s">
        <v>80</v>
      </c>
    </row>
    <row r="554">
      <c r="A554" s="48">
        <v>1121.0</v>
      </c>
      <c r="B554" s="49">
        <v>45432.0</v>
      </c>
      <c r="C554" s="50">
        <v>35.3801549142</v>
      </c>
      <c r="D554" s="51">
        <v>254.76450644379332</v>
      </c>
      <c r="E554" s="52" t="s">
        <v>49</v>
      </c>
      <c r="F554" s="52" t="s">
        <v>140</v>
      </c>
      <c r="G554" s="52" t="s">
        <v>722</v>
      </c>
      <c r="H554" s="53"/>
      <c r="I554" s="54" t="s">
        <v>181</v>
      </c>
      <c r="J554" s="54">
        <v>5.0</v>
      </c>
      <c r="K554" s="54" t="s">
        <v>78</v>
      </c>
      <c r="L554" s="54" t="s">
        <v>120</v>
      </c>
      <c r="M554" s="52" t="s">
        <v>73</v>
      </c>
      <c r="N554" s="55" t="s">
        <v>80</v>
      </c>
    </row>
    <row r="555">
      <c r="A555" s="48">
        <v>1122.0</v>
      </c>
      <c r="B555" s="49">
        <v>45432.0</v>
      </c>
      <c r="C555" s="50">
        <v>17.6022491867</v>
      </c>
      <c r="D555" s="51">
        <v>126.7498216790012</v>
      </c>
      <c r="E555" s="52" t="s">
        <v>49</v>
      </c>
      <c r="F555" s="52" t="s">
        <v>140</v>
      </c>
      <c r="G555" s="52" t="s">
        <v>723</v>
      </c>
      <c r="H555" s="53"/>
      <c r="I555" s="54" t="s">
        <v>181</v>
      </c>
      <c r="J555" s="54">
        <v>5.0</v>
      </c>
      <c r="K555" s="54" t="s">
        <v>78</v>
      </c>
      <c r="L555" s="54" t="s">
        <v>120</v>
      </c>
      <c r="M555" s="52" t="s">
        <v>73</v>
      </c>
      <c r="N555" s="55" t="s">
        <v>80</v>
      </c>
    </row>
    <row r="556">
      <c r="A556" s="48">
        <v>1123.0</v>
      </c>
      <c r="B556" s="49">
        <v>45432.0</v>
      </c>
      <c r="C556" s="50">
        <v>9.4685008826</v>
      </c>
      <c r="D556" s="51">
        <v>68.18053680002535</v>
      </c>
      <c r="E556" s="52" t="s">
        <v>49</v>
      </c>
      <c r="F556" s="52" t="s">
        <v>140</v>
      </c>
      <c r="G556" s="52" t="s">
        <v>724</v>
      </c>
      <c r="H556" s="53"/>
      <c r="I556" s="54" t="s">
        <v>181</v>
      </c>
      <c r="J556" s="54">
        <v>5.0</v>
      </c>
      <c r="K556" s="54" t="s">
        <v>78</v>
      </c>
      <c r="L556" s="54" t="s">
        <v>120</v>
      </c>
      <c r="M556" s="52" t="s">
        <v>73</v>
      </c>
      <c r="N556" s="55" t="s">
        <v>80</v>
      </c>
    </row>
    <row r="557">
      <c r="A557" s="48">
        <v>1124.0</v>
      </c>
      <c r="B557" s="49">
        <v>45432.0</v>
      </c>
      <c r="C557" s="50">
        <v>9.4685008826</v>
      </c>
      <c r="D557" s="51">
        <v>68.18053680002535</v>
      </c>
      <c r="E557" s="52" t="s">
        <v>49</v>
      </c>
      <c r="F557" s="52" t="s">
        <v>140</v>
      </c>
      <c r="G557" s="52" t="s">
        <v>725</v>
      </c>
      <c r="H557" s="53"/>
      <c r="I557" s="54" t="s">
        <v>181</v>
      </c>
      <c r="J557" s="54">
        <v>5.0</v>
      </c>
      <c r="K557" s="54" t="s">
        <v>78</v>
      </c>
      <c r="L557" s="54" t="s">
        <v>120</v>
      </c>
      <c r="M557" s="52" t="s">
        <v>73</v>
      </c>
      <c r="N557" s="55" t="s">
        <v>80</v>
      </c>
    </row>
    <row r="558">
      <c r="A558" s="48">
        <v>1125.0</v>
      </c>
      <c r="B558" s="49">
        <v>45432.0</v>
      </c>
      <c r="C558" s="50">
        <v>9.4685008826</v>
      </c>
      <c r="D558" s="51">
        <v>68.18053680002535</v>
      </c>
      <c r="E558" s="52" t="s">
        <v>49</v>
      </c>
      <c r="F558" s="52" t="s">
        <v>140</v>
      </c>
      <c r="G558" s="52" t="s">
        <v>726</v>
      </c>
      <c r="H558" s="53"/>
      <c r="I558" s="54" t="s">
        <v>181</v>
      </c>
      <c r="J558" s="54">
        <v>5.0</v>
      </c>
      <c r="K558" s="54" t="s">
        <v>78</v>
      </c>
      <c r="L558" s="54" t="s">
        <v>120</v>
      </c>
      <c r="M558" s="52" t="s">
        <v>73</v>
      </c>
      <c r="N558" s="55" t="s">
        <v>80</v>
      </c>
    </row>
    <row r="559">
      <c r="A559" s="48">
        <v>1126.0</v>
      </c>
      <c r="B559" s="49">
        <v>45432.0</v>
      </c>
      <c r="C559" s="50">
        <v>6.3847900114</v>
      </c>
      <c r="D559" s="51">
        <v>45.975431140600556</v>
      </c>
      <c r="E559" s="52" t="s">
        <v>49</v>
      </c>
      <c r="F559" s="52" t="s">
        <v>140</v>
      </c>
      <c r="G559" s="52" t="s">
        <v>693</v>
      </c>
      <c r="H559" s="53"/>
      <c r="I559" s="54" t="s">
        <v>181</v>
      </c>
      <c r="J559" s="54">
        <v>5.0</v>
      </c>
      <c r="K559" s="54" t="s">
        <v>78</v>
      </c>
      <c r="L559" s="54" t="s">
        <v>120</v>
      </c>
      <c r="M559" s="52" t="s">
        <v>73</v>
      </c>
      <c r="N559" s="55" t="s">
        <v>80</v>
      </c>
    </row>
    <row r="560">
      <c r="A560" s="48">
        <v>1127.0</v>
      </c>
      <c r="B560" s="49">
        <v>45432.0</v>
      </c>
      <c r="C560" s="50">
        <v>41.3311491286</v>
      </c>
      <c r="D560" s="51">
        <v>297.6162720044068</v>
      </c>
      <c r="E560" s="52" t="s">
        <v>49</v>
      </c>
      <c r="F560" s="52" t="s">
        <v>140</v>
      </c>
      <c r="G560" s="52" t="s">
        <v>727</v>
      </c>
      <c r="H560" s="53"/>
      <c r="I560" s="54" t="s">
        <v>181</v>
      </c>
      <c r="J560" s="54">
        <v>5.0</v>
      </c>
      <c r="K560" s="54" t="s">
        <v>78</v>
      </c>
      <c r="L560" s="54" t="s">
        <v>120</v>
      </c>
      <c r="M560" s="52" t="s">
        <v>73</v>
      </c>
      <c r="N560" s="55" t="s">
        <v>80</v>
      </c>
    </row>
    <row r="561">
      <c r="A561" s="48">
        <v>1128.0</v>
      </c>
      <c r="B561" s="49">
        <v>45432.0</v>
      </c>
      <c r="C561" s="50">
        <v>36.8401139056</v>
      </c>
      <c r="D561" s="51">
        <v>265.27734147162744</v>
      </c>
      <c r="E561" s="52" t="s">
        <v>49</v>
      </c>
      <c r="F561" s="52" t="s">
        <v>140</v>
      </c>
      <c r="G561" s="52" t="s">
        <v>728</v>
      </c>
      <c r="H561" s="53"/>
      <c r="I561" s="54" t="s">
        <v>181</v>
      </c>
      <c r="J561" s="54">
        <v>5.0</v>
      </c>
      <c r="K561" s="54" t="s">
        <v>78</v>
      </c>
      <c r="L561" s="54" t="s">
        <v>120</v>
      </c>
      <c r="M561" s="52" t="s">
        <v>73</v>
      </c>
      <c r="N561" s="55" t="s">
        <v>80</v>
      </c>
    </row>
    <row r="562">
      <c r="A562" s="48">
        <v>1129.0</v>
      </c>
      <c r="B562" s="49">
        <v>45432.0</v>
      </c>
      <c r="C562" s="50">
        <v>39.7302025001</v>
      </c>
      <c r="D562" s="51">
        <v>286.08821683783776</v>
      </c>
      <c r="E562" s="52" t="s">
        <v>49</v>
      </c>
      <c r="F562" s="52" t="s">
        <v>140</v>
      </c>
      <c r="G562" s="52" t="s">
        <v>729</v>
      </c>
      <c r="H562" s="53"/>
      <c r="I562" s="54" t="s">
        <v>181</v>
      </c>
      <c r="J562" s="54">
        <v>5.0</v>
      </c>
      <c r="K562" s="54" t="s">
        <v>78</v>
      </c>
      <c r="L562" s="54" t="s">
        <v>120</v>
      </c>
      <c r="M562" s="52" t="s">
        <v>73</v>
      </c>
      <c r="N562" s="55" t="s">
        <v>80</v>
      </c>
    </row>
    <row r="563">
      <c r="A563" s="48">
        <v>1130.0</v>
      </c>
      <c r="B563" s="49">
        <v>45432.0</v>
      </c>
      <c r="C563" s="50">
        <v>36.5125879997</v>
      </c>
      <c r="D563" s="51">
        <v>262.918901380946</v>
      </c>
      <c r="E563" s="52" t="s">
        <v>49</v>
      </c>
      <c r="F563" s="52" t="s">
        <v>140</v>
      </c>
      <c r="G563" s="52" t="s">
        <v>730</v>
      </c>
      <c r="H563" s="53"/>
      <c r="I563" s="54" t="s">
        <v>181</v>
      </c>
      <c r="J563" s="54">
        <v>5.0</v>
      </c>
      <c r="K563" s="54" t="s">
        <v>78</v>
      </c>
      <c r="L563" s="54" t="s">
        <v>120</v>
      </c>
      <c r="M563" s="52" t="s">
        <v>73</v>
      </c>
      <c r="N563" s="55" t="s">
        <v>80</v>
      </c>
    </row>
    <row r="564">
      <c r="A564" s="48">
        <v>1131.0</v>
      </c>
      <c r="B564" s="49">
        <v>45432.0</v>
      </c>
      <c r="C564" s="50">
        <v>51.5301789237</v>
      </c>
      <c r="D564" s="51">
        <v>371.05718254466376</v>
      </c>
      <c r="E564" s="52" t="s">
        <v>49</v>
      </c>
      <c r="F564" s="52" t="s">
        <v>140</v>
      </c>
      <c r="G564" s="52" t="s">
        <v>731</v>
      </c>
      <c r="H564" s="53"/>
      <c r="I564" s="54" t="s">
        <v>181</v>
      </c>
      <c r="J564" s="54">
        <v>5.0</v>
      </c>
      <c r="K564" s="54" t="s">
        <v>78</v>
      </c>
      <c r="L564" s="54" t="s">
        <v>120</v>
      </c>
      <c r="M564" s="52" t="s">
        <v>73</v>
      </c>
      <c r="N564" s="55" t="s">
        <v>80</v>
      </c>
    </row>
    <row r="565">
      <c r="A565" s="48">
        <v>1132.0</v>
      </c>
      <c r="B565" s="49">
        <v>45432.0</v>
      </c>
      <c r="C565" s="50">
        <v>13.6663005353</v>
      </c>
      <c r="D565" s="51">
        <v>98.40794420577453</v>
      </c>
      <c r="E565" s="52" t="s">
        <v>49</v>
      </c>
      <c r="F565" s="52" t="s">
        <v>140</v>
      </c>
      <c r="G565" s="52" t="s">
        <v>732</v>
      </c>
      <c r="H565" s="53"/>
      <c r="I565" s="54" t="s">
        <v>181</v>
      </c>
      <c r="J565" s="54">
        <v>5.0</v>
      </c>
      <c r="K565" s="54" t="s">
        <v>78</v>
      </c>
      <c r="L565" s="54" t="s">
        <v>120</v>
      </c>
      <c r="M565" s="52" t="s">
        <v>73</v>
      </c>
      <c r="N565" s="55" t="s">
        <v>80</v>
      </c>
    </row>
    <row r="566">
      <c r="A566" s="48">
        <v>1133.0</v>
      </c>
      <c r="B566" s="49">
        <v>45432.0</v>
      </c>
      <c r="C566" s="50">
        <v>57.3518605518</v>
      </c>
      <c r="D566" s="51">
        <v>412.9777973710427</v>
      </c>
      <c r="E566" s="52" t="s">
        <v>49</v>
      </c>
      <c r="F566" s="52" t="s">
        <v>140</v>
      </c>
      <c r="G566" s="52" t="s">
        <v>733</v>
      </c>
      <c r="H566" s="53"/>
      <c r="I566" s="54" t="s">
        <v>181</v>
      </c>
      <c r="J566" s="54">
        <v>5.0</v>
      </c>
      <c r="K566" s="54" t="s">
        <v>78</v>
      </c>
      <c r="L566" s="54" t="s">
        <v>120</v>
      </c>
      <c r="M566" s="52" t="s">
        <v>73</v>
      </c>
      <c r="N566" s="55" t="s">
        <v>80</v>
      </c>
    </row>
    <row r="567">
      <c r="A567" s="48">
        <v>1134.0</v>
      </c>
      <c r="B567" s="49">
        <v>45432.0</v>
      </c>
      <c r="C567" s="50">
        <v>39.2937031666</v>
      </c>
      <c r="D567" s="51">
        <v>282.94508370199213</v>
      </c>
      <c r="E567" s="52" t="s">
        <v>49</v>
      </c>
      <c r="F567" s="52" t="s">
        <v>140</v>
      </c>
      <c r="G567" s="52" t="s">
        <v>734</v>
      </c>
      <c r="H567" s="53"/>
      <c r="I567" s="54" t="s">
        <v>181</v>
      </c>
      <c r="J567" s="54">
        <v>5.0</v>
      </c>
      <c r="K567" s="54" t="s">
        <v>78</v>
      </c>
      <c r="L567" s="54" t="s">
        <v>120</v>
      </c>
      <c r="M567" s="52" t="s">
        <v>73</v>
      </c>
      <c r="N567" s="55" t="s">
        <v>80</v>
      </c>
    </row>
    <row r="568">
      <c r="A568" s="48">
        <v>1135.0</v>
      </c>
      <c r="B568" s="49">
        <v>45432.0</v>
      </c>
      <c r="C568" s="50">
        <v>37.4427615727</v>
      </c>
      <c r="D568" s="51">
        <v>269.6168712402383</v>
      </c>
      <c r="E568" s="52" t="s">
        <v>49</v>
      </c>
      <c r="F568" s="52" t="s">
        <v>140</v>
      </c>
      <c r="G568" s="52" t="s">
        <v>735</v>
      </c>
      <c r="H568" s="53"/>
      <c r="I568" s="54" t="s">
        <v>181</v>
      </c>
      <c r="J568" s="54">
        <v>5.0</v>
      </c>
      <c r="K568" s="54" t="s">
        <v>78</v>
      </c>
      <c r="L568" s="54" t="s">
        <v>120</v>
      </c>
      <c r="M568" s="52" t="s">
        <v>73</v>
      </c>
      <c r="N568" s="55" t="s">
        <v>80</v>
      </c>
    </row>
    <row r="569">
      <c r="A569" s="48">
        <v>1136.0</v>
      </c>
      <c r="B569" s="49">
        <v>45432.0</v>
      </c>
      <c r="C569" s="50">
        <v>50.4710494582</v>
      </c>
      <c r="D569" s="51">
        <v>363.43063042264663</v>
      </c>
      <c r="E569" s="52" t="s">
        <v>49</v>
      </c>
      <c r="F569" s="52" t="s">
        <v>140</v>
      </c>
      <c r="G569" s="52" t="s">
        <v>736</v>
      </c>
      <c r="H569" s="53"/>
      <c r="I569" s="54" t="s">
        <v>181</v>
      </c>
      <c r="J569" s="54">
        <v>5.0</v>
      </c>
      <c r="K569" s="54" t="s">
        <v>78</v>
      </c>
      <c r="L569" s="54" t="s">
        <v>120</v>
      </c>
      <c r="M569" s="52" t="s">
        <v>73</v>
      </c>
      <c r="N569" s="55" t="s">
        <v>80</v>
      </c>
    </row>
    <row r="570">
      <c r="A570" s="48">
        <v>1137.0</v>
      </c>
      <c r="B570" s="49">
        <v>45432.0</v>
      </c>
      <c r="C570" s="50">
        <v>49.4860590554</v>
      </c>
      <c r="D570" s="51">
        <v>356.33793694999883</v>
      </c>
      <c r="E570" s="52" t="s">
        <v>49</v>
      </c>
      <c r="F570" s="52" t="s">
        <v>140</v>
      </c>
      <c r="G570" s="52" t="s">
        <v>737</v>
      </c>
      <c r="H570" s="53"/>
      <c r="I570" s="54" t="s">
        <v>181</v>
      </c>
      <c r="J570" s="54">
        <v>5.0</v>
      </c>
      <c r="K570" s="54" t="s">
        <v>78</v>
      </c>
      <c r="L570" s="54" t="s">
        <v>120</v>
      </c>
      <c r="M570" s="52" t="s">
        <v>73</v>
      </c>
      <c r="N570" s="55" t="s">
        <v>80</v>
      </c>
    </row>
    <row r="571">
      <c r="A571" s="48">
        <v>1138.0</v>
      </c>
      <c r="B571" s="49">
        <v>45432.0</v>
      </c>
      <c r="C571" s="50">
        <v>50.2168583865</v>
      </c>
      <c r="D571" s="51">
        <v>361.60025791350654</v>
      </c>
      <c r="E571" s="52" t="s">
        <v>49</v>
      </c>
      <c r="F571" s="52" t="s">
        <v>140</v>
      </c>
      <c r="G571" s="52" t="s">
        <v>738</v>
      </c>
      <c r="H571" s="53"/>
      <c r="I571" s="54" t="s">
        <v>181</v>
      </c>
      <c r="J571" s="54">
        <v>5.0</v>
      </c>
      <c r="K571" s="54" t="s">
        <v>78</v>
      </c>
      <c r="L571" s="54" t="s">
        <v>120</v>
      </c>
      <c r="M571" s="52" t="s">
        <v>73</v>
      </c>
      <c r="N571" s="55" t="s">
        <v>80</v>
      </c>
    </row>
    <row r="572">
      <c r="A572" s="48">
        <v>1139.0</v>
      </c>
      <c r="B572" s="49">
        <v>45432.0</v>
      </c>
      <c r="C572" s="50">
        <v>35.1030809152</v>
      </c>
      <c r="D572" s="51">
        <v>252.76935914229549</v>
      </c>
      <c r="E572" s="52" t="s">
        <v>49</v>
      </c>
      <c r="F572" s="52" t="s">
        <v>140</v>
      </c>
      <c r="G572" s="52" t="s">
        <v>739</v>
      </c>
      <c r="H572" s="53"/>
      <c r="I572" s="54" t="s">
        <v>181</v>
      </c>
      <c r="J572" s="54">
        <v>5.0</v>
      </c>
      <c r="K572" s="54" t="s">
        <v>78</v>
      </c>
      <c r="L572" s="54" t="s">
        <v>120</v>
      </c>
      <c r="M572" s="52" t="s">
        <v>73</v>
      </c>
      <c r="N572" s="55" t="s">
        <v>80</v>
      </c>
    </row>
    <row r="573">
      <c r="A573" s="48">
        <v>1140.0</v>
      </c>
      <c r="B573" s="49">
        <v>45432.0</v>
      </c>
      <c r="C573" s="50">
        <v>9.0893449352</v>
      </c>
      <c r="D573" s="51">
        <v>65.45032043893697</v>
      </c>
      <c r="E573" s="52" t="s">
        <v>49</v>
      </c>
      <c r="F573" s="52" t="s">
        <v>140</v>
      </c>
      <c r="G573" s="52" t="s">
        <v>740</v>
      </c>
      <c r="H573" s="53"/>
      <c r="I573" s="54" t="s">
        <v>181</v>
      </c>
      <c r="J573" s="54">
        <v>5.0</v>
      </c>
      <c r="K573" s="54" t="s">
        <v>78</v>
      </c>
      <c r="L573" s="54" t="s">
        <v>120</v>
      </c>
      <c r="M573" s="52" t="s">
        <v>73</v>
      </c>
      <c r="N573" s="55" t="s">
        <v>80</v>
      </c>
    </row>
    <row r="574">
      <c r="A574" s="48">
        <v>1141.0</v>
      </c>
      <c r="B574" s="49">
        <v>45432.0</v>
      </c>
      <c r="C574" s="50">
        <v>9.0893449352</v>
      </c>
      <c r="D574" s="51">
        <v>65.45032043893697</v>
      </c>
      <c r="E574" s="52" t="s">
        <v>49</v>
      </c>
      <c r="F574" s="52" t="s">
        <v>140</v>
      </c>
      <c r="G574" s="52" t="s">
        <v>741</v>
      </c>
      <c r="H574" s="53"/>
      <c r="I574" s="54" t="s">
        <v>181</v>
      </c>
      <c r="J574" s="54">
        <v>5.0</v>
      </c>
      <c r="K574" s="54" t="s">
        <v>78</v>
      </c>
      <c r="L574" s="54" t="s">
        <v>120</v>
      </c>
      <c r="M574" s="52" t="s">
        <v>73</v>
      </c>
      <c r="N574" s="55" t="s">
        <v>80</v>
      </c>
    </row>
    <row r="575">
      <c r="A575" s="48">
        <v>1142.0</v>
      </c>
      <c r="B575" s="49">
        <v>45432.0</v>
      </c>
      <c r="C575" s="50">
        <v>9.0893449352</v>
      </c>
      <c r="D575" s="51">
        <v>65.45032043893697</v>
      </c>
      <c r="E575" s="52" t="s">
        <v>49</v>
      </c>
      <c r="F575" s="52" t="s">
        <v>140</v>
      </c>
      <c r="G575" s="52" t="s">
        <v>742</v>
      </c>
      <c r="H575" s="53"/>
      <c r="I575" s="54" t="s">
        <v>181</v>
      </c>
      <c r="J575" s="54">
        <v>5.0</v>
      </c>
      <c r="K575" s="54" t="s">
        <v>78</v>
      </c>
      <c r="L575" s="54" t="s">
        <v>120</v>
      </c>
      <c r="M575" s="52" t="s">
        <v>73</v>
      </c>
      <c r="N575" s="55" t="s">
        <v>80</v>
      </c>
    </row>
    <row r="576">
      <c r="A576" s="48">
        <v>1143.0</v>
      </c>
      <c r="B576" s="49">
        <v>45433.0</v>
      </c>
      <c r="C576" s="50">
        <v>22214.0</v>
      </c>
      <c r="D576" s="51">
        <v>160924.67646884918</v>
      </c>
      <c r="E576" s="52" t="s">
        <v>81</v>
      </c>
      <c r="F576" s="52" t="s">
        <v>84</v>
      </c>
      <c r="G576" s="52" t="s">
        <v>743</v>
      </c>
      <c r="H576" s="53"/>
      <c r="I576" s="54" t="s">
        <v>181</v>
      </c>
      <c r="J576" s="54">
        <v>5.0</v>
      </c>
      <c r="K576" s="54" t="s">
        <v>78</v>
      </c>
      <c r="L576" s="54" t="s">
        <v>120</v>
      </c>
      <c r="M576" s="52" t="s">
        <v>73</v>
      </c>
      <c r="N576" s="55" t="s">
        <v>80</v>
      </c>
    </row>
    <row r="577">
      <c r="A577" s="48">
        <v>1144.0</v>
      </c>
      <c r="B577" s="49">
        <v>45433.0</v>
      </c>
      <c r="C577" s="50">
        <v>24233.0</v>
      </c>
      <c r="D577" s="51">
        <v>175550.89965200424</v>
      </c>
      <c r="E577" s="52" t="s">
        <v>81</v>
      </c>
      <c r="F577" s="52" t="s">
        <v>84</v>
      </c>
      <c r="G577" s="52" t="s">
        <v>744</v>
      </c>
      <c r="H577" s="53"/>
      <c r="I577" s="54" t="s">
        <v>181</v>
      </c>
      <c r="J577" s="54">
        <v>5.0</v>
      </c>
      <c r="K577" s="54" t="s">
        <v>78</v>
      </c>
      <c r="L577" s="54" t="s">
        <v>120</v>
      </c>
      <c r="M577" s="52" t="s">
        <v>73</v>
      </c>
      <c r="N577" s="55" t="s">
        <v>80</v>
      </c>
    </row>
    <row r="578">
      <c r="A578" s="48">
        <v>1145.0</v>
      </c>
      <c r="B578" s="49">
        <v>45433.0</v>
      </c>
      <c r="C578" s="50">
        <v>78251.0</v>
      </c>
      <c r="D578" s="51">
        <v>566873.001636982</v>
      </c>
      <c r="E578" s="52" t="s">
        <v>81</v>
      </c>
      <c r="F578" s="52" t="s">
        <v>84</v>
      </c>
      <c r="G578" s="52" t="s">
        <v>745</v>
      </c>
      <c r="H578" s="53"/>
      <c r="I578" s="54" t="s">
        <v>181</v>
      </c>
      <c r="J578" s="54">
        <v>5.0</v>
      </c>
      <c r="K578" s="54" t="s">
        <v>78</v>
      </c>
      <c r="L578" s="54" t="s">
        <v>120</v>
      </c>
      <c r="M578" s="52" t="s">
        <v>73</v>
      </c>
      <c r="N578" s="55" t="s">
        <v>80</v>
      </c>
    </row>
    <row r="579">
      <c r="A579" s="48">
        <v>1146.0</v>
      </c>
      <c r="B579" s="49">
        <v>45433.0</v>
      </c>
      <c r="C579" s="50">
        <v>17832.0</v>
      </c>
      <c r="D579" s="51">
        <v>129180.1940574646</v>
      </c>
      <c r="E579" s="52" t="s">
        <v>81</v>
      </c>
      <c r="F579" s="52" t="s">
        <v>84</v>
      </c>
      <c r="G579" s="52" t="s">
        <v>746</v>
      </c>
      <c r="H579" s="53"/>
      <c r="I579" s="54" t="s">
        <v>181</v>
      </c>
      <c r="J579" s="54">
        <v>5.0</v>
      </c>
      <c r="K579" s="54" t="s">
        <v>78</v>
      </c>
      <c r="L579" s="54" t="s">
        <v>120</v>
      </c>
      <c r="M579" s="52" t="s">
        <v>73</v>
      </c>
      <c r="N579" s="55" t="s">
        <v>80</v>
      </c>
    </row>
    <row r="580">
      <c r="A580" s="48">
        <v>1147.0</v>
      </c>
      <c r="B580" s="49">
        <v>45433.0</v>
      </c>
      <c r="C580" s="50">
        <v>127711.0</v>
      </c>
      <c r="D580" s="51">
        <v>919618.0729379654</v>
      </c>
      <c r="E580" s="52" t="s">
        <v>81</v>
      </c>
      <c r="F580" s="52" t="s">
        <v>84</v>
      </c>
      <c r="G580" s="52" t="s">
        <v>747</v>
      </c>
      <c r="H580" s="53"/>
      <c r="I580" s="54" t="s">
        <v>181</v>
      </c>
      <c r="J580" s="54">
        <v>5.0</v>
      </c>
      <c r="K580" s="54" t="s">
        <v>78</v>
      </c>
      <c r="L580" s="54" t="s">
        <v>120</v>
      </c>
      <c r="M580" s="52" t="s">
        <v>73</v>
      </c>
      <c r="N580" s="55" t="s">
        <v>80</v>
      </c>
    </row>
    <row r="581">
      <c r="A581" s="48">
        <v>1148.0</v>
      </c>
      <c r="B581" s="49">
        <v>45434.0</v>
      </c>
      <c r="C581" s="50">
        <v>31.48</v>
      </c>
      <c r="D581" s="51">
        <v>233.83777729034423</v>
      </c>
      <c r="E581" s="52" t="s">
        <v>81</v>
      </c>
      <c r="F581" s="52" t="s">
        <v>89</v>
      </c>
      <c r="G581" s="52" t="s">
        <v>748</v>
      </c>
      <c r="H581" s="53"/>
      <c r="I581" s="54" t="s">
        <v>181</v>
      </c>
      <c r="J581" s="54">
        <v>5.0</v>
      </c>
      <c r="K581" s="54" t="s">
        <v>78</v>
      </c>
      <c r="L581" s="54" t="s">
        <v>120</v>
      </c>
      <c r="M581" s="52" t="s">
        <v>73</v>
      </c>
      <c r="N581" s="55" t="s">
        <v>80</v>
      </c>
    </row>
    <row r="582">
      <c r="A582" s="48">
        <v>1149.0</v>
      </c>
      <c r="B582" s="49">
        <v>45433.0</v>
      </c>
      <c r="C582" s="50">
        <v>3.44</v>
      </c>
      <c r="D582" s="51">
        <v>24.920360450744628</v>
      </c>
      <c r="E582" s="52" t="s">
        <v>81</v>
      </c>
      <c r="F582" s="52" t="s">
        <v>89</v>
      </c>
      <c r="G582" s="52" t="s">
        <v>748</v>
      </c>
      <c r="H582" s="53"/>
      <c r="I582" s="54" t="s">
        <v>181</v>
      </c>
      <c r="J582" s="54">
        <v>5.0</v>
      </c>
      <c r="K582" s="54" t="s">
        <v>78</v>
      </c>
      <c r="L582" s="54" t="s">
        <v>120</v>
      </c>
      <c r="M582" s="52" t="s">
        <v>73</v>
      </c>
      <c r="N582" s="55" t="s">
        <v>80</v>
      </c>
    </row>
    <row r="583">
      <c r="A583" s="48">
        <v>1150.0</v>
      </c>
      <c r="B583" s="49">
        <v>45433.0</v>
      </c>
      <c r="C583" s="50">
        <v>3.37</v>
      </c>
      <c r="D583" s="51">
        <v>24.413260092735293</v>
      </c>
      <c r="E583" s="52" t="s">
        <v>81</v>
      </c>
      <c r="F583" s="52" t="s">
        <v>89</v>
      </c>
      <c r="G583" s="52" t="s">
        <v>748</v>
      </c>
      <c r="H583" s="53"/>
      <c r="I583" s="54" t="s">
        <v>181</v>
      </c>
      <c r="J583" s="54">
        <v>5.0</v>
      </c>
      <c r="K583" s="54" t="s">
        <v>78</v>
      </c>
      <c r="L583" s="54" t="s">
        <v>120</v>
      </c>
      <c r="M583" s="52" t="s">
        <v>73</v>
      </c>
      <c r="N583" s="55" t="s">
        <v>80</v>
      </c>
    </row>
    <row r="584">
      <c r="A584" s="48">
        <v>1151.0</v>
      </c>
      <c r="B584" s="49">
        <v>45433.0</v>
      </c>
      <c r="C584" s="50">
        <v>31.33</v>
      </c>
      <c r="D584" s="51">
        <v>226.96363166332245</v>
      </c>
      <c r="E584" s="52" t="s">
        <v>81</v>
      </c>
      <c r="F584" s="52" t="s">
        <v>89</v>
      </c>
      <c r="G584" s="52" t="s">
        <v>748</v>
      </c>
      <c r="H584" s="53"/>
      <c r="I584" s="54" t="s">
        <v>181</v>
      </c>
      <c r="J584" s="54">
        <v>5.0</v>
      </c>
      <c r="K584" s="54" t="s">
        <v>78</v>
      </c>
      <c r="L584" s="54" t="s">
        <v>120</v>
      </c>
      <c r="M584" s="52" t="s">
        <v>73</v>
      </c>
      <c r="N584" s="55" t="s">
        <v>80</v>
      </c>
    </row>
    <row r="585">
      <c r="A585" s="48">
        <v>1152.0</v>
      </c>
      <c r="B585" s="49">
        <v>45433.0</v>
      </c>
      <c r="C585" s="50">
        <v>202.94</v>
      </c>
      <c r="D585" s="51">
        <v>1470.156380777359</v>
      </c>
      <c r="E585" s="52" t="s">
        <v>81</v>
      </c>
      <c r="F585" s="52" t="s">
        <v>89</v>
      </c>
      <c r="G585" s="52" t="s">
        <v>749</v>
      </c>
      <c r="H585" s="53"/>
      <c r="I585" s="54" t="s">
        <v>181</v>
      </c>
      <c r="J585" s="54">
        <v>5.0</v>
      </c>
      <c r="K585" s="54" t="s">
        <v>78</v>
      </c>
      <c r="L585" s="54" t="s">
        <v>120</v>
      </c>
      <c r="M585" s="52" t="s">
        <v>73</v>
      </c>
      <c r="N585" s="55" t="s">
        <v>80</v>
      </c>
    </row>
    <row r="586">
      <c r="A586" s="48">
        <v>1153.0</v>
      </c>
      <c r="B586" s="49">
        <v>45434.0</v>
      </c>
      <c r="C586" s="50">
        <v>3413.26</v>
      </c>
      <c r="D586" s="51">
        <v>24726.648113985062</v>
      </c>
      <c r="E586" s="52" t="s">
        <v>81</v>
      </c>
      <c r="F586" s="52" t="s">
        <v>89</v>
      </c>
      <c r="G586" s="52" t="s">
        <v>750</v>
      </c>
      <c r="H586" s="53"/>
      <c r="I586" s="54" t="s">
        <v>181</v>
      </c>
      <c r="J586" s="54">
        <v>5.0</v>
      </c>
      <c r="K586" s="54" t="s">
        <v>78</v>
      </c>
      <c r="L586" s="54" t="s">
        <v>120</v>
      </c>
      <c r="M586" s="52" t="s">
        <v>73</v>
      </c>
      <c r="N586" s="55" t="s">
        <v>80</v>
      </c>
    </row>
    <row r="587">
      <c r="A587" s="48">
        <v>1154.0</v>
      </c>
      <c r="B587" s="49">
        <v>45440.0</v>
      </c>
      <c r="C587" s="50">
        <v>103.54</v>
      </c>
      <c r="D587" s="51">
        <v>724.5584197235108</v>
      </c>
      <c r="E587" s="52" t="s">
        <v>49</v>
      </c>
      <c r="F587" s="52" t="s">
        <v>140</v>
      </c>
      <c r="G587" s="52" t="s">
        <v>751</v>
      </c>
      <c r="H587" s="53"/>
      <c r="I587" s="54" t="s">
        <v>181</v>
      </c>
      <c r="J587" s="54">
        <v>5.0</v>
      </c>
      <c r="K587" s="54" t="s">
        <v>78</v>
      </c>
      <c r="L587" s="54" t="s">
        <v>120</v>
      </c>
      <c r="M587" s="52" t="s">
        <v>73</v>
      </c>
      <c r="N587" s="55" t="s">
        <v>80</v>
      </c>
    </row>
    <row r="588">
      <c r="A588" s="48">
        <v>1156.0</v>
      </c>
      <c r="B588" s="49">
        <v>45439.0</v>
      </c>
      <c r="C588" s="50">
        <v>564.64</v>
      </c>
      <c r="D588" s="51">
        <v>4049.83631980896</v>
      </c>
      <c r="E588" s="52" t="s">
        <v>49</v>
      </c>
      <c r="F588" s="52" t="s">
        <v>140</v>
      </c>
      <c r="G588" s="52" t="s">
        <v>752</v>
      </c>
      <c r="H588" s="53"/>
      <c r="I588" s="54" t="s">
        <v>181</v>
      </c>
      <c r="J588" s="54">
        <v>5.0</v>
      </c>
      <c r="K588" s="54" t="s">
        <v>78</v>
      </c>
      <c r="L588" s="54" t="s">
        <v>120</v>
      </c>
      <c r="M588" s="52" t="s">
        <v>73</v>
      </c>
      <c r="N588" s="55" t="s">
        <v>80</v>
      </c>
    </row>
    <row r="589">
      <c r="A589" s="48">
        <v>1157.0</v>
      </c>
      <c r="B589" s="49">
        <v>45448.0</v>
      </c>
      <c r="C589" s="50">
        <v>742.94</v>
      </c>
      <c r="D589" s="51">
        <v>4746.215666885377</v>
      </c>
      <c r="E589" s="52" t="s">
        <v>49</v>
      </c>
      <c r="F589" s="52" t="s">
        <v>140</v>
      </c>
      <c r="G589" s="52" t="s">
        <v>753</v>
      </c>
      <c r="H589" s="53"/>
      <c r="I589" s="54" t="s">
        <v>181</v>
      </c>
      <c r="J589" s="54">
        <v>6.0</v>
      </c>
      <c r="K589" s="54" t="s">
        <v>78</v>
      </c>
      <c r="L589" s="54" t="s">
        <v>122</v>
      </c>
      <c r="M589" s="52" t="s">
        <v>73</v>
      </c>
      <c r="N589" s="55" t="s">
        <v>80</v>
      </c>
    </row>
    <row r="590">
      <c r="A590" s="48">
        <v>1159.0</v>
      </c>
      <c r="B590" s="49">
        <v>45438.0</v>
      </c>
      <c r="C590" s="50">
        <v>520.06</v>
      </c>
      <c r="D590" s="51">
        <v>3730.0897500705714</v>
      </c>
      <c r="E590" s="52" t="s">
        <v>49</v>
      </c>
      <c r="F590" s="52" t="s">
        <v>140</v>
      </c>
      <c r="G590" s="52" t="s">
        <v>754</v>
      </c>
      <c r="H590" s="53"/>
      <c r="I590" s="54" t="s">
        <v>181</v>
      </c>
      <c r="J590" s="54">
        <v>5.0</v>
      </c>
      <c r="K590" s="54" t="s">
        <v>78</v>
      </c>
      <c r="L590" s="54" t="s">
        <v>120</v>
      </c>
      <c r="M590" s="52" t="s">
        <v>73</v>
      </c>
      <c r="N590" s="55" t="s">
        <v>80</v>
      </c>
    </row>
    <row r="591">
      <c r="A591" s="48">
        <v>1160.0</v>
      </c>
      <c r="B591" s="49">
        <v>45438.0</v>
      </c>
      <c r="C591" s="50">
        <v>586.92</v>
      </c>
      <c r="D591" s="51">
        <v>4209.637880458831</v>
      </c>
      <c r="E591" s="52" t="s">
        <v>49</v>
      </c>
      <c r="F591" s="52" t="s">
        <v>140</v>
      </c>
      <c r="G591" s="52" t="s">
        <v>755</v>
      </c>
      <c r="H591" s="53"/>
      <c r="I591" s="54" t="s">
        <v>181</v>
      </c>
      <c r="J591" s="54">
        <v>5.0</v>
      </c>
      <c r="K591" s="54" t="s">
        <v>78</v>
      </c>
      <c r="L591" s="54" t="s">
        <v>120</v>
      </c>
      <c r="M591" s="52" t="s">
        <v>73</v>
      </c>
      <c r="N591" s="55" t="s">
        <v>80</v>
      </c>
    </row>
    <row r="592">
      <c r="A592" s="48">
        <v>1161.0</v>
      </c>
      <c r="B592" s="49">
        <v>45434.0</v>
      </c>
      <c r="C592" s="50">
        <v>16.07</v>
      </c>
      <c r="D592" s="51">
        <v>119.37017411231994</v>
      </c>
      <c r="E592" s="52" t="s">
        <v>81</v>
      </c>
      <c r="F592" s="52" t="s">
        <v>89</v>
      </c>
      <c r="G592" s="52" t="s">
        <v>756</v>
      </c>
      <c r="H592" s="53"/>
      <c r="I592" s="54" t="s">
        <v>181</v>
      </c>
      <c r="J592" s="54">
        <v>5.0</v>
      </c>
      <c r="K592" s="54" t="s">
        <v>78</v>
      </c>
      <c r="L592" s="54" t="s">
        <v>120</v>
      </c>
      <c r="M592" s="52" t="s">
        <v>73</v>
      </c>
      <c r="N592" s="55" t="s">
        <v>80</v>
      </c>
    </row>
    <row r="593">
      <c r="A593" s="48">
        <v>1162.0</v>
      </c>
      <c r="B593" s="49">
        <v>45434.0</v>
      </c>
      <c r="C593" s="50">
        <v>25.04</v>
      </c>
      <c r="D593" s="51">
        <v>186.00056999206544</v>
      </c>
      <c r="E593" s="52" t="s">
        <v>81</v>
      </c>
      <c r="F593" s="52" t="s">
        <v>89</v>
      </c>
      <c r="G593" s="52" t="s">
        <v>757</v>
      </c>
      <c r="H593" s="53"/>
      <c r="I593" s="54" t="s">
        <v>181</v>
      </c>
      <c r="J593" s="54">
        <v>5.0</v>
      </c>
      <c r="K593" s="54" t="s">
        <v>78</v>
      </c>
      <c r="L593" s="54" t="s">
        <v>120</v>
      </c>
      <c r="M593" s="52" t="s">
        <v>73</v>
      </c>
      <c r="N593" s="55" t="s">
        <v>80</v>
      </c>
    </row>
    <row r="594">
      <c r="A594" s="48">
        <v>1163.0</v>
      </c>
      <c r="B594" s="49">
        <v>45434.0</v>
      </c>
      <c r="C594" s="50">
        <v>8.03</v>
      </c>
      <c r="D594" s="51">
        <v>59.64794636726379</v>
      </c>
      <c r="E594" s="52" t="s">
        <v>81</v>
      </c>
      <c r="F594" s="52" t="s">
        <v>89</v>
      </c>
      <c r="G594" s="52" t="s">
        <v>758</v>
      </c>
      <c r="H594" s="53"/>
      <c r="I594" s="54" t="s">
        <v>181</v>
      </c>
      <c r="J594" s="54">
        <v>5.0</v>
      </c>
      <c r="K594" s="54" t="s">
        <v>78</v>
      </c>
      <c r="L594" s="54" t="s">
        <v>120</v>
      </c>
      <c r="M594" s="52" t="s">
        <v>73</v>
      </c>
      <c r="N594" s="55" t="s">
        <v>80</v>
      </c>
    </row>
    <row r="595">
      <c r="A595" s="48">
        <v>1164.0</v>
      </c>
      <c r="B595" s="49">
        <v>45438.0</v>
      </c>
      <c r="C595" s="50">
        <v>36.4</v>
      </c>
      <c r="D595" s="51">
        <v>261.0761583328247</v>
      </c>
      <c r="E595" s="52" t="s">
        <v>81</v>
      </c>
      <c r="F595" s="52" t="s">
        <v>97</v>
      </c>
      <c r="G595" s="52" t="s">
        <v>759</v>
      </c>
      <c r="H595" s="53"/>
      <c r="I595" s="54" t="s">
        <v>181</v>
      </c>
      <c r="J595" s="54">
        <v>5.0</v>
      </c>
      <c r="K595" s="54" t="s">
        <v>78</v>
      </c>
      <c r="L595" s="54" t="s">
        <v>120</v>
      </c>
      <c r="M595" s="52" t="s">
        <v>73</v>
      </c>
      <c r="N595" s="55" t="s">
        <v>80</v>
      </c>
    </row>
    <row r="596">
      <c r="A596" s="48">
        <v>1165.0</v>
      </c>
      <c r="B596" s="49">
        <v>45438.0</v>
      </c>
      <c r="C596" s="50">
        <v>23.78</v>
      </c>
      <c r="D596" s="51">
        <v>175.18899734497072</v>
      </c>
      <c r="E596" s="52" t="s">
        <v>81</v>
      </c>
      <c r="F596" s="52" t="s">
        <v>89</v>
      </c>
      <c r="G596" s="52" t="s">
        <v>760</v>
      </c>
      <c r="H596" s="53"/>
      <c r="I596" s="54" t="s">
        <v>181</v>
      </c>
      <c r="J596" s="54">
        <v>5.0</v>
      </c>
      <c r="K596" s="54" t="s">
        <v>78</v>
      </c>
      <c r="L596" s="54" t="s">
        <v>120</v>
      </c>
      <c r="M596" s="52" t="s">
        <v>73</v>
      </c>
      <c r="N596" s="55" t="s">
        <v>80</v>
      </c>
    </row>
    <row r="597">
      <c r="A597" s="48">
        <v>1166.0</v>
      </c>
      <c r="B597" s="49">
        <v>45440.0</v>
      </c>
      <c r="C597" s="50">
        <v>2281.5</v>
      </c>
      <c r="D597" s="51">
        <v>15965.617486953735</v>
      </c>
      <c r="E597" s="52" t="s">
        <v>81</v>
      </c>
      <c r="F597" s="52" t="s">
        <v>97</v>
      </c>
      <c r="G597" s="52" t="s">
        <v>761</v>
      </c>
      <c r="H597" s="53"/>
      <c r="I597" s="54" t="s">
        <v>181</v>
      </c>
      <c r="J597" s="54">
        <v>5.0</v>
      </c>
      <c r="K597" s="54" t="s">
        <v>78</v>
      </c>
      <c r="L597" s="54" t="s">
        <v>120</v>
      </c>
      <c r="M597" s="52" t="s">
        <v>73</v>
      </c>
      <c r="N597" s="55" t="s">
        <v>80</v>
      </c>
    </row>
    <row r="598">
      <c r="A598" s="48">
        <v>1167.0</v>
      </c>
      <c r="B598" s="49">
        <v>45452.0</v>
      </c>
      <c r="C598" s="50">
        <v>369.8</v>
      </c>
      <c r="D598" s="51">
        <v>2493.086895465851</v>
      </c>
      <c r="E598" s="52" t="s">
        <v>81</v>
      </c>
      <c r="F598" s="52" t="s">
        <v>97</v>
      </c>
      <c r="G598" s="52" t="s">
        <v>762</v>
      </c>
      <c r="H598" s="53"/>
      <c r="I598" s="54" t="s">
        <v>181</v>
      </c>
      <c r="J598" s="54">
        <v>6.0</v>
      </c>
      <c r="K598" s="54" t="s">
        <v>78</v>
      </c>
      <c r="L598" s="54" t="s">
        <v>122</v>
      </c>
      <c r="M598" s="52" t="s">
        <v>73</v>
      </c>
      <c r="N598" s="55" t="s">
        <v>80</v>
      </c>
    </row>
    <row r="599">
      <c r="A599" s="48">
        <v>1168.0</v>
      </c>
      <c r="B599" s="49">
        <v>45438.0</v>
      </c>
      <c r="C599" s="50">
        <v>97605.0</v>
      </c>
      <c r="D599" s="51">
        <v>700064.2426943779</v>
      </c>
      <c r="E599" s="52" t="s">
        <v>81</v>
      </c>
      <c r="F599" s="52" t="s">
        <v>94</v>
      </c>
      <c r="G599" s="52" t="s">
        <v>763</v>
      </c>
      <c r="H599" s="53"/>
      <c r="I599" s="54" t="s">
        <v>181</v>
      </c>
      <c r="J599" s="54">
        <v>5.0</v>
      </c>
      <c r="K599" s="54" t="s">
        <v>78</v>
      </c>
      <c r="L599" s="54" t="s">
        <v>120</v>
      </c>
      <c r="M599" s="52" t="s">
        <v>73</v>
      </c>
      <c r="N599" s="55" t="s">
        <v>80</v>
      </c>
    </row>
    <row r="600">
      <c r="A600" s="48">
        <v>1172.0</v>
      </c>
      <c r="B600" s="49">
        <v>45440.0</v>
      </c>
      <c r="C600" s="50">
        <v>20.48</v>
      </c>
      <c r="D600" s="51">
        <v>143.096767578125</v>
      </c>
      <c r="E600" s="52" t="s">
        <v>81</v>
      </c>
      <c r="F600" s="52" t="s">
        <v>89</v>
      </c>
      <c r="G600" s="52" t="s">
        <v>764</v>
      </c>
      <c r="H600" s="53"/>
      <c r="I600" s="54" t="s">
        <v>181</v>
      </c>
      <c r="J600" s="54">
        <v>5.0</v>
      </c>
      <c r="K600" s="54" t="s">
        <v>78</v>
      </c>
      <c r="L600" s="54" t="s">
        <v>120</v>
      </c>
      <c r="M600" s="52" t="s">
        <v>73</v>
      </c>
      <c r="N600" s="55" t="s">
        <v>80</v>
      </c>
    </row>
    <row r="601">
      <c r="A601" s="48">
        <v>1173.0</v>
      </c>
      <c r="B601" s="49">
        <v>45440.0</v>
      </c>
      <c r="C601" s="50">
        <v>17.56</v>
      </c>
      <c r="D601" s="51">
        <v>122.69429876327514</v>
      </c>
      <c r="E601" s="52" t="s">
        <v>81</v>
      </c>
      <c r="F601" s="52" t="s">
        <v>89</v>
      </c>
      <c r="G601" s="52" t="s">
        <v>764</v>
      </c>
      <c r="H601" s="53"/>
      <c r="I601" s="54" t="s">
        <v>181</v>
      </c>
      <c r="J601" s="54">
        <v>5.0</v>
      </c>
      <c r="K601" s="54" t="s">
        <v>78</v>
      </c>
      <c r="L601" s="54" t="s">
        <v>120</v>
      </c>
      <c r="M601" s="52" t="s">
        <v>73</v>
      </c>
      <c r="N601" s="55" t="s">
        <v>80</v>
      </c>
    </row>
    <row r="602">
      <c r="A602" s="48">
        <v>1174.0</v>
      </c>
      <c r="B602" s="49">
        <v>45440.0</v>
      </c>
      <c r="C602" s="50">
        <v>29.73</v>
      </c>
      <c r="D602" s="51">
        <v>207.72787598133087</v>
      </c>
      <c r="E602" s="52" t="s">
        <v>81</v>
      </c>
      <c r="F602" s="52" t="s">
        <v>89</v>
      </c>
      <c r="G602" s="52" t="s">
        <v>764</v>
      </c>
      <c r="H602" s="53"/>
      <c r="I602" s="54" t="s">
        <v>181</v>
      </c>
      <c r="J602" s="54">
        <v>5.0</v>
      </c>
      <c r="K602" s="54" t="s">
        <v>78</v>
      </c>
      <c r="L602" s="54" t="s">
        <v>120</v>
      </c>
      <c r="M602" s="52" t="s">
        <v>73</v>
      </c>
      <c r="N602" s="55" t="s">
        <v>80</v>
      </c>
    </row>
    <row r="603">
      <c r="A603" s="48">
        <v>1175.0</v>
      </c>
      <c r="B603" s="49">
        <v>45440.0</v>
      </c>
      <c r="C603" s="50">
        <v>2.024</v>
      </c>
      <c r="D603" s="51">
        <v>14.141985233306885</v>
      </c>
      <c r="E603" s="52" t="s">
        <v>81</v>
      </c>
      <c r="F603" s="52" t="s">
        <v>89</v>
      </c>
      <c r="G603" s="52" t="s">
        <v>765</v>
      </c>
      <c r="H603" s="53"/>
      <c r="I603" s="54" t="s">
        <v>181</v>
      </c>
      <c r="J603" s="54">
        <v>5.0</v>
      </c>
      <c r="K603" s="54" t="s">
        <v>78</v>
      </c>
      <c r="L603" s="54" t="s">
        <v>120</v>
      </c>
      <c r="M603" s="52" t="s">
        <v>73</v>
      </c>
      <c r="N603" s="55" t="s">
        <v>80</v>
      </c>
    </row>
    <row r="604">
      <c r="A604" s="48">
        <v>1176.0</v>
      </c>
      <c r="B604" s="49">
        <v>45440.0</v>
      </c>
      <c r="C604" s="50">
        <v>13.21</v>
      </c>
      <c r="D604" s="51">
        <v>92.30020994663239</v>
      </c>
      <c r="E604" s="52" t="s">
        <v>81</v>
      </c>
      <c r="F604" s="52" t="s">
        <v>89</v>
      </c>
      <c r="G604" s="52" t="s">
        <v>766</v>
      </c>
      <c r="H604" s="53"/>
      <c r="I604" s="54" t="s">
        <v>181</v>
      </c>
      <c r="J604" s="54">
        <v>5.0</v>
      </c>
      <c r="K604" s="54" t="s">
        <v>78</v>
      </c>
      <c r="L604" s="54" t="s">
        <v>120</v>
      </c>
      <c r="M604" s="52" t="s">
        <v>73</v>
      </c>
      <c r="N604" s="55" t="s">
        <v>80</v>
      </c>
    </row>
    <row r="605">
      <c r="A605" s="48">
        <v>1177.0</v>
      </c>
      <c r="B605" s="49">
        <v>45440.0</v>
      </c>
      <c r="C605" s="50">
        <v>15.42</v>
      </c>
      <c r="D605" s="51">
        <v>107.74180449485779</v>
      </c>
      <c r="E605" s="52" t="s">
        <v>81</v>
      </c>
      <c r="F605" s="52" t="s">
        <v>89</v>
      </c>
      <c r="G605" s="52" t="s">
        <v>767</v>
      </c>
      <c r="H605" s="53"/>
      <c r="I605" s="54" t="s">
        <v>181</v>
      </c>
      <c r="J605" s="54">
        <v>5.0</v>
      </c>
      <c r="K605" s="54" t="s">
        <v>78</v>
      </c>
      <c r="L605" s="54" t="s">
        <v>120</v>
      </c>
      <c r="M605" s="52" t="s">
        <v>73</v>
      </c>
      <c r="N605" s="55" t="s">
        <v>80</v>
      </c>
    </row>
    <row r="606">
      <c r="A606" s="48">
        <v>1178.0</v>
      </c>
      <c r="B606" s="49">
        <v>45440.0</v>
      </c>
      <c r="C606" s="50">
        <v>2.96</v>
      </c>
      <c r="D606" s="51">
        <v>20.68195468902588</v>
      </c>
      <c r="E606" s="52" t="s">
        <v>81</v>
      </c>
      <c r="F606" s="52" t="s">
        <v>89</v>
      </c>
      <c r="G606" s="52" t="s">
        <v>768</v>
      </c>
      <c r="H606" s="53"/>
      <c r="I606" s="54" t="s">
        <v>181</v>
      </c>
      <c r="J606" s="54">
        <v>5.0</v>
      </c>
      <c r="K606" s="54" t="s">
        <v>78</v>
      </c>
      <c r="L606" s="54" t="s">
        <v>120</v>
      </c>
      <c r="M606" s="52" t="s">
        <v>73</v>
      </c>
      <c r="N606" s="55" t="s">
        <v>80</v>
      </c>
    </row>
    <row r="607">
      <c r="A607" s="48">
        <v>1179.0</v>
      </c>
      <c r="B607" s="49">
        <v>45440.0</v>
      </c>
      <c r="C607" s="50">
        <v>3.8</v>
      </c>
      <c r="D607" s="51">
        <v>26.55115804672241</v>
      </c>
      <c r="E607" s="52" t="s">
        <v>81</v>
      </c>
      <c r="F607" s="52" t="s">
        <v>89</v>
      </c>
      <c r="G607" s="52" t="s">
        <v>769</v>
      </c>
      <c r="H607" s="53"/>
      <c r="I607" s="54" t="s">
        <v>181</v>
      </c>
      <c r="J607" s="54">
        <v>5.0</v>
      </c>
      <c r="K607" s="54" t="s">
        <v>78</v>
      </c>
      <c r="L607" s="54" t="s">
        <v>120</v>
      </c>
      <c r="M607" s="52" t="s">
        <v>73</v>
      </c>
      <c r="N607" s="55" t="s">
        <v>80</v>
      </c>
    </row>
    <row r="608">
      <c r="A608" s="48">
        <v>1180.0</v>
      </c>
      <c r="B608" s="49">
        <v>45440.0</v>
      </c>
      <c r="C608" s="50">
        <v>3.2</v>
      </c>
      <c r="D608" s="51">
        <v>22.358869934082033</v>
      </c>
      <c r="E608" s="52" t="s">
        <v>81</v>
      </c>
      <c r="F608" s="52" t="s">
        <v>89</v>
      </c>
      <c r="G608" s="52" t="s">
        <v>770</v>
      </c>
      <c r="H608" s="53"/>
      <c r="I608" s="54" t="s">
        <v>181</v>
      </c>
      <c r="J608" s="54">
        <v>5.0</v>
      </c>
      <c r="K608" s="54" t="s">
        <v>78</v>
      </c>
      <c r="L608" s="54" t="s">
        <v>120</v>
      </c>
      <c r="M608" s="52" t="s">
        <v>73</v>
      </c>
      <c r="N608" s="55" t="s">
        <v>80</v>
      </c>
    </row>
    <row r="609">
      <c r="A609" s="48">
        <v>1181.0</v>
      </c>
      <c r="B609" s="49">
        <v>45440.0</v>
      </c>
      <c r="C609" s="50">
        <v>4.13</v>
      </c>
      <c r="D609" s="51">
        <v>28.856916508674622</v>
      </c>
      <c r="E609" s="52" t="s">
        <v>81</v>
      </c>
      <c r="F609" s="52" t="s">
        <v>89</v>
      </c>
      <c r="G609" s="52" t="s">
        <v>771</v>
      </c>
      <c r="H609" s="53"/>
      <c r="I609" s="54" t="s">
        <v>181</v>
      </c>
      <c r="J609" s="54">
        <v>5.0</v>
      </c>
      <c r="K609" s="54" t="s">
        <v>78</v>
      </c>
      <c r="L609" s="54" t="s">
        <v>120</v>
      </c>
      <c r="M609" s="52" t="s">
        <v>73</v>
      </c>
      <c r="N609" s="55" t="s">
        <v>80</v>
      </c>
    </row>
    <row r="610">
      <c r="A610" s="48">
        <v>1182.0</v>
      </c>
      <c r="B610" s="49">
        <v>45440.0</v>
      </c>
      <c r="C610" s="50">
        <v>195.56</v>
      </c>
      <c r="D610" s="51">
        <v>1366.4064388465881</v>
      </c>
      <c r="E610" s="52" t="s">
        <v>81</v>
      </c>
      <c r="F610" s="52" t="s">
        <v>89</v>
      </c>
      <c r="G610" s="52" t="s">
        <v>772</v>
      </c>
      <c r="H610" s="53"/>
      <c r="I610" s="54" t="s">
        <v>181</v>
      </c>
      <c r="J610" s="54">
        <v>5.0</v>
      </c>
      <c r="K610" s="54" t="s">
        <v>78</v>
      </c>
      <c r="L610" s="54" t="s">
        <v>120</v>
      </c>
      <c r="M610" s="52" t="s">
        <v>73</v>
      </c>
      <c r="N610" s="55" t="s">
        <v>80</v>
      </c>
    </row>
    <row r="611">
      <c r="A611" s="48">
        <v>1183.0</v>
      </c>
      <c r="B611" s="49">
        <v>45440.0</v>
      </c>
      <c r="C611" s="50">
        <v>195.56</v>
      </c>
      <c r="D611" s="51">
        <v>1366.4064388465881</v>
      </c>
      <c r="E611" s="52" t="s">
        <v>81</v>
      </c>
      <c r="F611" s="52" t="s">
        <v>89</v>
      </c>
      <c r="G611" s="52" t="s">
        <v>773</v>
      </c>
      <c r="H611" s="53"/>
      <c r="I611" s="54" t="s">
        <v>181</v>
      </c>
      <c r="J611" s="54">
        <v>5.0</v>
      </c>
      <c r="K611" s="54" t="s">
        <v>78</v>
      </c>
      <c r="L611" s="54" t="s">
        <v>120</v>
      </c>
      <c r="M611" s="52" t="s">
        <v>73</v>
      </c>
      <c r="N611" s="55" t="s">
        <v>80</v>
      </c>
    </row>
    <row r="612">
      <c r="A612" s="48">
        <v>1184.0</v>
      </c>
      <c r="B612" s="49">
        <v>45440.0</v>
      </c>
      <c r="C612" s="50">
        <v>195.56</v>
      </c>
      <c r="D612" s="51">
        <v>1366.4064388465881</v>
      </c>
      <c r="E612" s="52" t="s">
        <v>81</v>
      </c>
      <c r="F612" s="52" t="s">
        <v>89</v>
      </c>
      <c r="G612" s="52" t="s">
        <v>774</v>
      </c>
      <c r="H612" s="53"/>
      <c r="I612" s="54" t="s">
        <v>181</v>
      </c>
      <c r="J612" s="54">
        <v>5.0</v>
      </c>
      <c r="K612" s="54" t="s">
        <v>78</v>
      </c>
      <c r="L612" s="54" t="s">
        <v>120</v>
      </c>
      <c r="M612" s="52" t="s">
        <v>73</v>
      </c>
      <c r="N612" s="55" t="s">
        <v>80</v>
      </c>
    </row>
    <row r="613">
      <c r="A613" s="48">
        <v>1185.0</v>
      </c>
      <c r="B613" s="49">
        <v>45440.0</v>
      </c>
      <c r="C613" s="50">
        <v>69.84</v>
      </c>
      <c r="D613" s="51">
        <v>487.98233631134036</v>
      </c>
      <c r="E613" s="52" t="s">
        <v>81</v>
      </c>
      <c r="F613" s="52" t="s">
        <v>89</v>
      </c>
      <c r="G613" s="52" t="s">
        <v>775</v>
      </c>
      <c r="H613" s="53"/>
      <c r="I613" s="54" t="s">
        <v>181</v>
      </c>
      <c r="J613" s="54">
        <v>5.0</v>
      </c>
      <c r="K613" s="54" t="s">
        <v>78</v>
      </c>
      <c r="L613" s="54" t="s">
        <v>120</v>
      </c>
      <c r="M613" s="52" t="s">
        <v>73</v>
      </c>
      <c r="N613" s="55" t="s">
        <v>80</v>
      </c>
    </row>
    <row r="614">
      <c r="A614" s="48">
        <v>1186.0</v>
      </c>
      <c r="B614" s="49">
        <v>45440.0</v>
      </c>
      <c r="C614" s="50">
        <v>195.56</v>
      </c>
      <c r="D614" s="51">
        <v>1366.4064388465881</v>
      </c>
      <c r="E614" s="52" t="s">
        <v>81</v>
      </c>
      <c r="F614" s="52" t="s">
        <v>89</v>
      </c>
      <c r="G614" s="52" t="s">
        <v>776</v>
      </c>
      <c r="H614" s="53"/>
      <c r="I614" s="54" t="s">
        <v>181</v>
      </c>
      <c r="J614" s="54">
        <v>5.0</v>
      </c>
      <c r="K614" s="54" t="s">
        <v>78</v>
      </c>
      <c r="L614" s="54" t="s">
        <v>120</v>
      </c>
      <c r="M614" s="52" t="s">
        <v>73</v>
      </c>
      <c r="N614" s="55" t="s">
        <v>80</v>
      </c>
    </row>
    <row r="615">
      <c r="A615" s="48">
        <v>1187.0</v>
      </c>
      <c r="B615" s="49">
        <v>45440.0</v>
      </c>
      <c r="C615" s="50">
        <v>195.56</v>
      </c>
      <c r="D615" s="51">
        <v>1366.4064388465881</v>
      </c>
      <c r="E615" s="52" t="s">
        <v>81</v>
      </c>
      <c r="F615" s="52" t="s">
        <v>89</v>
      </c>
      <c r="G615" s="52" t="s">
        <v>777</v>
      </c>
      <c r="H615" s="53"/>
      <c r="I615" s="54" t="s">
        <v>181</v>
      </c>
      <c r="J615" s="54">
        <v>5.0</v>
      </c>
      <c r="K615" s="54" t="s">
        <v>78</v>
      </c>
      <c r="L615" s="54" t="s">
        <v>120</v>
      </c>
      <c r="M615" s="52" t="s">
        <v>73</v>
      </c>
      <c r="N615" s="55" t="s">
        <v>80</v>
      </c>
    </row>
    <row r="616">
      <c r="A616" s="48">
        <v>1188.0</v>
      </c>
      <c r="B616" s="49">
        <v>45440.0</v>
      </c>
      <c r="C616" s="50">
        <v>195.56</v>
      </c>
      <c r="D616" s="51">
        <v>1366.4064388465881</v>
      </c>
      <c r="E616" s="52" t="s">
        <v>81</v>
      </c>
      <c r="F616" s="52" t="s">
        <v>89</v>
      </c>
      <c r="G616" s="52" t="s">
        <v>778</v>
      </c>
      <c r="H616" s="53"/>
      <c r="I616" s="54" t="s">
        <v>181</v>
      </c>
      <c r="J616" s="54">
        <v>5.0</v>
      </c>
      <c r="K616" s="54" t="s">
        <v>78</v>
      </c>
      <c r="L616" s="54" t="s">
        <v>120</v>
      </c>
      <c r="M616" s="52" t="s">
        <v>73</v>
      </c>
      <c r="N616" s="55" t="s">
        <v>80</v>
      </c>
    </row>
    <row r="617">
      <c r="A617" s="48">
        <v>1189.0</v>
      </c>
      <c r="B617" s="49">
        <v>45440.0</v>
      </c>
      <c r="C617" s="50">
        <v>195.56</v>
      </c>
      <c r="D617" s="51">
        <v>1366.4064388465881</v>
      </c>
      <c r="E617" s="52" t="s">
        <v>81</v>
      </c>
      <c r="F617" s="52" t="s">
        <v>89</v>
      </c>
      <c r="G617" s="52" t="s">
        <v>779</v>
      </c>
      <c r="H617" s="53"/>
      <c r="I617" s="54" t="s">
        <v>181</v>
      </c>
      <c r="J617" s="54">
        <v>5.0</v>
      </c>
      <c r="K617" s="54" t="s">
        <v>78</v>
      </c>
      <c r="L617" s="54" t="s">
        <v>120</v>
      </c>
      <c r="M617" s="52" t="s">
        <v>73</v>
      </c>
      <c r="N617" s="55" t="s">
        <v>80</v>
      </c>
    </row>
    <row r="618">
      <c r="A618" s="48">
        <v>1190.0</v>
      </c>
      <c r="B618" s="49">
        <v>45448.0</v>
      </c>
      <c r="C618" s="50">
        <v>158.0</v>
      </c>
      <c r="D618" s="51">
        <v>1009.370979309082</v>
      </c>
      <c r="E618" s="52" t="s">
        <v>81</v>
      </c>
      <c r="F618" s="52" t="s">
        <v>97</v>
      </c>
      <c r="G618" s="52" t="s">
        <v>780</v>
      </c>
      <c r="H618" s="53"/>
      <c r="I618" s="54" t="s">
        <v>181</v>
      </c>
      <c r="J618" s="54">
        <v>6.0</v>
      </c>
      <c r="K618" s="54" t="s">
        <v>78</v>
      </c>
      <c r="L618" s="54" t="s">
        <v>122</v>
      </c>
      <c r="M618" s="52" t="s">
        <v>73</v>
      </c>
      <c r="N618" s="55" t="s">
        <v>80</v>
      </c>
    </row>
    <row r="619">
      <c r="A619" s="48">
        <v>1191.0</v>
      </c>
      <c r="B619" s="49">
        <v>45442.0</v>
      </c>
      <c r="C619" s="50">
        <v>15752.87</v>
      </c>
      <c r="D619" s="51">
        <v>111193.39516560556</v>
      </c>
      <c r="E619" s="52" t="s">
        <v>81</v>
      </c>
      <c r="F619" s="52" t="s">
        <v>84</v>
      </c>
      <c r="G619" s="52" t="s">
        <v>781</v>
      </c>
      <c r="H619" s="53"/>
      <c r="I619" s="54" t="s">
        <v>181</v>
      </c>
      <c r="J619" s="54">
        <v>5.0</v>
      </c>
      <c r="K619" s="54" t="s">
        <v>78</v>
      </c>
      <c r="L619" s="54" t="s">
        <v>120</v>
      </c>
      <c r="M619" s="52" t="s">
        <v>73</v>
      </c>
      <c r="N619" s="55" t="s">
        <v>80</v>
      </c>
    </row>
    <row r="620">
      <c r="A620" s="48">
        <v>1192.0</v>
      </c>
      <c r="B620" s="49">
        <v>45442.0</v>
      </c>
      <c r="C620" s="50">
        <v>625.86</v>
      </c>
      <c r="D620" s="51">
        <v>4417.702824840546</v>
      </c>
      <c r="E620" s="52" t="s">
        <v>81</v>
      </c>
      <c r="F620" s="52" t="s">
        <v>87</v>
      </c>
      <c r="G620" s="52" t="s">
        <v>782</v>
      </c>
      <c r="H620" s="53"/>
      <c r="I620" s="54" t="s">
        <v>181</v>
      </c>
      <c r="J620" s="54">
        <v>5.0</v>
      </c>
      <c r="K620" s="54" t="s">
        <v>78</v>
      </c>
      <c r="L620" s="54" t="s">
        <v>120</v>
      </c>
      <c r="M620" s="52" t="s">
        <v>73</v>
      </c>
      <c r="N620" s="55" t="s">
        <v>80</v>
      </c>
    </row>
    <row r="621">
      <c r="A621" s="48">
        <v>1193.0</v>
      </c>
      <c r="B621" s="49">
        <v>45443.0</v>
      </c>
      <c r="C621" s="50">
        <v>35354.0</v>
      </c>
      <c r="D621" s="51">
        <v>247840.3480205536</v>
      </c>
      <c r="E621" s="52" t="s">
        <v>81</v>
      </c>
      <c r="F621" s="52" t="s">
        <v>87</v>
      </c>
      <c r="G621" s="52" t="s">
        <v>783</v>
      </c>
      <c r="H621" s="53"/>
      <c r="I621" s="54" t="s">
        <v>181</v>
      </c>
      <c r="J621" s="54">
        <v>5.0</v>
      </c>
      <c r="K621" s="54" t="s">
        <v>78</v>
      </c>
      <c r="L621" s="54" t="s">
        <v>120</v>
      </c>
      <c r="M621" s="52" t="s">
        <v>73</v>
      </c>
      <c r="N621" s="55" t="s">
        <v>80</v>
      </c>
    </row>
    <row r="622">
      <c r="A622" s="48">
        <v>1194.0</v>
      </c>
      <c r="B622" s="49">
        <v>45459.0</v>
      </c>
      <c r="C622" s="50">
        <v>18.42</v>
      </c>
      <c r="D622" s="51">
        <v>106.72938254356386</v>
      </c>
      <c r="E622" s="52" t="s">
        <v>81</v>
      </c>
      <c r="F622" s="52" t="s">
        <v>93</v>
      </c>
      <c r="G622" s="52" t="s">
        <v>784</v>
      </c>
      <c r="H622" s="53"/>
      <c r="I622" s="54" t="s">
        <v>181</v>
      </c>
      <c r="J622" s="54">
        <v>6.0</v>
      </c>
      <c r="K622" s="54" t="s">
        <v>78</v>
      </c>
      <c r="L622" s="54" t="s">
        <v>122</v>
      </c>
      <c r="M622" s="52" t="s">
        <v>73</v>
      </c>
      <c r="N622" s="55" t="s">
        <v>80</v>
      </c>
    </row>
    <row r="623">
      <c r="A623" s="48">
        <v>1195.0</v>
      </c>
      <c r="B623" s="49">
        <v>45445.0</v>
      </c>
      <c r="C623" s="50">
        <v>191.02</v>
      </c>
      <c r="D623" s="51">
        <v>1384.651984062195</v>
      </c>
      <c r="E623" s="52" t="s">
        <v>81</v>
      </c>
      <c r="F623" s="52" t="s">
        <v>93</v>
      </c>
      <c r="G623" s="52" t="s">
        <v>785</v>
      </c>
      <c r="H623" s="53"/>
      <c r="I623" s="54" t="s">
        <v>181</v>
      </c>
      <c r="J623" s="54">
        <v>6.0</v>
      </c>
      <c r="K623" s="54" t="s">
        <v>78</v>
      </c>
      <c r="L623" s="54" t="s">
        <v>122</v>
      </c>
      <c r="M623" s="52" t="s">
        <v>73</v>
      </c>
      <c r="N623" s="55" t="s">
        <v>80</v>
      </c>
    </row>
    <row r="624">
      <c r="A624" s="48">
        <v>1196.0</v>
      </c>
      <c r="B624" s="49">
        <v>45446.0</v>
      </c>
      <c r="C624" s="50">
        <v>191.02</v>
      </c>
      <c r="D624" s="51">
        <v>1364.2675193691255</v>
      </c>
      <c r="E624" s="52" t="s">
        <v>81</v>
      </c>
      <c r="F624" s="52" t="s">
        <v>93</v>
      </c>
      <c r="G624" s="52" t="s">
        <v>786</v>
      </c>
      <c r="H624" s="53"/>
      <c r="I624" s="54" t="s">
        <v>181</v>
      </c>
      <c r="J624" s="54">
        <v>6.0</v>
      </c>
      <c r="K624" s="54" t="s">
        <v>78</v>
      </c>
      <c r="L624" s="54" t="s">
        <v>122</v>
      </c>
      <c r="M624" s="52" t="s">
        <v>73</v>
      </c>
      <c r="N624" s="55" t="s">
        <v>80</v>
      </c>
    </row>
    <row r="625">
      <c r="A625" s="48">
        <v>1197.0</v>
      </c>
      <c r="B625" s="49">
        <v>45446.0</v>
      </c>
      <c r="C625" s="50">
        <v>225.13</v>
      </c>
      <c r="D625" s="51">
        <v>1631.9060892677307</v>
      </c>
      <c r="E625" s="52" t="s">
        <v>81</v>
      </c>
      <c r="F625" s="52" t="s">
        <v>93</v>
      </c>
      <c r="G625" s="52" t="s">
        <v>787</v>
      </c>
      <c r="H625" s="53"/>
      <c r="I625" s="54" t="s">
        <v>181</v>
      </c>
      <c r="J625" s="54">
        <v>6.0</v>
      </c>
      <c r="K625" s="54" t="s">
        <v>78</v>
      </c>
      <c r="L625" s="54" t="s">
        <v>122</v>
      </c>
      <c r="M625" s="52" t="s">
        <v>73</v>
      </c>
      <c r="N625" s="55" t="s">
        <v>80</v>
      </c>
    </row>
    <row r="626">
      <c r="A626" s="48">
        <v>1198.0</v>
      </c>
      <c r="B626" s="49">
        <v>45446.0</v>
      </c>
      <c r="C626" s="50">
        <v>191.02</v>
      </c>
      <c r="D626" s="51">
        <v>1384.651984062195</v>
      </c>
      <c r="E626" s="52" t="s">
        <v>81</v>
      </c>
      <c r="F626" s="52" t="s">
        <v>93</v>
      </c>
      <c r="G626" s="52" t="s">
        <v>788</v>
      </c>
      <c r="H626" s="53"/>
      <c r="I626" s="54" t="s">
        <v>181</v>
      </c>
      <c r="J626" s="54">
        <v>6.0</v>
      </c>
      <c r="K626" s="54" t="s">
        <v>78</v>
      </c>
      <c r="L626" s="54" t="s">
        <v>122</v>
      </c>
      <c r="M626" s="52" t="s">
        <v>73</v>
      </c>
      <c r="N626" s="55" t="s">
        <v>80</v>
      </c>
    </row>
    <row r="627">
      <c r="A627" s="48">
        <v>1199.0</v>
      </c>
      <c r="B627" s="49">
        <v>45447.0</v>
      </c>
      <c r="C627" s="50">
        <v>191.02</v>
      </c>
      <c r="D627" s="51">
        <v>1271.7666177654266</v>
      </c>
      <c r="E627" s="52" t="s">
        <v>81</v>
      </c>
      <c r="F627" s="52" t="s">
        <v>93</v>
      </c>
      <c r="G627" s="52" t="s">
        <v>789</v>
      </c>
      <c r="H627" s="53"/>
      <c r="I627" s="54" t="s">
        <v>181</v>
      </c>
      <c r="J627" s="54">
        <v>6.0</v>
      </c>
      <c r="K627" s="54" t="s">
        <v>78</v>
      </c>
      <c r="L627" s="54" t="s">
        <v>122</v>
      </c>
      <c r="M627" s="52" t="s">
        <v>73</v>
      </c>
      <c r="N627" s="55" t="s">
        <v>80</v>
      </c>
    </row>
    <row r="628">
      <c r="A628" s="48">
        <v>1200.0</v>
      </c>
      <c r="B628" s="49">
        <v>45446.0</v>
      </c>
      <c r="C628" s="50">
        <v>191.02</v>
      </c>
      <c r="D628" s="51">
        <v>1364.2675193691255</v>
      </c>
      <c r="E628" s="52" t="s">
        <v>81</v>
      </c>
      <c r="F628" s="52" t="s">
        <v>93</v>
      </c>
      <c r="G628" s="52" t="s">
        <v>790</v>
      </c>
      <c r="H628" s="53"/>
      <c r="I628" s="54" t="s">
        <v>181</v>
      </c>
      <c r="J628" s="54">
        <v>6.0</v>
      </c>
      <c r="K628" s="54" t="s">
        <v>78</v>
      </c>
      <c r="L628" s="54" t="s">
        <v>122</v>
      </c>
      <c r="M628" s="52" t="s">
        <v>73</v>
      </c>
      <c r="N628" s="55" t="s">
        <v>80</v>
      </c>
    </row>
    <row r="629">
      <c r="A629" s="48">
        <v>1201.0</v>
      </c>
      <c r="B629" s="49">
        <v>45446.0</v>
      </c>
      <c r="C629" s="50">
        <v>209.44</v>
      </c>
      <c r="D629" s="51">
        <v>1495.823417739868</v>
      </c>
      <c r="E629" s="52" t="s">
        <v>81</v>
      </c>
      <c r="F629" s="52" t="s">
        <v>93</v>
      </c>
      <c r="G629" s="52" t="s">
        <v>791</v>
      </c>
      <c r="H629" s="53"/>
      <c r="I629" s="54" t="s">
        <v>181</v>
      </c>
      <c r="J629" s="54">
        <v>6.0</v>
      </c>
      <c r="K629" s="54" t="s">
        <v>78</v>
      </c>
      <c r="L629" s="54" t="s">
        <v>122</v>
      </c>
      <c r="M629" s="52" t="s">
        <v>73</v>
      </c>
      <c r="N629" s="55" t="s">
        <v>80</v>
      </c>
    </row>
    <row r="630">
      <c r="A630" s="48">
        <v>1202.0</v>
      </c>
      <c r="B630" s="49">
        <v>45465.0</v>
      </c>
      <c r="C630" s="50">
        <v>191.02</v>
      </c>
      <c r="D630" s="51">
        <v>1093.5293653964998</v>
      </c>
      <c r="E630" s="52" t="s">
        <v>81</v>
      </c>
      <c r="F630" s="52" t="s">
        <v>93</v>
      </c>
      <c r="G630" s="52" t="s">
        <v>792</v>
      </c>
      <c r="H630" s="53"/>
      <c r="I630" s="54" t="s">
        <v>181</v>
      </c>
      <c r="J630" s="54">
        <v>6.0</v>
      </c>
      <c r="K630" s="54" t="s">
        <v>78</v>
      </c>
      <c r="L630" s="54" t="s">
        <v>122</v>
      </c>
      <c r="M630" s="52" t="s">
        <v>73</v>
      </c>
      <c r="N630" s="55" t="s">
        <v>80</v>
      </c>
    </row>
    <row r="631">
      <c r="A631" s="48">
        <v>1203.0</v>
      </c>
      <c r="B631" s="49">
        <v>45455.0</v>
      </c>
      <c r="C631" s="50">
        <v>15.7808</v>
      </c>
      <c r="D631" s="51">
        <v>97.25330212478637</v>
      </c>
      <c r="E631" s="52" t="s">
        <v>49</v>
      </c>
      <c r="F631" s="52" t="s">
        <v>140</v>
      </c>
      <c r="G631" s="52" t="s">
        <v>793</v>
      </c>
      <c r="H631" s="53"/>
      <c r="I631" s="54" t="s">
        <v>181</v>
      </c>
      <c r="J631" s="54">
        <v>6.0</v>
      </c>
      <c r="K631" s="54" t="s">
        <v>78</v>
      </c>
      <c r="L631" s="54" t="s">
        <v>122</v>
      </c>
      <c r="M631" s="52" t="s">
        <v>73</v>
      </c>
      <c r="N631" s="55" t="s">
        <v>80</v>
      </c>
    </row>
    <row r="632">
      <c r="A632" s="48">
        <v>1204.0</v>
      </c>
      <c r="B632" s="49">
        <v>45454.0</v>
      </c>
      <c r="C632" s="50">
        <v>15.7808</v>
      </c>
      <c r="D632" s="51">
        <v>100.36702636260986</v>
      </c>
      <c r="E632" s="52" t="s">
        <v>49</v>
      </c>
      <c r="F632" s="52" t="s">
        <v>140</v>
      </c>
      <c r="G632" s="52" t="s">
        <v>793</v>
      </c>
      <c r="H632" s="53"/>
      <c r="I632" s="54" t="s">
        <v>181</v>
      </c>
      <c r="J632" s="54">
        <v>6.0</v>
      </c>
      <c r="K632" s="54" t="s">
        <v>78</v>
      </c>
      <c r="L632" s="54" t="s">
        <v>122</v>
      </c>
      <c r="M632" s="52" t="s">
        <v>73</v>
      </c>
      <c r="N632" s="55" t="s">
        <v>80</v>
      </c>
    </row>
    <row r="633">
      <c r="A633" s="48">
        <v>1205.0</v>
      </c>
      <c r="B633" s="49">
        <v>45454.0</v>
      </c>
      <c r="C633" s="50">
        <v>15.7808</v>
      </c>
      <c r="D633" s="51">
        <v>100.36702636260986</v>
      </c>
      <c r="E633" s="52" t="s">
        <v>49</v>
      </c>
      <c r="F633" s="52" t="s">
        <v>140</v>
      </c>
      <c r="G633" s="52" t="s">
        <v>794</v>
      </c>
      <c r="H633" s="53"/>
      <c r="I633" s="54" t="s">
        <v>181</v>
      </c>
      <c r="J633" s="54">
        <v>6.0</v>
      </c>
      <c r="K633" s="54" t="s">
        <v>78</v>
      </c>
      <c r="L633" s="54" t="s">
        <v>122</v>
      </c>
      <c r="M633" s="52" t="s">
        <v>73</v>
      </c>
      <c r="N633" s="55" t="s">
        <v>80</v>
      </c>
    </row>
    <row r="634">
      <c r="A634" s="48">
        <v>1206.0</v>
      </c>
      <c r="B634" s="49">
        <v>45455.0</v>
      </c>
      <c r="C634" s="50">
        <v>15.7808</v>
      </c>
      <c r="D634" s="51">
        <v>97.25330212478637</v>
      </c>
      <c r="E634" s="52" t="s">
        <v>49</v>
      </c>
      <c r="F634" s="52" t="s">
        <v>140</v>
      </c>
      <c r="G634" s="52" t="s">
        <v>794</v>
      </c>
      <c r="H634" s="53"/>
      <c r="I634" s="54" t="s">
        <v>181</v>
      </c>
      <c r="J634" s="54">
        <v>6.0</v>
      </c>
      <c r="K634" s="54" t="s">
        <v>78</v>
      </c>
      <c r="L634" s="54" t="s">
        <v>122</v>
      </c>
      <c r="M634" s="52" t="s">
        <v>73</v>
      </c>
      <c r="N634" s="55" t="s">
        <v>80</v>
      </c>
    </row>
    <row r="635">
      <c r="A635" s="48">
        <v>1207.0</v>
      </c>
      <c r="B635" s="49">
        <v>45455.0</v>
      </c>
      <c r="C635" s="50">
        <v>15.7808</v>
      </c>
      <c r="D635" s="51">
        <v>97.25330212478637</v>
      </c>
      <c r="E635" s="52" t="s">
        <v>49</v>
      </c>
      <c r="F635" s="52" t="s">
        <v>140</v>
      </c>
      <c r="G635" s="52" t="s">
        <v>793</v>
      </c>
      <c r="H635" s="53"/>
      <c r="I635" s="54" t="s">
        <v>181</v>
      </c>
      <c r="J635" s="54">
        <v>6.0</v>
      </c>
      <c r="K635" s="54" t="s">
        <v>78</v>
      </c>
      <c r="L635" s="54" t="s">
        <v>122</v>
      </c>
      <c r="M635" s="52" t="s">
        <v>73</v>
      </c>
      <c r="N635" s="55" t="s">
        <v>80</v>
      </c>
    </row>
    <row r="636">
      <c r="A636" s="48">
        <v>1209.0</v>
      </c>
      <c r="B636" s="49">
        <v>45455.0</v>
      </c>
      <c r="C636" s="50">
        <v>15.7808</v>
      </c>
      <c r="D636" s="51">
        <v>98.17256304168701</v>
      </c>
      <c r="E636" s="52" t="s">
        <v>49</v>
      </c>
      <c r="F636" s="52" t="s">
        <v>140</v>
      </c>
      <c r="G636" s="52" t="s">
        <v>794</v>
      </c>
      <c r="H636" s="53"/>
      <c r="I636" s="54" t="s">
        <v>181</v>
      </c>
      <c r="J636" s="54">
        <v>6.0</v>
      </c>
      <c r="K636" s="54" t="s">
        <v>78</v>
      </c>
      <c r="L636" s="54" t="s">
        <v>122</v>
      </c>
      <c r="M636" s="52" t="s">
        <v>73</v>
      </c>
      <c r="N636" s="55" t="s">
        <v>80</v>
      </c>
    </row>
    <row r="637">
      <c r="A637" s="48">
        <v>1210.0</v>
      </c>
      <c r="B637" s="49">
        <v>45455.0</v>
      </c>
      <c r="C637" s="50">
        <v>15.7808</v>
      </c>
      <c r="D637" s="51">
        <v>97.25330212478637</v>
      </c>
      <c r="E637" s="52" t="s">
        <v>49</v>
      </c>
      <c r="F637" s="52" t="s">
        <v>140</v>
      </c>
      <c r="G637" s="52" t="s">
        <v>793</v>
      </c>
      <c r="H637" s="53"/>
      <c r="I637" s="54" t="s">
        <v>181</v>
      </c>
      <c r="J637" s="54">
        <v>6.0</v>
      </c>
      <c r="K637" s="54" t="s">
        <v>78</v>
      </c>
      <c r="L637" s="54" t="s">
        <v>122</v>
      </c>
      <c r="M637" s="52" t="s">
        <v>73</v>
      </c>
      <c r="N637" s="55" t="s">
        <v>80</v>
      </c>
    </row>
    <row r="638">
      <c r="A638" s="48">
        <v>1211.0</v>
      </c>
      <c r="B638" s="49">
        <v>45450.0</v>
      </c>
      <c r="C638" s="50">
        <v>2.1041066667</v>
      </c>
      <c r="D638" s="51">
        <v>13.692362123324825</v>
      </c>
      <c r="E638" s="52" t="s">
        <v>49</v>
      </c>
      <c r="F638" s="52" t="s">
        <v>140</v>
      </c>
      <c r="G638" s="52" t="s">
        <v>795</v>
      </c>
      <c r="H638" s="53"/>
      <c r="I638" s="54" t="s">
        <v>181</v>
      </c>
      <c r="J638" s="54">
        <v>6.0</v>
      </c>
      <c r="K638" s="54" t="s">
        <v>78</v>
      </c>
      <c r="L638" s="54" t="s">
        <v>122</v>
      </c>
      <c r="M638" s="52" t="s">
        <v>73</v>
      </c>
      <c r="N638" s="55" t="s">
        <v>80</v>
      </c>
    </row>
    <row r="639">
      <c r="A639" s="48">
        <v>1212.0</v>
      </c>
      <c r="B639" s="49">
        <v>45465.0</v>
      </c>
      <c r="C639" s="50">
        <v>2.1041066667</v>
      </c>
      <c r="D639" s="51">
        <v>12.045348277473536</v>
      </c>
      <c r="E639" s="52" t="s">
        <v>49</v>
      </c>
      <c r="F639" s="52" t="s">
        <v>140</v>
      </c>
      <c r="G639" s="52" t="s">
        <v>796</v>
      </c>
      <c r="H639" s="53"/>
      <c r="I639" s="54" t="s">
        <v>181</v>
      </c>
      <c r="J639" s="54">
        <v>6.0</v>
      </c>
      <c r="K639" s="54" t="s">
        <v>78</v>
      </c>
      <c r="L639" s="54" t="s">
        <v>122</v>
      </c>
      <c r="M639" s="52" t="s">
        <v>73</v>
      </c>
      <c r="N639" s="55" t="s">
        <v>80</v>
      </c>
    </row>
    <row r="640">
      <c r="A640" s="48">
        <v>1213.0</v>
      </c>
      <c r="B640" s="49">
        <v>45447.0</v>
      </c>
      <c r="C640" s="50">
        <v>2.1041066667</v>
      </c>
      <c r="D640" s="51">
        <v>15.027559327122018</v>
      </c>
      <c r="E640" s="52" t="s">
        <v>49</v>
      </c>
      <c r="F640" s="52" t="s">
        <v>140</v>
      </c>
      <c r="G640" s="52" t="s">
        <v>797</v>
      </c>
      <c r="H640" s="53"/>
      <c r="I640" s="54" t="s">
        <v>181</v>
      </c>
      <c r="J640" s="54">
        <v>6.0</v>
      </c>
      <c r="K640" s="54" t="s">
        <v>78</v>
      </c>
      <c r="L640" s="54" t="s">
        <v>122</v>
      </c>
      <c r="M640" s="52" t="s">
        <v>73</v>
      </c>
      <c r="N640" s="55" t="s">
        <v>80</v>
      </c>
    </row>
    <row r="641">
      <c r="A641" s="48">
        <v>1214.0</v>
      </c>
      <c r="B641" s="49">
        <v>45455.0</v>
      </c>
      <c r="C641" s="50">
        <v>1081.2</v>
      </c>
      <c r="D641" s="51">
        <v>6726.159330368042</v>
      </c>
      <c r="E641" s="52" t="s">
        <v>81</v>
      </c>
      <c r="F641" s="52" t="s">
        <v>86</v>
      </c>
      <c r="G641" s="52" t="s">
        <v>798</v>
      </c>
      <c r="H641" s="53"/>
      <c r="I641" s="54" t="s">
        <v>181</v>
      </c>
      <c r="J641" s="54">
        <v>6.0</v>
      </c>
      <c r="K641" s="54" t="s">
        <v>78</v>
      </c>
      <c r="L641" s="54" t="s">
        <v>122</v>
      </c>
      <c r="M641" s="52" t="s">
        <v>73</v>
      </c>
      <c r="N641" s="55" t="s">
        <v>80</v>
      </c>
    </row>
    <row r="642">
      <c r="A642" s="48">
        <v>1215.0</v>
      </c>
      <c r="B642" s="49">
        <v>45454.0</v>
      </c>
      <c r="C642" s="50">
        <v>12257.1</v>
      </c>
      <c r="D642" s="51">
        <v>75537.58044419289</v>
      </c>
      <c r="E642" s="52" t="s">
        <v>81</v>
      </c>
      <c r="F642" s="52" t="s">
        <v>97</v>
      </c>
      <c r="G642" s="52" t="s">
        <v>799</v>
      </c>
      <c r="H642" s="53"/>
      <c r="I642" s="54" t="s">
        <v>181</v>
      </c>
      <c r="J642" s="54">
        <v>6.0</v>
      </c>
      <c r="K642" s="54" t="s">
        <v>78</v>
      </c>
      <c r="L642" s="54" t="s">
        <v>122</v>
      </c>
      <c r="M642" s="52" t="s">
        <v>73</v>
      </c>
      <c r="N642" s="55" t="s">
        <v>80</v>
      </c>
    </row>
    <row r="643">
      <c r="A643" s="48">
        <v>1216.0</v>
      </c>
      <c r="B643" s="49">
        <v>45449.0</v>
      </c>
      <c r="C643" s="50">
        <v>209.44</v>
      </c>
      <c r="D643" s="51">
        <v>1337.9915057373046</v>
      </c>
      <c r="E643" s="52" t="s">
        <v>81</v>
      </c>
      <c r="F643" s="52" t="s">
        <v>93</v>
      </c>
      <c r="G643" s="52" t="s">
        <v>800</v>
      </c>
      <c r="H643" s="53"/>
      <c r="I643" s="54" t="s">
        <v>181</v>
      </c>
      <c r="J643" s="54">
        <v>6.0</v>
      </c>
      <c r="K643" s="54" t="s">
        <v>78</v>
      </c>
      <c r="L643" s="54" t="s">
        <v>122</v>
      </c>
      <c r="M643" s="52" t="s">
        <v>73</v>
      </c>
      <c r="N643" s="55" t="s">
        <v>80</v>
      </c>
    </row>
    <row r="644">
      <c r="A644" s="48">
        <v>1217.0</v>
      </c>
      <c r="B644" s="49">
        <v>45457.0</v>
      </c>
      <c r="C644" s="50">
        <v>191.02</v>
      </c>
      <c r="D644" s="51">
        <v>1160.2392442035675</v>
      </c>
      <c r="E644" s="52" t="s">
        <v>81</v>
      </c>
      <c r="F644" s="52" t="s">
        <v>93</v>
      </c>
      <c r="G644" s="52" t="s">
        <v>801</v>
      </c>
      <c r="H644" s="53"/>
      <c r="I644" s="54" t="s">
        <v>181</v>
      </c>
      <c r="J644" s="54">
        <v>6.0</v>
      </c>
      <c r="K644" s="54" t="s">
        <v>78</v>
      </c>
      <c r="L644" s="54" t="s">
        <v>122</v>
      </c>
      <c r="M644" s="52" t="s">
        <v>73</v>
      </c>
      <c r="N644" s="55" t="s">
        <v>80</v>
      </c>
    </row>
    <row r="645">
      <c r="A645" s="48">
        <v>1218.0</v>
      </c>
      <c r="B645" s="49">
        <v>45452.0</v>
      </c>
      <c r="C645" s="50">
        <v>191.02</v>
      </c>
      <c r="D645" s="51">
        <v>1287.8027549266817</v>
      </c>
      <c r="E645" s="52" t="s">
        <v>81</v>
      </c>
      <c r="F645" s="52" t="s">
        <v>93</v>
      </c>
      <c r="G645" s="52" t="s">
        <v>802</v>
      </c>
      <c r="H645" s="53"/>
      <c r="I645" s="54" t="s">
        <v>181</v>
      </c>
      <c r="J645" s="54">
        <v>6.0</v>
      </c>
      <c r="K645" s="54" t="s">
        <v>78</v>
      </c>
      <c r="L645" s="54" t="s">
        <v>122</v>
      </c>
      <c r="M645" s="52" t="s">
        <v>73</v>
      </c>
      <c r="N645" s="55" t="s">
        <v>80</v>
      </c>
    </row>
    <row r="646">
      <c r="A646" s="48">
        <v>1219.0</v>
      </c>
      <c r="B646" s="49">
        <v>45459.0</v>
      </c>
      <c r="C646" s="50">
        <v>191.02</v>
      </c>
      <c r="D646" s="51">
        <v>1103.2648498344422</v>
      </c>
      <c r="E646" s="52" t="s">
        <v>81</v>
      </c>
      <c r="F646" s="52" t="s">
        <v>93</v>
      </c>
      <c r="G646" s="52" t="s">
        <v>803</v>
      </c>
      <c r="H646" s="53"/>
      <c r="I646" s="54" t="s">
        <v>181</v>
      </c>
      <c r="J646" s="54">
        <v>6.0</v>
      </c>
      <c r="K646" s="54" t="s">
        <v>78</v>
      </c>
      <c r="L646" s="54" t="s">
        <v>122</v>
      </c>
      <c r="M646" s="52" t="s">
        <v>73</v>
      </c>
      <c r="N646" s="55" t="s">
        <v>80</v>
      </c>
    </row>
    <row r="647">
      <c r="A647" s="48">
        <v>1220.0</v>
      </c>
      <c r="B647" s="49">
        <v>45449.0</v>
      </c>
      <c r="C647" s="50">
        <v>191.02</v>
      </c>
      <c r="D647" s="51">
        <v>1220.3167371368409</v>
      </c>
      <c r="E647" s="52" t="s">
        <v>81</v>
      </c>
      <c r="F647" s="52" t="s">
        <v>93</v>
      </c>
      <c r="G647" s="52" t="s">
        <v>804</v>
      </c>
      <c r="H647" s="53"/>
      <c r="I647" s="54" t="s">
        <v>181</v>
      </c>
      <c r="J647" s="54">
        <v>6.0</v>
      </c>
      <c r="K647" s="54" t="s">
        <v>78</v>
      </c>
      <c r="L647" s="54" t="s">
        <v>122</v>
      </c>
      <c r="M647" s="52" t="s">
        <v>73</v>
      </c>
      <c r="N647" s="55" t="s">
        <v>80</v>
      </c>
    </row>
    <row r="648">
      <c r="A648" s="48">
        <v>1221.0</v>
      </c>
      <c r="B648" s="49">
        <v>45458.0</v>
      </c>
      <c r="C648" s="50">
        <v>73.1</v>
      </c>
      <c r="D648" s="51">
        <v>444.0031868457794</v>
      </c>
      <c r="E648" s="52" t="s">
        <v>81</v>
      </c>
      <c r="F648" s="52" t="s">
        <v>97</v>
      </c>
      <c r="G648" s="52" t="s">
        <v>805</v>
      </c>
      <c r="H648" s="53"/>
      <c r="I648" s="54" t="s">
        <v>181</v>
      </c>
      <c r="J648" s="54">
        <v>6.0</v>
      </c>
      <c r="K648" s="54" t="s">
        <v>78</v>
      </c>
      <c r="L648" s="54" t="s">
        <v>122</v>
      </c>
      <c r="M648" s="52" t="s">
        <v>73</v>
      </c>
      <c r="N648" s="55" t="s">
        <v>80</v>
      </c>
    </row>
    <row r="649">
      <c r="A649" s="48">
        <v>1222.0</v>
      </c>
      <c r="B649" s="49">
        <v>45453.0</v>
      </c>
      <c r="C649" s="50">
        <v>6218.0</v>
      </c>
      <c r="D649" s="51">
        <v>41919.99544620514</v>
      </c>
      <c r="E649" s="52" t="s">
        <v>46</v>
      </c>
      <c r="F649" s="52" t="s">
        <v>114</v>
      </c>
      <c r="G649" s="52" t="s">
        <v>806</v>
      </c>
      <c r="H649" s="53"/>
      <c r="I649" s="54" t="s">
        <v>181</v>
      </c>
      <c r="J649" s="54">
        <v>6.0</v>
      </c>
      <c r="K649" s="54" t="s">
        <v>78</v>
      </c>
      <c r="L649" s="54" t="s">
        <v>122</v>
      </c>
      <c r="M649" s="52" t="s">
        <v>73</v>
      </c>
      <c r="N649" s="55" t="s">
        <v>80</v>
      </c>
    </row>
    <row r="650">
      <c r="A650" s="48">
        <v>1223.0</v>
      </c>
      <c r="B650" s="49">
        <v>45453.0</v>
      </c>
      <c r="C650" s="50">
        <v>39.774</v>
      </c>
      <c r="D650" s="51">
        <v>252.9655091342926</v>
      </c>
      <c r="E650" s="52" t="s">
        <v>81</v>
      </c>
      <c r="F650" s="52" t="s">
        <v>94</v>
      </c>
      <c r="G650" s="52" t="s">
        <v>807</v>
      </c>
      <c r="H650" s="53"/>
      <c r="I650" s="54" t="s">
        <v>181</v>
      </c>
      <c r="J650" s="54">
        <v>6.0</v>
      </c>
      <c r="K650" s="54" t="s">
        <v>78</v>
      </c>
      <c r="L650" s="54" t="s">
        <v>122</v>
      </c>
      <c r="M650" s="52" t="s">
        <v>73</v>
      </c>
      <c r="N650" s="55" t="s">
        <v>80</v>
      </c>
    </row>
    <row r="651">
      <c r="A651" s="48">
        <v>1224.0</v>
      </c>
      <c r="B651" s="49">
        <v>45449.0</v>
      </c>
      <c r="C651" s="50">
        <v>68.09</v>
      </c>
      <c r="D651" s="51">
        <v>444.1349173784256</v>
      </c>
      <c r="E651" s="52" t="s">
        <v>81</v>
      </c>
      <c r="F651" s="52" t="s">
        <v>89</v>
      </c>
      <c r="G651" s="52" t="s">
        <v>764</v>
      </c>
      <c r="H651" s="53"/>
      <c r="I651" s="54" t="s">
        <v>181</v>
      </c>
      <c r="J651" s="54">
        <v>6.0</v>
      </c>
      <c r="K651" s="54" t="s">
        <v>78</v>
      </c>
      <c r="L651" s="54" t="s">
        <v>122</v>
      </c>
      <c r="M651" s="52" t="s">
        <v>73</v>
      </c>
      <c r="N651" s="55" t="s">
        <v>80</v>
      </c>
    </row>
    <row r="652">
      <c r="A652" s="48">
        <v>1225.0</v>
      </c>
      <c r="B652" s="49">
        <v>45452.0</v>
      </c>
      <c r="C652" s="50">
        <v>3.65</v>
      </c>
      <c r="D652" s="51">
        <v>23.286624479293824</v>
      </c>
      <c r="E652" s="52" t="s">
        <v>81</v>
      </c>
      <c r="F652" s="52" t="s">
        <v>89</v>
      </c>
      <c r="G652" s="52" t="s">
        <v>764</v>
      </c>
      <c r="H652" s="53"/>
      <c r="I652" s="54" t="s">
        <v>181</v>
      </c>
      <c r="J652" s="54">
        <v>6.0</v>
      </c>
      <c r="K652" s="54" t="s">
        <v>78</v>
      </c>
      <c r="L652" s="54" t="s">
        <v>122</v>
      </c>
      <c r="M652" s="52" t="s">
        <v>73</v>
      </c>
      <c r="N652" s="55" t="s">
        <v>80</v>
      </c>
    </row>
    <row r="653">
      <c r="A653" s="48">
        <v>1226.0</v>
      </c>
      <c r="B653" s="49">
        <v>45449.0</v>
      </c>
      <c r="C653" s="50">
        <v>17.95</v>
      </c>
      <c r="D653" s="51">
        <v>117.08359181880951</v>
      </c>
      <c r="E653" s="52" t="s">
        <v>81</v>
      </c>
      <c r="F653" s="52" t="s">
        <v>89</v>
      </c>
      <c r="G653" s="52" t="s">
        <v>808</v>
      </c>
      <c r="H653" s="53"/>
      <c r="I653" s="54" t="s">
        <v>181</v>
      </c>
      <c r="J653" s="54">
        <v>6.0</v>
      </c>
      <c r="K653" s="54" t="s">
        <v>78</v>
      </c>
      <c r="L653" s="54" t="s">
        <v>122</v>
      </c>
      <c r="M653" s="52" t="s">
        <v>73</v>
      </c>
      <c r="N653" s="55" t="s">
        <v>80</v>
      </c>
    </row>
    <row r="654">
      <c r="A654" s="48">
        <v>1227.0</v>
      </c>
      <c r="B654" s="49">
        <v>45449.0</v>
      </c>
      <c r="C654" s="50">
        <v>11.08</v>
      </c>
      <c r="D654" s="51">
        <v>72.27221155166626</v>
      </c>
      <c r="E654" s="52" t="s">
        <v>81</v>
      </c>
      <c r="F654" s="52" t="s">
        <v>89</v>
      </c>
      <c r="G654" s="52" t="s">
        <v>808</v>
      </c>
      <c r="H654" s="53"/>
      <c r="I654" s="54" t="s">
        <v>181</v>
      </c>
      <c r="J654" s="54">
        <v>6.0</v>
      </c>
      <c r="K654" s="54" t="s">
        <v>78</v>
      </c>
      <c r="L654" s="54" t="s">
        <v>122</v>
      </c>
      <c r="M654" s="52" t="s">
        <v>73</v>
      </c>
      <c r="N654" s="55" t="s">
        <v>80</v>
      </c>
    </row>
    <row r="655">
      <c r="A655" s="48">
        <v>1228.0</v>
      </c>
      <c r="B655" s="49">
        <v>45453.0</v>
      </c>
      <c r="C655" s="50">
        <v>3.19</v>
      </c>
      <c r="D655" s="51">
        <v>20.288630113601684</v>
      </c>
      <c r="E655" s="52" t="s">
        <v>81</v>
      </c>
      <c r="F655" s="52" t="s">
        <v>89</v>
      </c>
      <c r="G655" s="52" t="s">
        <v>809</v>
      </c>
      <c r="H655" s="53"/>
      <c r="I655" s="54" t="s">
        <v>181</v>
      </c>
      <c r="J655" s="54">
        <v>6.0</v>
      </c>
      <c r="K655" s="54" t="s">
        <v>78</v>
      </c>
      <c r="L655" s="54" t="s">
        <v>122</v>
      </c>
      <c r="M655" s="52" t="s">
        <v>73</v>
      </c>
      <c r="N655" s="55" t="s">
        <v>80</v>
      </c>
    </row>
    <row r="656">
      <c r="A656" s="48">
        <v>1229.0</v>
      </c>
      <c r="B656" s="49">
        <v>45450.0</v>
      </c>
      <c r="C656" s="50">
        <v>15.51</v>
      </c>
      <c r="D656" s="51">
        <v>100.9304993391037</v>
      </c>
      <c r="E656" s="52" t="s">
        <v>81</v>
      </c>
      <c r="F656" s="52" t="s">
        <v>89</v>
      </c>
      <c r="G656" s="52" t="s">
        <v>810</v>
      </c>
      <c r="H656" s="53"/>
      <c r="I656" s="54" t="s">
        <v>181</v>
      </c>
      <c r="J656" s="54">
        <v>6.0</v>
      </c>
      <c r="K656" s="54" t="s">
        <v>78</v>
      </c>
      <c r="L656" s="54" t="s">
        <v>122</v>
      </c>
      <c r="M656" s="52" t="s">
        <v>73</v>
      </c>
      <c r="N656" s="55" t="s">
        <v>80</v>
      </c>
    </row>
    <row r="657">
      <c r="A657" s="48">
        <v>1230.0</v>
      </c>
      <c r="B657" s="49">
        <v>45450.0</v>
      </c>
      <c r="C657" s="50">
        <v>23.25</v>
      </c>
      <c r="D657" s="51">
        <v>151.65423452854156</v>
      </c>
      <c r="E657" s="52" t="s">
        <v>81</v>
      </c>
      <c r="F657" s="52" t="s">
        <v>89</v>
      </c>
      <c r="G657" s="52" t="s">
        <v>811</v>
      </c>
      <c r="H657" s="53"/>
      <c r="I657" s="54" t="s">
        <v>181</v>
      </c>
      <c r="J657" s="54">
        <v>6.0</v>
      </c>
      <c r="K657" s="54" t="s">
        <v>78</v>
      </c>
      <c r="L657" s="54" t="s">
        <v>122</v>
      </c>
      <c r="M657" s="52" t="s">
        <v>73</v>
      </c>
      <c r="N657" s="55" t="s">
        <v>80</v>
      </c>
    </row>
    <row r="658">
      <c r="A658" s="48">
        <v>1231.0</v>
      </c>
      <c r="B658" s="49">
        <v>45453.0</v>
      </c>
      <c r="C658" s="50">
        <v>5.23</v>
      </c>
      <c r="D658" s="51">
        <v>33.26317727088929</v>
      </c>
      <c r="E658" s="52" t="s">
        <v>81</v>
      </c>
      <c r="F658" s="52" t="s">
        <v>89</v>
      </c>
      <c r="G658" s="52" t="s">
        <v>812</v>
      </c>
      <c r="H658" s="53"/>
      <c r="I658" s="54" t="s">
        <v>181</v>
      </c>
      <c r="J658" s="54">
        <v>6.0</v>
      </c>
      <c r="K658" s="54" t="s">
        <v>78</v>
      </c>
      <c r="L658" s="54" t="s">
        <v>122</v>
      </c>
      <c r="M658" s="52" t="s">
        <v>73</v>
      </c>
      <c r="N658" s="55" t="s">
        <v>80</v>
      </c>
    </row>
    <row r="659">
      <c r="A659" s="48">
        <v>1233.0</v>
      </c>
      <c r="B659" s="49">
        <v>45449.0</v>
      </c>
      <c r="C659" s="50">
        <v>7.75</v>
      </c>
      <c r="D659" s="51">
        <v>50.551411509513855</v>
      </c>
      <c r="E659" s="52" t="s">
        <v>81</v>
      </c>
      <c r="F659" s="52" t="s">
        <v>89</v>
      </c>
      <c r="G659" s="52" t="s">
        <v>813</v>
      </c>
      <c r="H659" s="53"/>
      <c r="I659" s="54" t="s">
        <v>181</v>
      </c>
      <c r="J659" s="54">
        <v>6.0</v>
      </c>
      <c r="K659" s="54" t="s">
        <v>78</v>
      </c>
      <c r="L659" s="54" t="s">
        <v>122</v>
      </c>
      <c r="M659" s="52" t="s">
        <v>73</v>
      </c>
      <c r="N659" s="55" t="s">
        <v>80</v>
      </c>
    </row>
    <row r="660">
      <c r="A660" s="48">
        <v>1234.0</v>
      </c>
      <c r="B660" s="49">
        <v>45452.0</v>
      </c>
      <c r="C660" s="50">
        <v>20.36</v>
      </c>
      <c r="D660" s="51">
        <v>129.89470531463624</v>
      </c>
      <c r="E660" s="52" t="s">
        <v>81</v>
      </c>
      <c r="F660" s="52" t="s">
        <v>89</v>
      </c>
      <c r="G660" s="52" t="s">
        <v>814</v>
      </c>
      <c r="H660" s="53"/>
      <c r="I660" s="54" t="s">
        <v>181</v>
      </c>
      <c r="J660" s="54">
        <v>6.0</v>
      </c>
      <c r="K660" s="54" t="s">
        <v>78</v>
      </c>
      <c r="L660" s="54" t="s">
        <v>122</v>
      </c>
      <c r="M660" s="52" t="s">
        <v>73</v>
      </c>
      <c r="N660" s="55" t="s">
        <v>80</v>
      </c>
    </row>
    <row r="661">
      <c r="A661" s="48">
        <v>1235.0</v>
      </c>
      <c r="B661" s="49">
        <v>45450.0</v>
      </c>
      <c r="C661" s="50">
        <v>2.03</v>
      </c>
      <c r="D661" s="51">
        <v>13.241208434104918</v>
      </c>
      <c r="E661" s="52" t="s">
        <v>81</v>
      </c>
      <c r="F661" s="52" t="s">
        <v>89</v>
      </c>
      <c r="G661" s="52" t="s">
        <v>815</v>
      </c>
      <c r="H661" s="53"/>
      <c r="I661" s="54" t="s">
        <v>181</v>
      </c>
      <c r="J661" s="54">
        <v>6.0</v>
      </c>
      <c r="K661" s="54" t="s">
        <v>78</v>
      </c>
      <c r="L661" s="54" t="s">
        <v>122</v>
      </c>
      <c r="M661" s="52" t="s">
        <v>73</v>
      </c>
      <c r="N661" s="55" t="s">
        <v>80</v>
      </c>
    </row>
    <row r="662">
      <c r="A662" s="48">
        <v>1236.0</v>
      </c>
      <c r="B662" s="49">
        <v>45450.0</v>
      </c>
      <c r="C662" s="50">
        <v>20.13</v>
      </c>
      <c r="D662" s="51">
        <v>131.3032146692276</v>
      </c>
      <c r="E662" s="52" t="s">
        <v>81</v>
      </c>
      <c r="F662" s="52" t="s">
        <v>89</v>
      </c>
      <c r="G662" s="52" t="s">
        <v>816</v>
      </c>
      <c r="H662" s="53"/>
      <c r="I662" s="54" t="s">
        <v>181</v>
      </c>
      <c r="J662" s="54">
        <v>6.0</v>
      </c>
      <c r="K662" s="54" t="s">
        <v>78</v>
      </c>
      <c r="L662" s="54" t="s">
        <v>122</v>
      </c>
      <c r="M662" s="52" t="s">
        <v>73</v>
      </c>
      <c r="N662" s="55" t="s">
        <v>80</v>
      </c>
    </row>
    <row r="663">
      <c r="A663" s="48">
        <v>1238.0</v>
      </c>
      <c r="B663" s="49">
        <v>45453.0</v>
      </c>
      <c r="C663" s="50">
        <v>128.81</v>
      </c>
      <c r="D663" s="51">
        <v>819.240891828537</v>
      </c>
      <c r="E663" s="52" t="s">
        <v>81</v>
      </c>
      <c r="F663" s="52" t="s">
        <v>97</v>
      </c>
      <c r="G663" s="52" t="s">
        <v>817</v>
      </c>
      <c r="H663" s="53"/>
      <c r="I663" s="54" t="s">
        <v>181</v>
      </c>
      <c r="J663" s="54">
        <v>6.0</v>
      </c>
      <c r="K663" s="54" t="s">
        <v>78</v>
      </c>
      <c r="L663" s="54" t="s">
        <v>122</v>
      </c>
      <c r="M663" s="52" t="s">
        <v>73</v>
      </c>
      <c r="N663" s="55" t="s">
        <v>80</v>
      </c>
    </row>
    <row r="664">
      <c r="A664" s="48">
        <v>1239.0</v>
      </c>
      <c r="B664" s="49">
        <v>45453.0</v>
      </c>
      <c r="C664" s="50">
        <v>234.18</v>
      </c>
      <c r="D664" s="51">
        <v>1489.4016927909852</v>
      </c>
      <c r="E664" s="52" t="s">
        <v>50</v>
      </c>
      <c r="F664" s="52" t="s">
        <v>157</v>
      </c>
      <c r="G664" s="52" t="s">
        <v>818</v>
      </c>
      <c r="H664" s="53"/>
      <c r="I664" s="54" t="s">
        <v>181</v>
      </c>
      <c r="J664" s="54">
        <v>6.0</v>
      </c>
      <c r="K664" s="54" t="s">
        <v>78</v>
      </c>
      <c r="L664" s="54" t="s">
        <v>122</v>
      </c>
      <c r="M664" s="52" t="s">
        <v>73</v>
      </c>
      <c r="N664" s="55" t="s">
        <v>80</v>
      </c>
    </row>
    <row r="665">
      <c r="A665" s="48">
        <v>1240.0</v>
      </c>
      <c r="B665" s="49">
        <v>45452.0</v>
      </c>
      <c r="C665" s="50">
        <v>200.7</v>
      </c>
      <c r="D665" s="51">
        <v>1353.062574148178</v>
      </c>
      <c r="E665" s="52" t="s">
        <v>50</v>
      </c>
      <c r="F665" s="52" t="s">
        <v>157</v>
      </c>
      <c r="G665" s="52" t="s">
        <v>819</v>
      </c>
      <c r="H665" s="53"/>
      <c r="I665" s="54" t="s">
        <v>181</v>
      </c>
      <c r="J665" s="54">
        <v>6.0</v>
      </c>
      <c r="K665" s="54" t="s">
        <v>78</v>
      </c>
      <c r="L665" s="54" t="s">
        <v>122</v>
      </c>
      <c r="M665" s="52" t="s">
        <v>73</v>
      </c>
      <c r="N665" s="55" t="s">
        <v>80</v>
      </c>
    </row>
    <row r="666">
      <c r="A666" s="48">
        <v>1241.0</v>
      </c>
      <c r="B666" s="49">
        <v>45459.0</v>
      </c>
      <c r="C666" s="50">
        <v>100.36</v>
      </c>
      <c r="D666" s="51">
        <v>579.6443321609497</v>
      </c>
      <c r="E666" s="52" t="s">
        <v>50</v>
      </c>
      <c r="F666" s="52" t="s">
        <v>157</v>
      </c>
      <c r="G666" s="52" t="s">
        <v>820</v>
      </c>
      <c r="H666" s="53"/>
      <c r="I666" s="54" t="s">
        <v>181</v>
      </c>
      <c r="J666" s="54">
        <v>6.0</v>
      </c>
      <c r="K666" s="54" t="s">
        <v>78</v>
      </c>
      <c r="L666" s="54" t="s">
        <v>122</v>
      </c>
      <c r="M666" s="52" t="s">
        <v>73</v>
      </c>
      <c r="N666" s="55" t="s">
        <v>80</v>
      </c>
    </row>
    <row r="667">
      <c r="A667" s="48">
        <v>1242.0</v>
      </c>
      <c r="B667" s="49">
        <v>45452.0</v>
      </c>
      <c r="C667" s="50">
        <v>69.7</v>
      </c>
      <c r="D667" s="51">
        <v>469.8976652622223</v>
      </c>
      <c r="E667" s="52" t="s">
        <v>50</v>
      </c>
      <c r="F667" s="52" t="s">
        <v>157</v>
      </c>
      <c r="G667" s="52" t="s">
        <v>821</v>
      </c>
      <c r="H667" s="53"/>
      <c r="I667" s="54" t="s">
        <v>181</v>
      </c>
      <c r="J667" s="54">
        <v>6.0</v>
      </c>
      <c r="K667" s="54" t="s">
        <v>78</v>
      </c>
      <c r="L667" s="54" t="s">
        <v>122</v>
      </c>
      <c r="M667" s="52" t="s">
        <v>73</v>
      </c>
      <c r="N667" s="55" t="s">
        <v>80</v>
      </c>
    </row>
    <row r="668">
      <c r="A668" s="48">
        <v>1243.0</v>
      </c>
      <c r="B668" s="49">
        <v>45453.0</v>
      </c>
      <c r="C668" s="50">
        <v>55.76</v>
      </c>
      <c r="D668" s="51">
        <v>354.63762229919433</v>
      </c>
      <c r="E668" s="52" t="s">
        <v>50</v>
      </c>
      <c r="F668" s="52" t="s">
        <v>157</v>
      </c>
      <c r="G668" s="52" t="s">
        <v>822</v>
      </c>
      <c r="H668" s="53"/>
      <c r="I668" s="54" t="s">
        <v>181</v>
      </c>
      <c r="J668" s="54">
        <v>6.0</v>
      </c>
      <c r="K668" s="54" t="s">
        <v>78</v>
      </c>
      <c r="L668" s="54" t="s">
        <v>122</v>
      </c>
      <c r="M668" s="52" t="s">
        <v>73</v>
      </c>
      <c r="N668" s="55" t="s">
        <v>80</v>
      </c>
    </row>
    <row r="669">
      <c r="A669" s="48">
        <v>1244.0</v>
      </c>
      <c r="B669" s="49">
        <v>45465.0</v>
      </c>
      <c r="C669" s="50">
        <v>55.76</v>
      </c>
      <c r="D669" s="51">
        <v>319.2084463119507</v>
      </c>
      <c r="E669" s="52" t="s">
        <v>50</v>
      </c>
      <c r="F669" s="52" t="s">
        <v>157</v>
      </c>
      <c r="G669" s="52" t="s">
        <v>823</v>
      </c>
      <c r="H669" s="53"/>
      <c r="I669" s="54" t="s">
        <v>181</v>
      </c>
      <c r="J669" s="54">
        <v>6.0</v>
      </c>
      <c r="K669" s="54" t="s">
        <v>78</v>
      </c>
      <c r="L669" s="54" t="s">
        <v>122</v>
      </c>
      <c r="M669" s="52" t="s">
        <v>73</v>
      </c>
      <c r="N669" s="55" t="s">
        <v>80</v>
      </c>
    </row>
    <row r="670">
      <c r="A670" s="48">
        <v>1245.0</v>
      </c>
      <c r="B670" s="49">
        <v>45453.0</v>
      </c>
      <c r="C670" s="50">
        <v>55.76</v>
      </c>
      <c r="D670" s="51">
        <v>354.63762229919433</v>
      </c>
      <c r="E670" s="52" t="s">
        <v>50</v>
      </c>
      <c r="F670" s="52" t="s">
        <v>157</v>
      </c>
      <c r="G670" s="52" t="s">
        <v>824</v>
      </c>
      <c r="H670" s="53"/>
      <c r="I670" s="54" t="s">
        <v>181</v>
      </c>
      <c r="J670" s="54">
        <v>6.0</v>
      </c>
      <c r="K670" s="54" t="s">
        <v>78</v>
      </c>
      <c r="L670" s="54" t="s">
        <v>122</v>
      </c>
      <c r="M670" s="52" t="s">
        <v>73</v>
      </c>
      <c r="N670" s="55" t="s">
        <v>80</v>
      </c>
    </row>
    <row r="671">
      <c r="A671" s="48">
        <v>1247.0</v>
      </c>
      <c r="B671" s="49">
        <v>45457.0</v>
      </c>
      <c r="C671" s="50">
        <v>34.85</v>
      </c>
      <c r="D671" s="51">
        <v>211.67593791484833</v>
      </c>
      <c r="E671" s="52" t="s">
        <v>50</v>
      </c>
      <c r="F671" s="52" t="s">
        <v>157</v>
      </c>
      <c r="G671" s="52" t="s">
        <v>825</v>
      </c>
      <c r="H671" s="53"/>
      <c r="I671" s="54" t="s">
        <v>181</v>
      </c>
      <c r="J671" s="54">
        <v>6.0</v>
      </c>
      <c r="K671" s="54" t="s">
        <v>78</v>
      </c>
      <c r="L671" s="54" t="s">
        <v>122</v>
      </c>
      <c r="M671" s="52" t="s">
        <v>73</v>
      </c>
      <c r="N671" s="55" t="s">
        <v>80</v>
      </c>
    </row>
    <row r="672">
      <c r="A672" s="48">
        <v>1248.0</v>
      </c>
      <c r="B672" s="49">
        <v>45453.0</v>
      </c>
      <c r="C672" s="50">
        <v>167.27</v>
      </c>
      <c r="D672" s="51">
        <v>1063.8492661762239</v>
      </c>
      <c r="E672" s="52" t="s">
        <v>50</v>
      </c>
      <c r="F672" s="52" t="s">
        <v>157</v>
      </c>
      <c r="G672" s="52" t="s">
        <v>826</v>
      </c>
      <c r="H672" s="53"/>
      <c r="I672" s="54" t="s">
        <v>181</v>
      </c>
      <c r="J672" s="54">
        <v>6.0</v>
      </c>
      <c r="K672" s="54" t="s">
        <v>78</v>
      </c>
      <c r="L672" s="54" t="s">
        <v>122</v>
      </c>
      <c r="M672" s="52" t="s">
        <v>73</v>
      </c>
      <c r="N672" s="55" t="s">
        <v>80</v>
      </c>
    </row>
    <row r="673">
      <c r="A673" s="48">
        <v>1249.0</v>
      </c>
      <c r="B673" s="49">
        <v>45453.0</v>
      </c>
      <c r="C673" s="50">
        <v>83.63</v>
      </c>
      <c r="D673" s="51">
        <v>531.8928327274323</v>
      </c>
      <c r="E673" s="52" t="s">
        <v>50</v>
      </c>
      <c r="F673" s="52" t="s">
        <v>157</v>
      </c>
      <c r="G673" s="52" t="s">
        <v>827</v>
      </c>
      <c r="H673" s="53"/>
      <c r="I673" s="54" t="s">
        <v>181</v>
      </c>
      <c r="J673" s="54">
        <v>6.0</v>
      </c>
      <c r="K673" s="54" t="s">
        <v>78</v>
      </c>
      <c r="L673" s="54" t="s">
        <v>122</v>
      </c>
      <c r="M673" s="52" t="s">
        <v>73</v>
      </c>
      <c r="N673" s="55" t="s">
        <v>80</v>
      </c>
    </row>
    <row r="674">
      <c r="A674" s="48">
        <v>1250.0</v>
      </c>
      <c r="B674" s="49">
        <v>45456.0</v>
      </c>
      <c r="C674" s="50">
        <v>69.7</v>
      </c>
      <c r="D674" s="51">
        <v>433.6046109199524</v>
      </c>
      <c r="E674" s="52" t="s">
        <v>50</v>
      </c>
      <c r="F674" s="52" t="s">
        <v>157</v>
      </c>
      <c r="G674" s="52" t="s">
        <v>828</v>
      </c>
      <c r="H674" s="53"/>
      <c r="I674" s="54" t="s">
        <v>181</v>
      </c>
      <c r="J674" s="54">
        <v>6.0</v>
      </c>
      <c r="K674" s="54" t="s">
        <v>78</v>
      </c>
      <c r="L674" s="54" t="s">
        <v>122</v>
      </c>
      <c r="M674" s="52" t="s">
        <v>73</v>
      </c>
      <c r="N674" s="55" t="s">
        <v>80</v>
      </c>
    </row>
    <row r="675">
      <c r="A675" s="48">
        <v>1251.0</v>
      </c>
      <c r="B675" s="49">
        <v>45452.0</v>
      </c>
      <c r="C675" s="50">
        <v>41.82</v>
      </c>
      <c r="D675" s="51">
        <v>281.9385991573334</v>
      </c>
      <c r="E675" s="52" t="s">
        <v>50</v>
      </c>
      <c r="F675" s="52" t="s">
        <v>157</v>
      </c>
      <c r="G675" s="52" t="s">
        <v>829</v>
      </c>
      <c r="H675" s="53"/>
      <c r="I675" s="54" t="s">
        <v>181</v>
      </c>
      <c r="J675" s="54">
        <v>6.0</v>
      </c>
      <c r="K675" s="54" t="s">
        <v>78</v>
      </c>
      <c r="L675" s="54" t="s">
        <v>122</v>
      </c>
      <c r="M675" s="52" t="s">
        <v>73</v>
      </c>
      <c r="N675" s="55" t="s">
        <v>80</v>
      </c>
    </row>
    <row r="676">
      <c r="A676" s="48">
        <v>1252.0</v>
      </c>
      <c r="B676" s="49">
        <v>45453.0</v>
      </c>
      <c r="C676" s="50">
        <v>41.82</v>
      </c>
      <c r="D676" s="51">
        <v>281.9385991573334</v>
      </c>
      <c r="E676" s="52" t="s">
        <v>50</v>
      </c>
      <c r="F676" s="52" t="s">
        <v>157</v>
      </c>
      <c r="G676" s="52" t="s">
        <v>830</v>
      </c>
      <c r="H676" s="53"/>
      <c r="I676" s="54" t="s">
        <v>181</v>
      </c>
      <c r="J676" s="54">
        <v>6.0</v>
      </c>
      <c r="K676" s="54" t="s">
        <v>78</v>
      </c>
      <c r="L676" s="54" t="s">
        <v>122</v>
      </c>
      <c r="M676" s="52" t="s">
        <v>73</v>
      </c>
      <c r="N676" s="55" t="s">
        <v>80</v>
      </c>
    </row>
    <row r="677">
      <c r="A677" s="48">
        <v>1253.0</v>
      </c>
      <c r="B677" s="49">
        <v>45459.0</v>
      </c>
      <c r="C677" s="50">
        <v>41.82</v>
      </c>
      <c r="D677" s="51">
        <v>242.31394017219543</v>
      </c>
      <c r="E677" s="52" t="s">
        <v>50</v>
      </c>
      <c r="F677" s="52" t="s">
        <v>157</v>
      </c>
      <c r="G677" s="52" t="s">
        <v>831</v>
      </c>
      <c r="H677" s="53"/>
      <c r="I677" s="54" t="s">
        <v>181</v>
      </c>
      <c r="J677" s="54">
        <v>6.0</v>
      </c>
      <c r="K677" s="54" t="s">
        <v>78</v>
      </c>
      <c r="L677" s="54" t="s">
        <v>122</v>
      </c>
      <c r="M677" s="52" t="s">
        <v>73</v>
      </c>
      <c r="N677" s="55" t="s">
        <v>80</v>
      </c>
    </row>
    <row r="678">
      <c r="A678" s="48">
        <v>1254.0</v>
      </c>
      <c r="B678" s="49">
        <v>45457.0</v>
      </c>
      <c r="C678" s="50">
        <v>41.82</v>
      </c>
      <c r="D678" s="51">
        <v>254.011125497818</v>
      </c>
      <c r="E678" s="52" t="s">
        <v>50</v>
      </c>
      <c r="F678" s="52" t="s">
        <v>157</v>
      </c>
      <c r="G678" s="52" t="s">
        <v>832</v>
      </c>
      <c r="H678" s="53"/>
      <c r="I678" s="54" t="s">
        <v>181</v>
      </c>
      <c r="J678" s="54">
        <v>6.0</v>
      </c>
      <c r="K678" s="54" t="s">
        <v>78</v>
      </c>
      <c r="L678" s="54" t="s">
        <v>122</v>
      </c>
      <c r="M678" s="52" t="s">
        <v>73</v>
      </c>
      <c r="N678" s="55" t="s">
        <v>80</v>
      </c>
    </row>
    <row r="679">
      <c r="A679" s="48">
        <v>1255.0</v>
      </c>
      <c r="B679" s="49">
        <v>45454.0</v>
      </c>
      <c r="C679" s="50">
        <v>167.27</v>
      </c>
      <c r="D679" s="51">
        <v>1030.8450678300858</v>
      </c>
      <c r="E679" s="52" t="s">
        <v>50</v>
      </c>
      <c r="F679" s="52" t="s">
        <v>157</v>
      </c>
      <c r="G679" s="52" t="s">
        <v>833</v>
      </c>
      <c r="H679" s="53"/>
      <c r="I679" s="54" t="s">
        <v>181</v>
      </c>
      <c r="J679" s="54">
        <v>6.0</v>
      </c>
      <c r="K679" s="54" t="s">
        <v>78</v>
      </c>
      <c r="L679" s="54" t="s">
        <v>122</v>
      </c>
      <c r="M679" s="52" t="s">
        <v>73</v>
      </c>
      <c r="N679" s="55" t="s">
        <v>80</v>
      </c>
    </row>
    <row r="680">
      <c r="A680" s="48">
        <v>1256.0</v>
      </c>
      <c r="B680" s="49">
        <v>45454.0</v>
      </c>
      <c r="C680" s="50">
        <v>69.7</v>
      </c>
      <c r="D680" s="51">
        <v>429.5444564342499</v>
      </c>
      <c r="E680" s="52" t="s">
        <v>50</v>
      </c>
      <c r="F680" s="52" t="s">
        <v>157</v>
      </c>
      <c r="G680" s="52" t="s">
        <v>834</v>
      </c>
      <c r="H680" s="53"/>
      <c r="I680" s="54" t="s">
        <v>181</v>
      </c>
      <c r="J680" s="54">
        <v>6.0</v>
      </c>
      <c r="K680" s="54" t="s">
        <v>78</v>
      </c>
      <c r="L680" s="54" t="s">
        <v>122</v>
      </c>
      <c r="M680" s="52" t="s">
        <v>73</v>
      </c>
      <c r="N680" s="55" t="s">
        <v>80</v>
      </c>
    </row>
    <row r="681">
      <c r="A681" s="48">
        <v>1257.0</v>
      </c>
      <c r="B681" s="49">
        <v>45452.0</v>
      </c>
      <c r="C681" s="50">
        <v>22.3</v>
      </c>
      <c r="D681" s="51">
        <v>150.34028601646423</v>
      </c>
      <c r="E681" s="52" t="s">
        <v>50</v>
      </c>
      <c r="F681" s="52" t="s">
        <v>157</v>
      </c>
      <c r="G681" s="52" t="s">
        <v>835</v>
      </c>
      <c r="H681" s="53"/>
      <c r="I681" s="54" t="s">
        <v>181</v>
      </c>
      <c r="J681" s="54">
        <v>6.0</v>
      </c>
      <c r="K681" s="54" t="s">
        <v>78</v>
      </c>
      <c r="L681" s="54" t="s">
        <v>122</v>
      </c>
      <c r="M681" s="52" t="s">
        <v>73</v>
      </c>
      <c r="N681" s="55" t="s">
        <v>80</v>
      </c>
    </row>
    <row r="682">
      <c r="A682" s="48">
        <v>1258.0</v>
      </c>
      <c r="B682" s="49">
        <v>45452.0</v>
      </c>
      <c r="C682" s="50">
        <v>133.82</v>
      </c>
      <c r="D682" s="51">
        <v>902.1765504360199</v>
      </c>
      <c r="E682" s="52" t="s">
        <v>50</v>
      </c>
      <c r="F682" s="52" t="s">
        <v>157</v>
      </c>
      <c r="G682" s="52" t="s">
        <v>836</v>
      </c>
      <c r="H682" s="53"/>
      <c r="I682" s="54" t="s">
        <v>181</v>
      </c>
      <c r="J682" s="54">
        <v>6.0</v>
      </c>
      <c r="K682" s="54" t="s">
        <v>78</v>
      </c>
      <c r="L682" s="54" t="s">
        <v>122</v>
      </c>
      <c r="M682" s="52" t="s">
        <v>73</v>
      </c>
      <c r="N682" s="55" t="s">
        <v>80</v>
      </c>
    </row>
    <row r="683">
      <c r="A683" s="48">
        <v>1259.0</v>
      </c>
      <c r="B683" s="49">
        <v>45452.0</v>
      </c>
      <c r="C683" s="50">
        <v>69.7</v>
      </c>
      <c r="D683" s="51">
        <v>469.8976652622223</v>
      </c>
      <c r="E683" s="52" t="s">
        <v>50</v>
      </c>
      <c r="F683" s="52" t="s">
        <v>157</v>
      </c>
      <c r="G683" s="52" t="s">
        <v>837</v>
      </c>
      <c r="H683" s="53"/>
      <c r="I683" s="54" t="s">
        <v>181</v>
      </c>
      <c r="J683" s="54">
        <v>6.0</v>
      </c>
      <c r="K683" s="54" t="s">
        <v>78</v>
      </c>
      <c r="L683" s="54" t="s">
        <v>122</v>
      </c>
      <c r="M683" s="52" t="s">
        <v>73</v>
      </c>
      <c r="N683" s="55" t="s">
        <v>80</v>
      </c>
    </row>
    <row r="684">
      <c r="A684" s="48">
        <v>1260.0</v>
      </c>
      <c r="B684" s="49">
        <v>45453.0</v>
      </c>
      <c r="C684" s="50">
        <v>200.7</v>
      </c>
      <c r="D684" s="51">
        <v>1276.4664776802063</v>
      </c>
      <c r="E684" s="52" t="s">
        <v>50</v>
      </c>
      <c r="F684" s="52" t="s">
        <v>157</v>
      </c>
      <c r="G684" s="52" t="s">
        <v>838</v>
      </c>
      <c r="H684" s="53"/>
      <c r="I684" s="54" t="s">
        <v>181</v>
      </c>
      <c r="J684" s="54">
        <v>6.0</v>
      </c>
      <c r="K684" s="54" t="s">
        <v>78</v>
      </c>
      <c r="L684" s="54" t="s">
        <v>122</v>
      </c>
      <c r="M684" s="52" t="s">
        <v>73</v>
      </c>
      <c r="N684" s="55" t="s">
        <v>80</v>
      </c>
    </row>
    <row r="685">
      <c r="A685" s="48">
        <v>1261.0</v>
      </c>
      <c r="B685" s="49">
        <v>45465.0</v>
      </c>
      <c r="C685" s="50">
        <v>100.36</v>
      </c>
      <c r="D685" s="51">
        <v>574.5294058799743</v>
      </c>
      <c r="E685" s="52" t="s">
        <v>50</v>
      </c>
      <c r="F685" s="52" t="s">
        <v>157</v>
      </c>
      <c r="G685" s="52" t="s">
        <v>839</v>
      </c>
      <c r="H685" s="53"/>
      <c r="I685" s="54" t="s">
        <v>181</v>
      </c>
      <c r="J685" s="54">
        <v>6.0</v>
      </c>
      <c r="K685" s="54" t="s">
        <v>78</v>
      </c>
      <c r="L685" s="54" t="s">
        <v>122</v>
      </c>
      <c r="M685" s="52" t="s">
        <v>73</v>
      </c>
      <c r="N685" s="55" t="s">
        <v>80</v>
      </c>
    </row>
    <row r="686">
      <c r="A686" s="48">
        <v>1262.0</v>
      </c>
      <c r="B686" s="49">
        <v>45453.0</v>
      </c>
      <c r="C686" s="50">
        <v>69.7</v>
      </c>
      <c r="D686" s="51">
        <v>443.29702787399293</v>
      </c>
      <c r="E686" s="52" t="s">
        <v>50</v>
      </c>
      <c r="F686" s="52" t="s">
        <v>157</v>
      </c>
      <c r="G686" s="52" t="s">
        <v>840</v>
      </c>
      <c r="H686" s="53"/>
      <c r="I686" s="54" t="s">
        <v>181</v>
      </c>
      <c r="J686" s="54">
        <v>6.0</v>
      </c>
      <c r="K686" s="54" t="s">
        <v>78</v>
      </c>
      <c r="L686" s="54" t="s">
        <v>122</v>
      </c>
      <c r="M686" s="52" t="s">
        <v>73</v>
      </c>
      <c r="N686" s="55" t="s">
        <v>80</v>
      </c>
    </row>
    <row r="687">
      <c r="A687" s="48">
        <v>1263.0</v>
      </c>
      <c r="B687" s="49">
        <v>45453.0</v>
      </c>
      <c r="C687" s="50">
        <v>39.0</v>
      </c>
      <c r="D687" s="51">
        <v>248.04281330108643</v>
      </c>
      <c r="E687" s="52" t="s">
        <v>50</v>
      </c>
      <c r="F687" s="52" t="s">
        <v>157</v>
      </c>
      <c r="G687" s="52" t="s">
        <v>841</v>
      </c>
      <c r="H687" s="53"/>
      <c r="I687" s="54" t="s">
        <v>181</v>
      </c>
      <c r="J687" s="54">
        <v>6.0</v>
      </c>
      <c r="K687" s="54" t="s">
        <v>78</v>
      </c>
      <c r="L687" s="54" t="s">
        <v>122</v>
      </c>
      <c r="M687" s="52" t="s">
        <v>73</v>
      </c>
      <c r="N687" s="55" t="s">
        <v>80</v>
      </c>
    </row>
    <row r="688">
      <c r="A688" s="48">
        <v>1264.0</v>
      </c>
      <c r="B688" s="49">
        <v>45456.0</v>
      </c>
      <c r="C688" s="50">
        <v>34.85</v>
      </c>
      <c r="D688" s="51">
        <v>222.62417674064636</v>
      </c>
      <c r="E688" s="52" t="s">
        <v>50</v>
      </c>
      <c r="F688" s="52" t="s">
        <v>157</v>
      </c>
      <c r="G688" s="52" t="s">
        <v>842</v>
      </c>
      <c r="H688" s="53"/>
      <c r="I688" s="54" t="s">
        <v>181</v>
      </c>
      <c r="J688" s="54">
        <v>6.0</v>
      </c>
      <c r="K688" s="54" t="s">
        <v>78</v>
      </c>
      <c r="L688" s="54" t="s">
        <v>122</v>
      </c>
      <c r="M688" s="52" t="s">
        <v>73</v>
      </c>
      <c r="N688" s="55" t="s">
        <v>80</v>
      </c>
    </row>
    <row r="689">
      <c r="A689" s="48">
        <v>1265.0</v>
      </c>
      <c r="B689" s="49">
        <v>45454.0</v>
      </c>
      <c r="C689" s="50">
        <v>935.537</v>
      </c>
      <c r="D689" s="51">
        <v>5765.491135425091</v>
      </c>
      <c r="E689" s="52" t="s">
        <v>50</v>
      </c>
      <c r="F689" s="52" t="s">
        <v>157</v>
      </c>
      <c r="G689" s="52" t="s">
        <v>843</v>
      </c>
      <c r="H689" s="53"/>
      <c r="I689" s="54" t="s">
        <v>181</v>
      </c>
      <c r="J689" s="54">
        <v>6.0</v>
      </c>
      <c r="K689" s="54" t="s">
        <v>78</v>
      </c>
      <c r="L689" s="54" t="s">
        <v>122</v>
      </c>
      <c r="M689" s="52" t="s">
        <v>73</v>
      </c>
      <c r="N689" s="55" t="s">
        <v>80</v>
      </c>
    </row>
    <row r="690">
      <c r="A690" s="48">
        <v>1266.0</v>
      </c>
      <c r="B690" s="49">
        <v>45465.0</v>
      </c>
      <c r="C690" s="50">
        <v>384.694</v>
      </c>
      <c r="D690" s="51">
        <v>2202.2520452928543</v>
      </c>
      <c r="E690" s="52" t="s">
        <v>50</v>
      </c>
      <c r="F690" s="52" t="s">
        <v>157</v>
      </c>
      <c r="G690" s="52" t="s">
        <v>844</v>
      </c>
      <c r="H690" s="53"/>
      <c r="I690" s="54" t="s">
        <v>181</v>
      </c>
      <c r="J690" s="54">
        <v>6.0</v>
      </c>
      <c r="K690" s="54" t="s">
        <v>78</v>
      </c>
      <c r="L690" s="54" t="s">
        <v>122</v>
      </c>
      <c r="M690" s="52" t="s">
        <v>73</v>
      </c>
      <c r="N690" s="55" t="s">
        <v>80</v>
      </c>
    </row>
    <row r="691">
      <c r="A691" s="48">
        <v>1267.0</v>
      </c>
      <c r="B691" s="49">
        <v>45468.0</v>
      </c>
      <c r="C691" s="50">
        <v>294.82</v>
      </c>
      <c r="D691" s="51">
        <v>1851.8953415203093</v>
      </c>
      <c r="E691" s="52" t="s">
        <v>50</v>
      </c>
      <c r="F691" s="52" t="s">
        <v>157</v>
      </c>
      <c r="G691" s="52" t="s">
        <v>845</v>
      </c>
      <c r="H691" s="53"/>
      <c r="I691" s="54" t="s">
        <v>181</v>
      </c>
      <c r="J691" s="54">
        <v>6.0</v>
      </c>
      <c r="K691" s="54" t="s">
        <v>78</v>
      </c>
      <c r="L691" s="54" t="s">
        <v>122</v>
      </c>
      <c r="M691" s="52" t="s">
        <v>73</v>
      </c>
      <c r="N691" s="55" t="s">
        <v>80</v>
      </c>
    </row>
    <row r="692">
      <c r="A692" s="48">
        <v>1268.0</v>
      </c>
      <c r="B692" s="49">
        <v>45454.0</v>
      </c>
      <c r="C692" s="50">
        <v>4201.09</v>
      </c>
      <c r="D692" s="51">
        <v>25890.31449758053</v>
      </c>
      <c r="E692" s="52" t="s">
        <v>50</v>
      </c>
      <c r="F692" s="52" t="s">
        <v>157</v>
      </c>
      <c r="G692" s="52" t="s">
        <v>846</v>
      </c>
      <c r="H692" s="53"/>
      <c r="I692" s="54" t="s">
        <v>181</v>
      </c>
      <c r="J692" s="54">
        <v>6.0</v>
      </c>
      <c r="K692" s="54" t="s">
        <v>78</v>
      </c>
      <c r="L692" s="54" t="s">
        <v>122</v>
      </c>
      <c r="M692" s="52" t="s">
        <v>73</v>
      </c>
      <c r="N692" s="55" t="s">
        <v>80</v>
      </c>
    </row>
    <row r="693">
      <c r="A693" s="48">
        <v>1269.0</v>
      </c>
      <c r="B693" s="49">
        <v>45456.0</v>
      </c>
      <c r="C693" s="50">
        <v>69.7</v>
      </c>
      <c r="D693" s="51">
        <v>433.6046109199524</v>
      </c>
      <c r="E693" s="52" t="s">
        <v>50</v>
      </c>
      <c r="F693" s="52" t="s">
        <v>157</v>
      </c>
      <c r="G693" s="52" t="s">
        <v>847</v>
      </c>
      <c r="H693" s="53"/>
      <c r="I693" s="54" t="s">
        <v>181</v>
      </c>
      <c r="J693" s="54">
        <v>6.0</v>
      </c>
      <c r="K693" s="54" t="s">
        <v>78</v>
      </c>
      <c r="L693" s="54" t="s">
        <v>122</v>
      </c>
      <c r="M693" s="52" t="s">
        <v>73</v>
      </c>
      <c r="N693" s="55" t="s">
        <v>80</v>
      </c>
    </row>
    <row r="694">
      <c r="A694" s="48">
        <v>1270.0</v>
      </c>
      <c r="B694" s="49">
        <v>45454.0</v>
      </c>
      <c r="C694" s="50">
        <v>140.0364094665</v>
      </c>
      <c r="D694" s="51">
        <v>890.6416658629116</v>
      </c>
      <c r="E694" s="52" t="s">
        <v>50</v>
      </c>
      <c r="F694" s="52" t="s">
        <v>157</v>
      </c>
      <c r="G694" s="52" t="s">
        <v>848</v>
      </c>
      <c r="H694" s="53"/>
      <c r="I694" s="54" t="s">
        <v>181</v>
      </c>
      <c r="J694" s="54">
        <v>6.0</v>
      </c>
      <c r="K694" s="54" t="s">
        <v>78</v>
      </c>
      <c r="L694" s="54" t="s">
        <v>122</v>
      </c>
      <c r="M694" s="52" t="s">
        <v>73</v>
      </c>
      <c r="N694" s="55" t="s">
        <v>80</v>
      </c>
    </row>
    <row r="695">
      <c r="A695" s="48">
        <v>1271.0</v>
      </c>
      <c r="B695" s="49">
        <v>45454.0</v>
      </c>
      <c r="C695" s="50">
        <v>105.027307</v>
      </c>
      <c r="D695" s="51">
        <v>647.2582137169022</v>
      </c>
      <c r="E695" s="52" t="s">
        <v>50</v>
      </c>
      <c r="F695" s="52" t="s">
        <v>157</v>
      </c>
      <c r="G695" s="52" t="s">
        <v>849</v>
      </c>
      <c r="H695" s="53"/>
      <c r="I695" s="54" t="s">
        <v>181</v>
      </c>
      <c r="J695" s="54">
        <v>6.0</v>
      </c>
      <c r="K695" s="54" t="s">
        <v>78</v>
      </c>
      <c r="L695" s="54" t="s">
        <v>122</v>
      </c>
      <c r="M695" s="52" t="s">
        <v>73</v>
      </c>
      <c r="N695" s="55" t="s">
        <v>80</v>
      </c>
    </row>
    <row r="696">
      <c r="A696" s="48">
        <v>1272.0</v>
      </c>
      <c r="B696" s="49">
        <v>45454.0</v>
      </c>
      <c r="C696" s="50">
        <v>70.0182047332</v>
      </c>
      <c r="D696" s="51">
        <v>431.50547622129716</v>
      </c>
      <c r="E696" s="52" t="s">
        <v>50</v>
      </c>
      <c r="F696" s="52" t="s">
        <v>157</v>
      </c>
      <c r="G696" s="52" t="s">
        <v>850</v>
      </c>
      <c r="H696" s="53"/>
      <c r="I696" s="54" t="s">
        <v>181</v>
      </c>
      <c r="J696" s="54">
        <v>6.0</v>
      </c>
      <c r="K696" s="54" t="s">
        <v>78</v>
      </c>
      <c r="L696" s="54" t="s">
        <v>122</v>
      </c>
      <c r="M696" s="52" t="s">
        <v>73</v>
      </c>
      <c r="N696" s="55" t="s">
        <v>80</v>
      </c>
    </row>
    <row r="697">
      <c r="A697" s="48">
        <v>1273.0</v>
      </c>
      <c r="B697" s="49">
        <v>45454.0</v>
      </c>
      <c r="C697" s="50">
        <v>35.0091023666</v>
      </c>
      <c r="D697" s="51">
        <v>215.75273811064858</v>
      </c>
      <c r="E697" s="52" t="s">
        <v>50</v>
      </c>
      <c r="F697" s="52" t="s">
        <v>157</v>
      </c>
      <c r="G697" s="52" t="s">
        <v>851</v>
      </c>
      <c r="H697" s="53"/>
      <c r="I697" s="54" t="s">
        <v>181</v>
      </c>
      <c r="J697" s="54">
        <v>6.0</v>
      </c>
      <c r="K697" s="54" t="s">
        <v>78</v>
      </c>
      <c r="L697" s="54" t="s">
        <v>122</v>
      </c>
      <c r="M697" s="52" t="s">
        <v>73</v>
      </c>
      <c r="N697" s="55" t="s">
        <v>80</v>
      </c>
    </row>
    <row r="698">
      <c r="A698" s="48">
        <v>1274.0</v>
      </c>
      <c r="B698" s="49">
        <v>45454.0</v>
      </c>
      <c r="C698" s="50">
        <v>188.0</v>
      </c>
      <c r="D698" s="51">
        <v>1158.5991077423096</v>
      </c>
      <c r="E698" s="52" t="s">
        <v>81</v>
      </c>
      <c r="F698" s="52" t="s">
        <v>94</v>
      </c>
      <c r="G698" s="52" t="s">
        <v>852</v>
      </c>
      <c r="H698" s="53"/>
      <c r="I698" s="54" t="s">
        <v>181</v>
      </c>
      <c r="J698" s="54">
        <v>6.0</v>
      </c>
      <c r="K698" s="54" t="s">
        <v>78</v>
      </c>
      <c r="L698" s="54" t="s">
        <v>122</v>
      </c>
      <c r="M698" s="52" t="s">
        <v>73</v>
      </c>
      <c r="N698" s="55" t="s">
        <v>80</v>
      </c>
    </row>
    <row r="699">
      <c r="A699" s="48">
        <v>1275.0</v>
      </c>
      <c r="B699" s="49">
        <v>45454.0</v>
      </c>
      <c r="C699" s="50">
        <v>509.0</v>
      </c>
      <c r="D699" s="51">
        <v>3136.845456600189</v>
      </c>
      <c r="E699" s="52" t="s">
        <v>81</v>
      </c>
      <c r="F699" s="52" t="s">
        <v>94</v>
      </c>
      <c r="G699" s="52" t="s">
        <v>853</v>
      </c>
      <c r="H699" s="53"/>
      <c r="I699" s="54" t="s">
        <v>181</v>
      </c>
      <c r="J699" s="54">
        <v>6.0</v>
      </c>
      <c r="K699" s="54" t="s">
        <v>78</v>
      </c>
      <c r="L699" s="54" t="s">
        <v>122</v>
      </c>
      <c r="M699" s="52" t="s">
        <v>73</v>
      </c>
      <c r="N699" s="55" t="s">
        <v>80</v>
      </c>
    </row>
    <row r="700">
      <c r="A700" s="48">
        <v>1276.0</v>
      </c>
      <c r="B700" s="49">
        <v>45454.0</v>
      </c>
      <c r="C700" s="50">
        <v>176.0</v>
      </c>
      <c r="D700" s="51">
        <v>1084.6459732055664</v>
      </c>
      <c r="E700" s="52" t="s">
        <v>81</v>
      </c>
      <c r="F700" s="52" t="s">
        <v>94</v>
      </c>
      <c r="G700" s="52" t="s">
        <v>854</v>
      </c>
      <c r="H700" s="53"/>
      <c r="I700" s="54" t="s">
        <v>181</v>
      </c>
      <c r="J700" s="54">
        <v>6.0</v>
      </c>
      <c r="K700" s="54" t="s">
        <v>78</v>
      </c>
      <c r="L700" s="54" t="s">
        <v>122</v>
      </c>
      <c r="M700" s="52" t="s">
        <v>73</v>
      </c>
      <c r="N700" s="55" t="s">
        <v>80</v>
      </c>
    </row>
    <row r="701">
      <c r="A701" s="48">
        <v>1277.0</v>
      </c>
      <c r="B701" s="49">
        <v>45454.0</v>
      </c>
      <c r="C701" s="50">
        <v>198.0</v>
      </c>
      <c r="D701" s="51">
        <v>1220.2267198562622</v>
      </c>
      <c r="E701" s="52" t="s">
        <v>81</v>
      </c>
      <c r="F701" s="52" t="s">
        <v>94</v>
      </c>
      <c r="G701" s="52" t="s">
        <v>855</v>
      </c>
      <c r="H701" s="53"/>
      <c r="I701" s="54" t="s">
        <v>181</v>
      </c>
      <c r="J701" s="54">
        <v>6.0</v>
      </c>
      <c r="K701" s="54" t="s">
        <v>78</v>
      </c>
      <c r="L701" s="54" t="s">
        <v>122</v>
      </c>
      <c r="M701" s="52" t="s">
        <v>73</v>
      </c>
      <c r="N701" s="55" t="s">
        <v>80</v>
      </c>
    </row>
    <row r="702">
      <c r="A702" s="48">
        <v>1278.0</v>
      </c>
      <c r="B702" s="49">
        <v>45454.0</v>
      </c>
      <c r="C702" s="50">
        <v>400.0</v>
      </c>
      <c r="D702" s="51">
        <v>2465.1044845581055</v>
      </c>
      <c r="E702" s="52" t="s">
        <v>81</v>
      </c>
      <c r="F702" s="52" t="s">
        <v>94</v>
      </c>
      <c r="G702" s="52" t="s">
        <v>856</v>
      </c>
      <c r="H702" s="53"/>
      <c r="I702" s="54" t="s">
        <v>181</v>
      </c>
      <c r="J702" s="54">
        <v>6.0</v>
      </c>
      <c r="K702" s="54" t="s">
        <v>78</v>
      </c>
      <c r="L702" s="54" t="s">
        <v>122</v>
      </c>
      <c r="M702" s="52" t="s">
        <v>73</v>
      </c>
      <c r="N702" s="55" t="s">
        <v>80</v>
      </c>
    </row>
    <row r="703">
      <c r="A703" s="48">
        <v>1279.0</v>
      </c>
      <c r="B703" s="49">
        <v>45454.0</v>
      </c>
      <c r="C703" s="50">
        <v>180.0</v>
      </c>
      <c r="D703" s="51">
        <v>1109.2970180511475</v>
      </c>
      <c r="E703" s="52" t="s">
        <v>81</v>
      </c>
      <c r="F703" s="52" t="s">
        <v>94</v>
      </c>
      <c r="G703" s="52" t="s">
        <v>857</v>
      </c>
      <c r="H703" s="53"/>
      <c r="I703" s="54" t="s">
        <v>181</v>
      </c>
      <c r="J703" s="54">
        <v>6.0</v>
      </c>
      <c r="K703" s="54" t="s">
        <v>78</v>
      </c>
      <c r="L703" s="54" t="s">
        <v>122</v>
      </c>
      <c r="M703" s="52" t="s">
        <v>73</v>
      </c>
      <c r="N703" s="55" t="s">
        <v>80</v>
      </c>
    </row>
    <row r="704">
      <c r="A704" s="48">
        <v>1280.0</v>
      </c>
      <c r="B704" s="49">
        <v>45454.0</v>
      </c>
      <c r="C704" s="50">
        <v>178.0</v>
      </c>
      <c r="D704" s="51">
        <v>1096.971495628357</v>
      </c>
      <c r="E704" s="52" t="s">
        <v>81</v>
      </c>
      <c r="F704" s="52" t="s">
        <v>94</v>
      </c>
      <c r="G704" s="52" t="s">
        <v>858</v>
      </c>
      <c r="H704" s="53"/>
      <c r="I704" s="54" t="s">
        <v>181</v>
      </c>
      <c r="J704" s="54">
        <v>6.0</v>
      </c>
      <c r="K704" s="54" t="s">
        <v>78</v>
      </c>
      <c r="L704" s="54" t="s">
        <v>122</v>
      </c>
      <c r="M704" s="52" t="s">
        <v>73</v>
      </c>
      <c r="N704" s="55" t="s">
        <v>80</v>
      </c>
    </row>
    <row r="705">
      <c r="A705" s="48">
        <v>1281.0</v>
      </c>
      <c r="B705" s="49">
        <v>45454.0</v>
      </c>
      <c r="C705" s="50">
        <v>285.0</v>
      </c>
      <c r="D705" s="51">
        <v>1756.3869452476501</v>
      </c>
      <c r="E705" s="52" t="s">
        <v>81</v>
      </c>
      <c r="F705" s="52" t="s">
        <v>94</v>
      </c>
      <c r="G705" s="52" t="s">
        <v>859</v>
      </c>
      <c r="H705" s="53"/>
      <c r="I705" s="54" t="s">
        <v>181</v>
      </c>
      <c r="J705" s="54">
        <v>6.0</v>
      </c>
      <c r="K705" s="54" t="s">
        <v>78</v>
      </c>
      <c r="L705" s="54" t="s">
        <v>122</v>
      </c>
      <c r="M705" s="52" t="s">
        <v>73</v>
      </c>
      <c r="N705" s="55" t="s">
        <v>80</v>
      </c>
    </row>
    <row r="706">
      <c r="A706" s="48">
        <v>1282.0</v>
      </c>
      <c r="B706" s="49">
        <v>45454.0</v>
      </c>
      <c r="C706" s="50">
        <v>160.0</v>
      </c>
      <c r="D706" s="51">
        <v>986.0417938232422</v>
      </c>
      <c r="E706" s="52" t="s">
        <v>81</v>
      </c>
      <c r="F706" s="52" t="s">
        <v>94</v>
      </c>
      <c r="G706" s="52" t="s">
        <v>860</v>
      </c>
      <c r="H706" s="53"/>
      <c r="I706" s="54" t="s">
        <v>181</v>
      </c>
      <c r="J706" s="54">
        <v>6.0</v>
      </c>
      <c r="K706" s="54" t="s">
        <v>78</v>
      </c>
      <c r="L706" s="54" t="s">
        <v>122</v>
      </c>
      <c r="M706" s="52" t="s">
        <v>73</v>
      </c>
      <c r="N706" s="55" t="s">
        <v>80</v>
      </c>
    </row>
    <row r="707">
      <c r="A707" s="48">
        <v>1283.0</v>
      </c>
      <c r="B707" s="49">
        <v>45454.0</v>
      </c>
      <c r="C707" s="50">
        <v>657.0</v>
      </c>
      <c r="D707" s="51">
        <v>4048.9341158866882</v>
      </c>
      <c r="E707" s="52" t="s">
        <v>81</v>
      </c>
      <c r="F707" s="52" t="s">
        <v>94</v>
      </c>
      <c r="G707" s="52" t="s">
        <v>861</v>
      </c>
      <c r="H707" s="53"/>
      <c r="I707" s="54" t="s">
        <v>181</v>
      </c>
      <c r="J707" s="54">
        <v>6.0</v>
      </c>
      <c r="K707" s="54" t="s">
        <v>78</v>
      </c>
      <c r="L707" s="54" t="s">
        <v>122</v>
      </c>
      <c r="M707" s="52" t="s">
        <v>73</v>
      </c>
      <c r="N707" s="55" t="s">
        <v>80</v>
      </c>
    </row>
    <row r="708">
      <c r="A708" s="48">
        <v>1284.0</v>
      </c>
      <c r="B708" s="49">
        <v>45466.0</v>
      </c>
      <c r="C708" s="50">
        <v>38.896</v>
      </c>
      <c r="D708" s="51">
        <v>225.33529389953614</v>
      </c>
      <c r="E708" s="52" t="s">
        <v>81</v>
      </c>
      <c r="F708" s="52" t="s">
        <v>97</v>
      </c>
      <c r="G708" s="52" t="s">
        <v>862</v>
      </c>
      <c r="H708" s="53"/>
      <c r="I708" s="54" t="s">
        <v>181</v>
      </c>
      <c r="J708" s="54">
        <v>6.0</v>
      </c>
      <c r="K708" s="54" t="s">
        <v>78</v>
      </c>
      <c r="L708" s="54" t="s">
        <v>122</v>
      </c>
      <c r="M708" s="52" t="s">
        <v>73</v>
      </c>
      <c r="N708" s="55" t="s">
        <v>80</v>
      </c>
    </row>
    <row r="709">
      <c r="A709" s="48">
        <v>1289.0</v>
      </c>
      <c r="B709" s="49">
        <v>45458.0</v>
      </c>
      <c r="C709" s="50">
        <v>545.0</v>
      </c>
      <c r="D709" s="51">
        <v>3310.2836775779724</v>
      </c>
      <c r="E709" s="52" t="s">
        <v>81</v>
      </c>
      <c r="F709" s="52" t="s">
        <v>97</v>
      </c>
      <c r="G709" s="52" t="s">
        <v>863</v>
      </c>
      <c r="H709" s="53"/>
      <c r="I709" s="54" t="s">
        <v>181</v>
      </c>
      <c r="J709" s="54">
        <v>6.0</v>
      </c>
      <c r="K709" s="54" t="s">
        <v>78</v>
      </c>
      <c r="L709" s="54" t="s">
        <v>122</v>
      </c>
      <c r="M709" s="52" t="s">
        <v>73</v>
      </c>
      <c r="N709" s="55" t="s">
        <v>80</v>
      </c>
    </row>
    <row r="710">
      <c r="A710" s="48">
        <v>1290.0</v>
      </c>
      <c r="B710" s="49">
        <v>45465.0</v>
      </c>
      <c r="C710" s="50">
        <v>545.0</v>
      </c>
      <c r="D710" s="51">
        <v>3184.159755706787</v>
      </c>
      <c r="E710" s="52" t="s">
        <v>81</v>
      </c>
      <c r="F710" s="52" t="s">
        <v>97</v>
      </c>
      <c r="G710" s="52" t="s">
        <v>864</v>
      </c>
      <c r="H710" s="53"/>
      <c r="I710" s="54" t="s">
        <v>181</v>
      </c>
      <c r="J710" s="54">
        <v>6.0</v>
      </c>
      <c r="K710" s="54" t="s">
        <v>78</v>
      </c>
      <c r="L710" s="54" t="s">
        <v>122</v>
      </c>
      <c r="M710" s="52" t="s">
        <v>73</v>
      </c>
      <c r="N710" s="55" t="s">
        <v>80</v>
      </c>
    </row>
    <row r="711">
      <c r="A711" s="48">
        <v>1293.0</v>
      </c>
      <c r="B711" s="49">
        <v>45457.0</v>
      </c>
      <c r="C711" s="50">
        <v>614.0</v>
      </c>
      <c r="D711" s="51">
        <v>3729.383812904358</v>
      </c>
      <c r="E711" s="52" t="s">
        <v>81</v>
      </c>
      <c r="F711" s="52" t="s">
        <v>97</v>
      </c>
      <c r="G711" s="52" t="s">
        <v>865</v>
      </c>
      <c r="H711" s="53"/>
      <c r="I711" s="54" t="s">
        <v>181</v>
      </c>
      <c r="J711" s="54">
        <v>6.0</v>
      </c>
      <c r="K711" s="54" t="s">
        <v>78</v>
      </c>
      <c r="L711" s="54" t="s">
        <v>122</v>
      </c>
      <c r="M711" s="52" t="s">
        <v>73</v>
      </c>
      <c r="N711" s="55" t="s">
        <v>80</v>
      </c>
    </row>
    <row r="712">
      <c r="A712" s="48">
        <v>1294.0</v>
      </c>
      <c r="B712" s="49">
        <v>45460.0</v>
      </c>
      <c r="C712" s="50">
        <v>178.39</v>
      </c>
      <c r="D712" s="51">
        <v>1033.6294545030594</v>
      </c>
      <c r="E712" s="52" t="s">
        <v>49</v>
      </c>
      <c r="F712" s="52" t="s">
        <v>144</v>
      </c>
      <c r="G712" s="52" t="s">
        <v>866</v>
      </c>
      <c r="H712" s="53"/>
      <c r="I712" s="54" t="s">
        <v>181</v>
      </c>
      <c r="J712" s="54">
        <v>6.0</v>
      </c>
      <c r="K712" s="54" t="s">
        <v>78</v>
      </c>
      <c r="L712" s="54" t="s">
        <v>122</v>
      </c>
      <c r="M712" s="52" t="s">
        <v>73</v>
      </c>
      <c r="N712" s="55" t="s">
        <v>80</v>
      </c>
    </row>
    <row r="713">
      <c r="A713" s="48">
        <v>1297.0</v>
      </c>
      <c r="B713" s="49">
        <v>45457.0</v>
      </c>
      <c r="C713" s="50">
        <v>1520.0</v>
      </c>
      <c r="D713" s="51">
        <v>9232.350807189941</v>
      </c>
      <c r="E713" s="52" t="s">
        <v>46</v>
      </c>
      <c r="F713" s="52" t="s">
        <v>114</v>
      </c>
      <c r="G713" s="52" t="s">
        <v>867</v>
      </c>
      <c r="H713" s="53"/>
      <c r="I713" s="54" t="s">
        <v>181</v>
      </c>
      <c r="J713" s="54">
        <v>6.0</v>
      </c>
      <c r="K713" s="54" t="s">
        <v>78</v>
      </c>
      <c r="L713" s="54" t="s">
        <v>122</v>
      </c>
      <c r="M713" s="52" t="s">
        <v>73</v>
      </c>
      <c r="N713" s="55" t="s">
        <v>80</v>
      </c>
    </row>
    <row r="714">
      <c r="A714" s="48">
        <v>1298.0</v>
      </c>
      <c r="B714" s="49">
        <v>45459.0</v>
      </c>
      <c r="C714" s="50">
        <v>373.3</v>
      </c>
      <c r="D714" s="51">
        <v>2162.979289007187</v>
      </c>
      <c r="E714" s="52" t="s">
        <v>50</v>
      </c>
      <c r="F714" s="52" t="s">
        <v>157</v>
      </c>
      <c r="G714" s="52" t="s">
        <v>868</v>
      </c>
      <c r="H714" s="53"/>
      <c r="I714" s="54" t="s">
        <v>181</v>
      </c>
      <c r="J714" s="54">
        <v>6.0</v>
      </c>
      <c r="K714" s="54" t="s">
        <v>78</v>
      </c>
      <c r="L714" s="54" t="s">
        <v>122</v>
      </c>
      <c r="M714" s="52" t="s">
        <v>73</v>
      </c>
      <c r="N714" s="55" t="s">
        <v>80</v>
      </c>
    </row>
    <row r="715">
      <c r="A715" s="48">
        <v>1299.0</v>
      </c>
      <c r="B715" s="49">
        <v>45459.0</v>
      </c>
      <c r="C715" s="50">
        <v>373.3</v>
      </c>
      <c r="D715" s="51">
        <v>2162.979289007187</v>
      </c>
      <c r="E715" s="52" t="s">
        <v>50</v>
      </c>
      <c r="F715" s="52" t="s">
        <v>157</v>
      </c>
      <c r="G715" s="52" t="s">
        <v>869</v>
      </c>
      <c r="H715" s="53"/>
      <c r="I715" s="54" t="s">
        <v>181</v>
      </c>
      <c r="J715" s="54">
        <v>6.0</v>
      </c>
      <c r="K715" s="54" t="s">
        <v>78</v>
      </c>
      <c r="L715" s="54" t="s">
        <v>122</v>
      </c>
      <c r="M715" s="52" t="s">
        <v>73</v>
      </c>
      <c r="N715" s="55" t="s">
        <v>80</v>
      </c>
    </row>
    <row r="716">
      <c r="A716" s="48">
        <v>1300.0</v>
      </c>
      <c r="B716" s="49">
        <v>45459.0</v>
      </c>
      <c r="C716" s="50">
        <v>373.3</v>
      </c>
      <c r="D716" s="51">
        <v>2156.050510120392</v>
      </c>
      <c r="E716" s="52" t="s">
        <v>50</v>
      </c>
      <c r="F716" s="52" t="s">
        <v>157</v>
      </c>
      <c r="G716" s="52" t="s">
        <v>870</v>
      </c>
      <c r="H716" s="53"/>
      <c r="I716" s="54" t="s">
        <v>181</v>
      </c>
      <c r="J716" s="54">
        <v>6.0</v>
      </c>
      <c r="K716" s="54" t="s">
        <v>78</v>
      </c>
      <c r="L716" s="54" t="s">
        <v>122</v>
      </c>
      <c r="M716" s="52" t="s">
        <v>73</v>
      </c>
      <c r="N716" s="55" t="s">
        <v>80</v>
      </c>
    </row>
    <row r="717">
      <c r="A717" s="48">
        <v>1301.0</v>
      </c>
      <c r="B717" s="49">
        <v>45458.0</v>
      </c>
      <c r="C717" s="50">
        <v>371.66</v>
      </c>
      <c r="D717" s="51">
        <v>2257.4312506580354</v>
      </c>
      <c r="E717" s="52" t="s">
        <v>50</v>
      </c>
      <c r="F717" s="52" t="s">
        <v>157</v>
      </c>
      <c r="G717" s="52" t="s">
        <v>871</v>
      </c>
      <c r="H717" s="53"/>
      <c r="I717" s="54" t="s">
        <v>181</v>
      </c>
      <c r="J717" s="54">
        <v>6.0</v>
      </c>
      <c r="K717" s="54" t="s">
        <v>78</v>
      </c>
      <c r="L717" s="54" t="s">
        <v>122</v>
      </c>
      <c r="M717" s="52" t="s">
        <v>73</v>
      </c>
      <c r="N717" s="55" t="s">
        <v>80</v>
      </c>
    </row>
    <row r="718">
      <c r="A718" s="48">
        <v>1302.0</v>
      </c>
      <c r="B718" s="49">
        <v>45458.0</v>
      </c>
      <c r="C718" s="50">
        <v>230.54</v>
      </c>
      <c r="D718" s="51">
        <v>1400.280365190506</v>
      </c>
      <c r="E718" s="52" t="s">
        <v>50</v>
      </c>
      <c r="F718" s="52" t="s">
        <v>157</v>
      </c>
      <c r="G718" s="52" t="s">
        <v>872</v>
      </c>
      <c r="H718" s="53"/>
      <c r="I718" s="54" t="s">
        <v>181</v>
      </c>
      <c r="J718" s="54">
        <v>6.0</v>
      </c>
      <c r="K718" s="54" t="s">
        <v>78</v>
      </c>
      <c r="L718" s="54" t="s">
        <v>122</v>
      </c>
      <c r="M718" s="52" t="s">
        <v>73</v>
      </c>
      <c r="N718" s="55" t="s">
        <v>80</v>
      </c>
    </row>
    <row r="719">
      <c r="A719" s="48">
        <v>1303.0</v>
      </c>
      <c r="B719" s="49">
        <v>45463.0</v>
      </c>
      <c r="C719" s="50">
        <v>7.38</v>
      </c>
      <c r="D719" s="51">
        <v>41.65930455207825</v>
      </c>
      <c r="E719" s="52" t="s">
        <v>81</v>
      </c>
      <c r="F719" s="52" t="s">
        <v>89</v>
      </c>
      <c r="G719" s="52" t="s">
        <v>764</v>
      </c>
      <c r="H719" s="53"/>
      <c r="I719" s="54" t="s">
        <v>181</v>
      </c>
      <c r="J719" s="54">
        <v>6.0</v>
      </c>
      <c r="K719" s="54" t="s">
        <v>78</v>
      </c>
      <c r="L719" s="54" t="s">
        <v>122</v>
      </c>
      <c r="M719" s="52" t="s">
        <v>73</v>
      </c>
      <c r="N719" s="55" t="s">
        <v>80</v>
      </c>
    </row>
    <row r="720">
      <c r="A720" s="48">
        <v>1304.0</v>
      </c>
      <c r="B720" s="49">
        <v>45456.0</v>
      </c>
      <c r="C720" s="50">
        <v>69.83</v>
      </c>
      <c r="D720" s="51">
        <v>446.0788023471832</v>
      </c>
      <c r="E720" s="52" t="s">
        <v>81</v>
      </c>
      <c r="F720" s="52" t="s">
        <v>89</v>
      </c>
      <c r="G720" s="52" t="s">
        <v>764</v>
      </c>
      <c r="H720" s="53"/>
      <c r="I720" s="54" t="s">
        <v>181</v>
      </c>
      <c r="J720" s="54">
        <v>6.0</v>
      </c>
      <c r="K720" s="54" t="s">
        <v>78</v>
      </c>
      <c r="L720" s="54" t="s">
        <v>122</v>
      </c>
      <c r="M720" s="52" t="s">
        <v>73</v>
      </c>
      <c r="N720" s="55" t="s">
        <v>80</v>
      </c>
    </row>
    <row r="721">
      <c r="A721" s="48">
        <v>1305.0</v>
      </c>
      <c r="B721" s="49">
        <v>45459.0</v>
      </c>
      <c r="C721" s="50">
        <v>21.28</v>
      </c>
      <c r="D721" s="51">
        <v>123.30082847595216</v>
      </c>
      <c r="E721" s="52" t="s">
        <v>81</v>
      </c>
      <c r="F721" s="52" t="s">
        <v>89</v>
      </c>
      <c r="G721" s="52" t="s">
        <v>764</v>
      </c>
      <c r="H721" s="53"/>
      <c r="I721" s="54" t="s">
        <v>181</v>
      </c>
      <c r="J721" s="54">
        <v>6.0</v>
      </c>
      <c r="K721" s="54" t="s">
        <v>78</v>
      </c>
      <c r="L721" s="54" t="s">
        <v>122</v>
      </c>
      <c r="M721" s="52" t="s">
        <v>73</v>
      </c>
      <c r="N721" s="55" t="s">
        <v>80</v>
      </c>
    </row>
    <row r="722">
      <c r="A722" s="48">
        <v>1306.0</v>
      </c>
      <c r="B722" s="49">
        <v>45459.0</v>
      </c>
      <c r="C722" s="50">
        <v>17.42</v>
      </c>
      <c r="D722" s="51">
        <v>100.93517067909242</v>
      </c>
      <c r="E722" s="52" t="s">
        <v>81</v>
      </c>
      <c r="F722" s="52" t="s">
        <v>89</v>
      </c>
      <c r="G722" s="52" t="s">
        <v>764</v>
      </c>
      <c r="H722" s="53"/>
      <c r="I722" s="54" t="s">
        <v>181</v>
      </c>
      <c r="J722" s="54">
        <v>6.0</v>
      </c>
      <c r="K722" s="54" t="s">
        <v>78</v>
      </c>
      <c r="L722" s="54" t="s">
        <v>122</v>
      </c>
      <c r="M722" s="52" t="s">
        <v>73</v>
      </c>
      <c r="N722" s="55" t="s">
        <v>80</v>
      </c>
    </row>
    <row r="723">
      <c r="A723" s="48">
        <v>1307.0</v>
      </c>
      <c r="B723" s="49">
        <v>45462.0</v>
      </c>
      <c r="C723" s="50">
        <v>4.12</v>
      </c>
      <c r="D723" s="51">
        <v>23.117575645446777</v>
      </c>
      <c r="E723" s="52" t="s">
        <v>81</v>
      </c>
      <c r="F723" s="52" t="s">
        <v>89</v>
      </c>
      <c r="G723" s="52" t="s">
        <v>764</v>
      </c>
      <c r="H723" s="53"/>
      <c r="I723" s="54" t="s">
        <v>181</v>
      </c>
      <c r="J723" s="54">
        <v>6.0</v>
      </c>
      <c r="K723" s="54" t="s">
        <v>78</v>
      </c>
      <c r="L723" s="54" t="s">
        <v>122</v>
      </c>
      <c r="M723" s="52" t="s">
        <v>73</v>
      </c>
      <c r="N723" s="55" t="s">
        <v>80</v>
      </c>
    </row>
    <row r="724">
      <c r="A724" s="48">
        <v>1308.0</v>
      </c>
      <c r="B724" s="49">
        <v>45457.0</v>
      </c>
      <c r="C724" s="50">
        <v>30.13</v>
      </c>
      <c r="D724" s="51">
        <v>183.00705909252167</v>
      </c>
      <c r="E724" s="52" t="s">
        <v>81</v>
      </c>
      <c r="F724" s="52" t="s">
        <v>89</v>
      </c>
      <c r="G724" s="52" t="s">
        <v>764</v>
      </c>
      <c r="H724" s="53"/>
      <c r="I724" s="54" t="s">
        <v>181</v>
      </c>
      <c r="J724" s="54">
        <v>6.0</v>
      </c>
      <c r="K724" s="54" t="s">
        <v>78</v>
      </c>
      <c r="L724" s="54" t="s">
        <v>122</v>
      </c>
      <c r="M724" s="52" t="s">
        <v>73</v>
      </c>
      <c r="N724" s="55" t="s">
        <v>80</v>
      </c>
    </row>
    <row r="725">
      <c r="A725" s="48">
        <v>1309.0</v>
      </c>
      <c r="B725" s="49">
        <v>45457.0</v>
      </c>
      <c r="C725" s="50">
        <v>30.45</v>
      </c>
      <c r="D725" s="51">
        <v>184.95071189403532</v>
      </c>
      <c r="E725" s="52" t="s">
        <v>81</v>
      </c>
      <c r="F725" s="52" t="s">
        <v>89</v>
      </c>
      <c r="G725" s="52" t="s">
        <v>764</v>
      </c>
      <c r="H725" s="53"/>
      <c r="I725" s="54" t="s">
        <v>181</v>
      </c>
      <c r="J725" s="54">
        <v>6.0</v>
      </c>
      <c r="K725" s="54" t="s">
        <v>78</v>
      </c>
      <c r="L725" s="54" t="s">
        <v>122</v>
      </c>
      <c r="M725" s="52" t="s">
        <v>73</v>
      </c>
      <c r="N725" s="55" t="s">
        <v>80</v>
      </c>
    </row>
    <row r="726">
      <c r="A726" s="48">
        <v>1310.0</v>
      </c>
      <c r="B726" s="49">
        <v>45467.0</v>
      </c>
      <c r="C726" s="50">
        <v>1670.0</v>
      </c>
      <c r="D726" s="51">
        <v>10490.011601448059</v>
      </c>
      <c r="E726" s="52" t="s">
        <v>46</v>
      </c>
      <c r="F726" s="52" t="s">
        <v>112</v>
      </c>
      <c r="G726" s="52" t="s">
        <v>873</v>
      </c>
      <c r="H726" s="53"/>
      <c r="I726" s="54" t="s">
        <v>181</v>
      </c>
      <c r="J726" s="54">
        <v>6.0</v>
      </c>
      <c r="K726" s="54" t="s">
        <v>78</v>
      </c>
      <c r="L726" s="54" t="s">
        <v>122</v>
      </c>
      <c r="M726" s="52" t="s">
        <v>73</v>
      </c>
      <c r="N726" s="55" t="s">
        <v>80</v>
      </c>
    </row>
    <row r="727">
      <c r="A727" s="48">
        <v>1311.0</v>
      </c>
      <c r="B727" s="49">
        <v>45467.0</v>
      </c>
      <c r="C727" s="50">
        <v>18360.0</v>
      </c>
      <c r="D727" s="51">
        <v>115327.31317520142</v>
      </c>
      <c r="E727" s="52" t="s">
        <v>46</v>
      </c>
      <c r="F727" s="52" t="s">
        <v>112</v>
      </c>
      <c r="G727" s="52" t="s">
        <v>874</v>
      </c>
      <c r="H727" s="53"/>
      <c r="I727" s="54" t="s">
        <v>181</v>
      </c>
      <c r="J727" s="54">
        <v>6.0</v>
      </c>
      <c r="K727" s="54" t="s">
        <v>78</v>
      </c>
      <c r="L727" s="54" t="s">
        <v>122</v>
      </c>
      <c r="M727" s="52" t="s">
        <v>73</v>
      </c>
      <c r="N727" s="55" t="s">
        <v>80</v>
      </c>
    </row>
    <row r="728">
      <c r="A728" s="48">
        <v>1312.0</v>
      </c>
      <c r="B728" s="49">
        <v>45459.0</v>
      </c>
      <c r="C728" s="50">
        <v>1674.85</v>
      </c>
      <c r="D728" s="51">
        <v>9704.435741209983</v>
      </c>
      <c r="E728" s="52" t="s">
        <v>49</v>
      </c>
      <c r="F728" s="52" t="s">
        <v>140</v>
      </c>
      <c r="G728" s="52" t="s">
        <v>875</v>
      </c>
      <c r="H728" s="53"/>
      <c r="I728" s="54" t="s">
        <v>181</v>
      </c>
      <c r="J728" s="54">
        <v>6.0</v>
      </c>
      <c r="K728" s="54" t="s">
        <v>78</v>
      </c>
      <c r="L728" s="54" t="s">
        <v>122</v>
      </c>
      <c r="M728" s="52" t="s">
        <v>73</v>
      </c>
      <c r="N728" s="55" t="s">
        <v>80</v>
      </c>
    </row>
    <row r="729">
      <c r="A729" s="48">
        <v>1313.0</v>
      </c>
      <c r="B729" s="49">
        <v>45460.0</v>
      </c>
      <c r="C729" s="50">
        <v>1583.17</v>
      </c>
      <c r="D729" s="51">
        <v>9173.222397475243</v>
      </c>
      <c r="E729" s="52" t="s">
        <v>49</v>
      </c>
      <c r="F729" s="52" t="s">
        <v>140</v>
      </c>
      <c r="G729" s="52" t="s">
        <v>876</v>
      </c>
      <c r="H729" s="53"/>
      <c r="I729" s="54" t="s">
        <v>181</v>
      </c>
      <c r="J729" s="54">
        <v>6.0</v>
      </c>
      <c r="K729" s="54" t="s">
        <v>78</v>
      </c>
      <c r="L729" s="54" t="s">
        <v>122</v>
      </c>
      <c r="M729" s="52" t="s">
        <v>73</v>
      </c>
      <c r="N729" s="55" t="s">
        <v>80</v>
      </c>
    </row>
    <row r="730">
      <c r="A730" s="48">
        <v>1314.0</v>
      </c>
      <c r="B730" s="49">
        <v>45459.0</v>
      </c>
      <c r="C730" s="50">
        <v>1726.05</v>
      </c>
      <c r="D730" s="51">
        <v>10001.09938867092</v>
      </c>
      <c r="E730" s="52" t="s">
        <v>49</v>
      </c>
      <c r="F730" s="52" t="s">
        <v>140</v>
      </c>
      <c r="G730" s="52" t="s">
        <v>877</v>
      </c>
      <c r="H730" s="53"/>
      <c r="I730" s="54" t="s">
        <v>181</v>
      </c>
      <c r="J730" s="54">
        <v>6.0</v>
      </c>
      <c r="K730" s="54" t="s">
        <v>78</v>
      </c>
      <c r="L730" s="54" t="s">
        <v>122</v>
      </c>
      <c r="M730" s="52" t="s">
        <v>73</v>
      </c>
      <c r="N730" s="55" t="s">
        <v>80</v>
      </c>
    </row>
    <row r="731">
      <c r="A731" s="48">
        <v>1315.0</v>
      </c>
      <c r="B731" s="49">
        <v>45459.0</v>
      </c>
      <c r="C731" s="50">
        <v>1954.91</v>
      </c>
      <c r="D731" s="51">
        <v>11327.162715973855</v>
      </c>
      <c r="E731" s="52" t="s">
        <v>49</v>
      </c>
      <c r="F731" s="52" t="s">
        <v>140</v>
      </c>
      <c r="G731" s="52" t="s">
        <v>878</v>
      </c>
      <c r="H731" s="53"/>
      <c r="I731" s="54" t="s">
        <v>181</v>
      </c>
      <c r="J731" s="54">
        <v>6.0</v>
      </c>
      <c r="K731" s="54" t="s">
        <v>78</v>
      </c>
      <c r="L731" s="54" t="s">
        <v>122</v>
      </c>
      <c r="M731" s="52" t="s">
        <v>73</v>
      </c>
      <c r="N731" s="55" t="s">
        <v>80</v>
      </c>
    </row>
    <row r="732">
      <c r="A732" s="48">
        <v>1316.0</v>
      </c>
      <c r="B732" s="49">
        <v>45464.0</v>
      </c>
      <c r="C732" s="50">
        <v>1583.17</v>
      </c>
      <c r="D732" s="51">
        <v>9063.149855589867</v>
      </c>
      <c r="E732" s="52" t="s">
        <v>49</v>
      </c>
      <c r="F732" s="52" t="s">
        <v>140</v>
      </c>
      <c r="G732" s="52" t="s">
        <v>879</v>
      </c>
      <c r="H732" s="53"/>
      <c r="I732" s="54" t="s">
        <v>181</v>
      </c>
      <c r="J732" s="54">
        <v>6.0</v>
      </c>
      <c r="K732" s="54" t="s">
        <v>78</v>
      </c>
      <c r="L732" s="54" t="s">
        <v>122</v>
      </c>
      <c r="M732" s="52" t="s">
        <v>73</v>
      </c>
      <c r="N732" s="55" t="s">
        <v>80</v>
      </c>
    </row>
    <row r="733">
      <c r="A733" s="48">
        <v>1317.0</v>
      </c>
      <c r="B733" s="49">
        <v>45459.0</v>
      </c>
      <c r="C733" s="50">
        <v>305.64</v>
      </c>
      <c r="D733" s="51">
        <v>1770.9429142570496</v>
      </c>
      <c r="E733" s="52" t="s">
        <v>49</v>
      </c>
      <c r="F733" s="52" t="s">
        <v>140</v>
      </c>
      <c r="G733" s="52" t="s">
        <v>880</v>
      </c>
      <c r="H733" s="53"/>
      <c r="I733" s="54" t="s">
        <v>181</v>
      </c>
      <c r="J733" s="54">
        <v>6.0</v>
      </c>
      <c r="K733" s="54" t="s">
        <v>78</v>
      </c>
      <c r="L733" s="54" t="s">
        <v>122</v>
      </c>
      <c r="M733" s="52" t="s">
        <v>73</v>
      </c>
      <c r="N733" s="55" t="s">
        <v>80</v>
      </c>
    </row>
    <row r="734">
      <c r="A734" s="48">
        <v>1319.0</v>
      </c>
      <c r="B734" s="49">
        <v>45459.0</v>
      </c>
      <c r="C734" s="50">
        <v>1954.67</v>
      </c>
      <c r="D734" s="51">
        <v>11325.772105126382</v>
      </c>
      <c r="E734" s="52" t="s">
        <v>49</v>
      </c>
      <c r="F734" s="52" t="s">
        <v>140</v>
      </c>
      <c r="G734" s="52" t="s">
        <v>881</v>
      </c>
      <c r="H734" s="53"/>
      <c r="I734" s="54" t="s">
        <v>181</v>
      </c>
      <c r="J734" s="54">
        <v>6.0</v>
      </c>
      <c r="K734" s="54" t="s">
        <v>78</v>
      </c>
      <c r="L734" s="54" t="s">
        <v>122</v>
      </c>
      <c r="M734" s="52" t="s">
        <v>73</v>
      </c>
      <c r="N734" s="55" t="s">
        <v>80</v>
      </c>
    </row>
    <row r="735">
      <c r="A735" s="48">
        <v>1320.0</v>
      </c>
      <c r="B735" s="49">
        <v>45467.0</v>
      </c>
      <c r="C735" s="50">
        <v>1668.9</v>
      </c>
      <c r="D735" s="51">
        <v>9668.399629497528</v>
      </c>
      <c r="E735" s="52" t="s">
        <v>49</v>
      </c>
      <c r="F735" s="52" t="s">
        <v>140</v>
      </c>
      <c r="G735" s="52" t="s">
        <v>882</v>
      </c>
      <c r="H735" s="53"/>
      <c r="I735" s="54" t="s">
        <v>181</v>
      </c>
      <c r="J735" s="54">
        <v>6.0</v>
      </c>
      <c r="K735" s="54" t="s">
        <v>78</v>
      </c>
      <c r="L735" s="54" t="s">
        <v>122</v>
      </c>
      <c r="M735" s="52" t="s">
        <v>73</v>
      </c>
      <c r="N735" s="55" t="s">
        <v>80</v>
      </c>
    </row>
    <row r="736">
      <c r="A736" s="48">
        <v>1321.0</v>
      </c>
      <c r="B736" s="49">
        <v>45461.0</v>
      </c>
      <c r="C736" s="50">
        <v>1668.9</v>
      </c>
      <c r="D736" s="51">
        <v>9413.879392147064</v>
      </c>
      <c r="E736" s="52" t="s">
        <v>49</v>
      </c>
      <c r="F736" s="52" t="s">
        <v>140</v>
      </c>
      <c r="G736" s="52" t="s">
        <v>883</v>
      </c>
      <c r="H736" s="53"/>
      <c r="I736" s="54" t="s">
        <v>181</v>
      </c>
      <c r="J736" s="54">
        <v>6.0</v>
      </c>
      <c r="K736" s="54" t="s">
        <v>78</v>
      </c>
      <c r="L736" s="54" t="s">
        <v>122</v>
      </c>
      <c r="M736" s="52" t="s">
        <v>73</v>
      </c>
      <c r="N736" s="55" t="s">
        <v>80</v>
      </c>
    </row>
    <row r="737">
      <c r="A737" s="48">
        <v>1322.0</v>
      </c>
      <c r="B737" s="49">
        <v>45460.0</v>
      </c>
      <c r="C737" s="50">
        <v>1851.79</v>
      </c>
      <c r="D737" s="51">
        <v>10729.66358850956</v>
      </c>
      <c r="E737" s="52" t="s">
        <v>49</v>
      </c>
      <c r="F737" s="52" t="s">
        <v>140</v>
      </c>
      <c r="G737" s="52" t="s">
        <v>884</v>
      </c>
      <c r="H737" s="53"/>
      <c r="I737" s="54" t="s">
        <v>181</v>
      </c>
      <c r="J737" s="54">
        <v>6.0</v>
      </c>
      <c r="K737" s="54" t="s">
        <v>78</v>
      </c>
      <c r="L737" s="54" t="s">
        <v>122</v>
      </c>
      <c r="M737" s="52" t="s">
        <v>73</v>
      </c>
      <c r="N737" s="55" t="s">
        <v>80</v>
      </c>
    </row>
    <row r="738">
      <c r="A738" s="48">
        <v>1324.0</v>
      </c>
      <c r="B738" s="49">
        <v>45461.0</v>
      </c>
      <c r="C738" s="50">
        <v>19.0</v>
      </c>
      <c r="D738" s="51">
        <v>106.61017894744873</v>
      </c>
      <c r="E738" s="52" t="s">
        <v>50</v>
      </c>
      <c r="F738" s="52" t="s">
        <v>157</v>
      </c>
      <c r="G738" s="52" t="s">
        <v>885</v>
      </c>
      <c r="H738" s="53"/>
      <c r="I738" s="54" t="s">
        <v>181</v>
      </c>
      <c r="J738" s="54">
        <v>6.0</v>
      </c>
      <c r="K738" s="54" t="s">
        <v>78</v>
      </c>
      <c r="L738" s="54" t="s">
        <v>122</v>
      </c>
      <c r="M738" s="52" t="s">
        <v>73</v>
      </c>
      <c r="N738" s="55" t="s">
        <v>80</v>
      </c>
    </row>
    <row r="739">
      <c r="A739" s="48">
        <v>1325.0</v>
      </c>
      <c r="B739" s="49">
        <v>45461.0</v>
      </c>
      <c r="C739" s="50">
        <v>5.9231000904</v>
      </c>
      <c r="D739" s="51">
        <v>33.23488213479967</v>
      </c>
      <c r="E739" s="52" t="s">
        <v>49</v>
      </c>
      <c r="F739" s="52" t="s">
        <v>140</v>
      </c>
      <c r="G739" s="52" t="s">
        <v>886</v>
      </c>
      <c r="H739" s="53"/>
      <c r="I739" s="54" t="s">
        <v>181</v>
      </c>
      <c r="J739" s="54">
        <v>6.0</v>
      </c>
      <c r="K739" s="54" t="s">
        <v>78</v>
      </c>
      <c r="L739" s="54" t="s">
        <v>122</v>
      </c>
      <c r="M739" s="52" t="s">
        <v>73</v>
      </c>
      <c r="N739" s="55" t="s">
        <v>80</v>
      </c>
    </row>
    <row r="740">
      <c r="A740" s="48">
        <v>1326.0</v>
      </c>
      <c r="B740" s="49">
        <v>45462.0</v>
      </c>
      <c r="C740" s="50">
        <v>57.0712420112</v>
      </c>
      <c r="D740" s="51">
        <v>320.2302801877466</v>
      </c>
      <c r="E740" s="52" t="s">
        <v>49</v>
      </c>
      <c r="F740" s="52" t="s">
        <v>140</v>
      </c>
      <c r="G740" s="52" t="s">
        <v>887</v>
      </c>
      <c r="H740" s="53"/>
      <c r="I740" s="54" t="s">
        <v>181</v>
      </c>
      <c r="J740" s="54">
        <v>6.0</v>
      </c>
      <c r="K740" s="54" t="s">
        <v>78</v>
      </c>
      <c r="L740" s="54" t="s">
        <v>122</v>
      </c>
      <c r="M740" s="52" t="s">
        <v>73</v>
      </c>
      <c r="N740" s="55" t="s">
        <v>80</v>
      </c>
    </row>
    <row r="741">
      <c r="A741" s="48">
        <v>1327.0</v>
      </c>
      <c r="B741" s="49">
        <v>45462.0</v>
      </c>
      <c r="C741" s="50">
        <v>57.0429661745</v>
      </c>
      <c r="D741" s="51">
        <v>320.07162271351103</v>
      </c>
      <c r="E741" s="52" t="s">
        <v>49</v>
      </c>
      <c r="F741" s="52" t="s">
        <v>140</v>
      </c>
      <c r="G741" s="52" t="s">
        <v>888</v>
      </c>
      <c r="H741" s="53"/>
      <c r="I741" s="54" t="s">
        <v>181</v>
      </c>
      <c r="J741" s="54">
        <v>6.0</v>
      </c>
      <c r="K741" s="54" t="s">
        <v>78</v>
      </c>
      <c r="L741" s="54" t="s">
        <v>122</v>
      </c>
      <c r="M741" s="52" t="s">
        <v>73</v>
      </c>
      <c r="N741" s="55" t="s">
        <v>80</v>
      </c>
    </row>
    <row r="742">
      <c r="A742" s="48">
        <v>1330.0</v>
      </c>
      <c r="B742" s="49">
        <v>45461.0</v>
      </c>
      <c r="C742" s="50">
        <v>42.0445374944</v>
      </c>
      <c r="D742" s="51">
        <v>235.91450873898427</v>
      </c>
      <c r="E742" s="52" t="s">
        <v>49</v>
      </c>
      <c r="F742" s="52" t="s">
        <v>140</v>
      </c>
      <c r="G742" s="52" t="s">
        <v>889</v>
      </c>
      <c r="H742" s="53"/>
      <c r="I742" s="54" t="s">
        <v>181</v>
      </c>
      <c r="J742" s="54">
        <v>6.0</v>
      </c>
      <c r="K742" s="54" t="s">
        <v>78</v>
      </c>
      <c r="L742" s="54" t="s">
        <v>122</v>
      </c>
      <c r="M742" s="52" t="s">
        <v>73</v>
      </c>
      <c r="N742" s="55" t="s">
        <v>80</v>
      </c>
    </row>
    <row r="743">
      <c r="A743" s="48">
        <v>1334.0</v>
      </c>
      <c r="B743" s="49">
        <v>45460.0</v>
      </c>
      <c r="C743" s="50">
        <v>41.8751081741</v>
      </c>
      <c r="D743" s="51">
        <v>236.20781226202232</v>
      </c>
      <c r="E743" s="52" t="s">
        <v>49</v>
      </c>
      <c r="F743" s="52" t="s">
        <v>140</v>
      </c>
      <c r="G743" s="52" t="s">
        <v>890</v>
      </c>
      <c r="H743" s="53"/>
      <c r="I743" s="54" t="s">
        <v>181</v>
      </c>
      <c r="J743" s="54">
        <v>6.0</v>
      </c>
      <c r="K743" s="54" t="s">
        <v>78</v>
      </c>
      <c r="L743" s="54" t="s">
        <v>122</v>
      </c>
      <c r="M743" s="52" t="s">
        <v>73</v>
      </c>
      <c r="N743" s="55" t="s">
        <v>80</v>
      </c>
    </row>
    <row r="744">
      <c r="A744" s="48">
        <v>1336.0</v>
      </c>
      <c r="B744" s="49">
        <v>45461.0</v>
      </c>
      <c r="C744" s="50">
        <v>56.8945180315</v>
      </c>
      <c r="D744" s="51">
        <v>319.2386709719507</v>
      </c>
      <c r="E744" s="52" t="s">
        <v>49</v>
      </c>
      <c r="F744" s="52" t="s">
        <v>140</v>
      </c>
      <c r="G744" s="52" t="s">
        <v>891</v>
      </c>
      <c r="H744" s="53"/>
      <c r="I744" s="54" t="s">
        <v>181</v>
      </c>
      <c r="J744" s="54">
        <v>6.0</v>
      </c>
      <c r="K744" s="54" t="s">
        <v>78</v>
      </c>
      <c r="L744" s="54" t="s">
        <v>122</v>
      </c>
      <c r="M744" s="52" t="s">
        <v>73</v>
      </c>
      <c r="N744" s="55" t="s">
        <v>80</v>
      </c>
    </row>
    <row r="745">
      <c r="A745" s="48">
        <v>1338.0</v>
      </c>
      <c r="B745" s="49">
        <v>45468.0</v>
      </c>
      <c r="C745" s="50">
        <v>9.9342083802</v>
      </c>
      <c r="D745" s="51">
        <v>62.401174347006304</v>
      </c>
      <c r="E745" s="52" t="s">
        <v>49</v>
      </c>
      <c r="F745" s="52" t="s">
        <v>140</v>
      </c>
      <c r="G745" s="52" t="s">
        <v>892</v>
      </c>
      <c r="H745" s="53"/>
      <c r="I745" s="54" t="s">
        <v>181</v>
      </c>
      <c r="J745" s="54">
        <v>6.0</v>
      </c>
      <c r="K745" s="54" t="s">
        <v>78</v>
      </c>
      <c r="L745" s="54" t="s">
        <v>122</v>
      </c>
      <c r="M745" s="52" t="s">
        <v>73</v>
      </c>
      <c r="N745" s="55" t="s">
        <v>80</v>
      </c>
    </row>
    <row r="746">
      <c r="A746" s="48">
        <v>1340.0</v>
      </c>
      <c r="B746" s="49">
        <v>45468.0</v>
      </c>
      <c r="C746" s="50">
        <v>9.9342083802</v>
      </c>
      <c r="D746" s="51">
        <v>62.401174347006304</v>
      </c>
      <c r="E746" s="52" t="s">
        <v>49</v>
      </c>
      <c r="F746" s="52" t="s">
        <v>140</v>
      </c>
      <c r="G746" s="52" t="s">
        <v>893</v>
      </c>
      <c r="H746" s="53"/>
      <c r="I746" s="54" t="s">
        <v>181</v>
      </c>
      <c r="J746" s="54">
        <v>6.0</v>
      </c>
      <c r="K746" s="54" t="s">
        <v>78</v>
      </c>
      <c r="L746" s="54" t="s">
        <v>122</v>
      </c>
      <c r="M746" s="52" t="s">
        <v>73</v>
      </c>
      <c r="N746" s="55" t="s">
        <v>80</v>
      </c>
    </row>
    <row r="747">
      <c r="A747" s="48">
        <v>1341.0</v>
      </c>
      <c r="B747" s="49">
        <v>45461.0</v>
      </c>
      <c r="C747" s="50">
        <v>5.9231000904</v>
      </c>
      <c r="D747" s="51">
        <v>33.23488213479967</v>
      </c>
      <c r="E747" s="52" t="s">
        <v>49</v>
      </c>
      <c r="F747" s="52" t="s">
        <v>140</v>
      </c>
      <c r="G747" s="52" t="s">
        <v>886</v>
      </c>
      <c r="H747" s="53"/>
      <c r="I747" s="54" t="s">
        <v>181</v>
      </c>
      <c r="J747" s="54">
        <v>6.0</v>
      </c>
      <c r="K747" s="54" t="s">
        <v>78</v>
      </c>
      <c r="L747" s="54" t="s">
        <v>122</v>
      </c>
      <c r="M747" s="52" t="s">
        <v>73</v>
      </c>
      <c r="N747" s="55" t="s">
        <v>80</v>
      </c>
    </row>
    <row r="748">
      <c r="A748" s="48">
        <v>1342.0</v>
      </c>
      <c r="B748" s="49">
        <v>45462.0</v>
      </c>
      <c r="C748" s="50">
        <v>57.0895442263</v>
      </c>
      <c r="D748" s="51">
        <v>320.3329750523227</v>
      </c>
      <c r="E748" s="52" t="s">
        <v>49</v>
      </c>
      <c r="F748" s="52" t="s">
        <v>140</v>
      </c>
      <c r="G748" s="52" t="s">
        <v>894</v>
      </c>
      <c r="H748" s="53"/>
      <c r="I748" s="54" t="s">
        <v>181</v>
      </c>
      <c r="J748" s="54">
        <v>6.0</v>
      </c>
      <c r="K748" s="54" t="s">
        <v>78</v>
      </c>
      <c r="L748" s="54" t="s">
        <v>122</v>
      </c>
      <c r="M748" s="52" t="s">
        <v>73</v>
      </c>
      <c r="N748" s="55" t="s">
        <v>80</v>
      </c>
    </row>
    <row r="749">
      <c r="A749" s="48">
        <v>1343.0</v>
      </c>
      <c r="B749" s="49">
        <v>45461.0</v>
      </c>
      <c r="C749" s="50">
        <v>56.9913135842</v>
      </c>
      <c r="D749" s="51">
        <v>319.78179682430147</v>
      </c>
      <c r="E749" s="52" t="s">
        <v>49</v>
      </c>
      <c r="F749" s="52" t="s">
        <v>140</v>
      </c>
      <c r="G749" s="52" t="s">
        <v>895</v>
      </c>
      <c r="H749" s="53"/>
      <c r="I749" s="54" t="s">
        <v>181</v>
      </c>
      <c r="J749" s="54">
        <v>6.0</v>
      </c>
      <c r="K749" s="54" t="s">
        <v>78</v>
      </c>
      <c r="L749" s="54" t="s">
        <v>122</v>
      </c>
      <c r="M749" s="52" t="s">
        <v>73</v>
      </c>
      <c r="N749" s="55" t="s">
        <v>80</v>
      </c>
    </row>
    <row r="750">
      <c r="A750" s="48">
        <v>1345.0</v>
      </c>
      <c r="B750" s="49">
        <v>45460.0</v>
      </c>
      <c r="C750" s="50">
        <v>56.7667864023</v>
      </c>
      <c r="D750" s="51">
        <v>320.2083292414322</v>
      </c>
      <c r="E750" s="52" t="s">
        <v>49</v>
      </c>
      <c r="F750" s="52" t="s">
        <v>140</v>
      </c>
      <c r="G750" s="52" t="s">
        <v>896</v>
      </c>
      <c r="H750" s="53"/>
      <c r="I750" s="54" t="s">
        <v>181</v>
      </c>
      <c r="J750" s="54">
        <v>6.0</v>
      </c>
      <c r="K750" s="54" t="s">
        <v>78</v>
      </c>
      <c r="L750" s="54" t="s">
        <v>122</v>
      </c>
      <c r="M750" s="52" t="s">
        <v>73</v>
      </c>
      <c r="N750" s="55" t="s">
        <v>80</v>
      </c>
    </row>
    <row r="751">
      <c r="A751" s="48">
        <v>1346.0</v>
      </c>
      <c r="B751" s="49">
        <v>45462.0</v>
      </c>
      <c r="C751" s="50">
        <v>57.1737419195</v>
      </c>
      <c r="D751" s="51">
        <v>328.6272341609642</v>
      </c>
      <c r="E751" s="52" t="s">
        <v>49</v>
      </c>
      <c r="F751" s="52" t="s">
        <v>140</v>
      </c>
      <c r="G751" s="52" t="s">
        <v>897</v>
      </c>
      <c r="H751" s="53"/>
      <c r="I751" s="54" t="s">
        <v>181</v>
      </c>
      <c r="J751" s="54">
        <v>6.0</v>
      </c>
      <c r="K751" s="54" t="s">
        <v>78</v>
      </c>
      <c r="L751" s="54" t="s">
        <v>122</v>
      </c>
      <c r="M751" s="52" t="s">
        <v>73</v>
      </c>
      <c r="N751" s="55" t="s">
        <v>80</v>
      </c>
    </row>
    <row r="752">
      <c r="A752" s="48">
        <v>1347.0</v>
      </c>
      <c r="B752" s="49">
        <v>45466.0</v>
      </c>
      <c r="C752" s="50">
        <v>41.4736451113</v>
      </c>
      <c r="D752" s="51">
        <v>242.30956272636146</v>
      </c>
      <c r="E752" s="52" t="s">
        <v>49</v>
      </c>
      <c r="F752" s="52" t="s">
        <v>140</v>
      </c>
      <c r="G752" s="52" t="s">
        <v>898</v>
      </c>
      <c r="H752" s="53"/>
      <c r="I752" s="54" t="s">
        <v>181</v>
      </c>
      <c r="J752" s="54">
        <v>6.0</v>
      </c>
      <c r="K752" s="54" t="s">
        <v>78</v>
      </c>
      <c r="L752" s="54" t="s">
        <v>122</v>
      </c>
      <c r="M752" s="52" t="s">
        <v>73</v>
      </c>
      <c r="N752" s="55" t="s">
        <v>80</v>
      </c>
    </row>
    <row r="753">
      <c r="A753" s="48">
        <v>1348.0</v>
      </c>
      <c r="B753" s="49">
        <v>45461.0</v>
      </c>
      <c r="C753" s="50">
        <v>42.0738875109</v>
      </c>
      <c r="D753" s="51">
        <v>236.0791935027304</v>
      </c>
      <c r="E753" s="52" t="s">
        <v>49</v>
      </c>
      <c r="F753" s="52" t="s">
        <v>140</v>
      </c>
      <c r="G753" s="52" t="s">
        <v>899</v>
      </c>
      <c r="H753" s="53"/>
      <c r="I753" s="54" t="s">
        <v>181</v>
      </c>
      <c r="J753" s="54">
        <v>6.0</v>
      </c>
      <c r="K753" s="54" t="s">
        <v>78</v>
      </c>
      <c r="L753" s="54" t="s">
        <v>122</v>
      </c>
      <c r="M753" s="52" t="s">
        <v>73</v>
      </c>
      <c r="N753" s="55" t="s">
        <v>80</v>
      </c>
    </row>
    <row r="754">
      <c r="A754" s="48">
        <v>1353.0</v>
      </c>
      <c r="B754" s="49">
        <v>45462.0</v>
      </c>
      <c r="C754" s="50">
        <v>57.0720030402</v>
      </c>
      <c r="D754" s="51">
        <v>320.2345503686874</v>
      </c>
      <c r="E754" s="52" t="s">
        <v>49</v>
      </c>
      <c r="F754" s="52" t="s">
        <v>140</v>
      </c>
      <c r="G754" s="52" t="s">
        <v>900</v>
      </c>
      <c r="H754" s="53"/>
      <c r="I754" s="54" t="s">
        <v>181</v>
      </c>
      <c r="J754" s="54">
        <v>6.0</v>
      </c>
      <c r="K754" s="54" t="s">
        <v>78</v>
      </c>
      <c r="L754" s="54" t="s">
        <v>122</v>
      </c>
      <c r="M754" s="52" t="s">
        <v>73</v>
      </c>
      <c r="N754" s="55" t="s">
        <v>80</v>
      </c>
    </row>
    <row r="755">
      <c r="A755" s="48">
        <v>1354.0</v>
      </c>
      <c r="B755" s="49">
        <v>45468.0</v>
      </c>
      <c r="C755" s="50">
        <v>9.9084626671</v>
      </c>
      <c r="D755" s="51">
        <v>62.23945409005628</v>
      </c>
      <c r="E755" s="52" t="s">
        <v>49</v>
      </c>
      <c r="F755" s="52" t="s">
        <v>140</v>
      </c>
      <c r="G755" s="52" t="s">
        <v>901</v>
      </c>
      <c r="H755" s="53"/>
      <c r="I755" s="54" t="s">
        <v>181</v>
      </c>
      <c r="J755" s="54">
        <v>6.0</v>
      </c>
      <c r="K755" s="54" t="s">
        <v>78</v>
      </c>
      <c r="L755" s="54" t="s">
        <v>122</v>
      </c>
      <c r="M755" s="52" t="s">
        <v>73</v>
      </c>
      <c r="N755" s="55" t="s">
        <v>80</v>
      </c>
    </row>
    <row r="756">
      <c r="A756" s="48">
        <v>1356.0</v>
      </c>
      <c r="B756" s="49">
        <v>45468.0</v>
      </c>
      <c r="C756" s="50">
        <v>9.9084626671</v>
      </c>
      <c r="D756" s="51">
        <v>62.23945409005628</v>
      </c>
      <c r="E756" s="52" t="s">
        <v>49</v>
      </c>
      <c r="F756" s="52" t="s">
        <v>140</v>
      </c>
      <c r="G756" s="52" t="s">
        <v>902</v>
      </c>
      <c r="H756" s="53"/>
      <c r="I756" s="54" t="s">
        <v>181</v>
      </c>
      <c r="J756" s="54">
        <v>6.0</v>
      </c>
      <c r="K756" s="54" t="s">
        <v>78</v>
      </c>
      <c r="L756" s="54" t="s">
        <v>122</v>
      </c>
      <c r="M756" s="52" t="s">
        <v>73</v>
      </c>
      <c r="N756" s="55" t="s">
        <v>80</v>
      </c>
    </row>
    <row r="757">
      <c r="A757" s="48">
        <v>1357.0</v>
      </c>
      <c r="B757" s="49">
        <v>45463.0</v>
      </c>
      <c r="C757" s="50">
        <v>31.72</v>
      </c>
      <c r="D757" s="51">
        <v>182.3224353981018</v>
      </c>
      <c r="E757" s="52" t="s">
        <v>81</v>
      </c>
      <c r="F757" s="52" t="s">
        <v>89</v>
      </c>
      <c r="G757" s="52" t="s">
        <v>903</v>
      </c>
      <c r="H757" s="53"/>
      <c r="I757" s="54" t="s">
        <v>181</v>
      </c>
      <c r="J757" s="54">
        <v>6.0</v>
      </c>
      <c r="K757" s="54" t="s">
        <v>78</v>
      </c>
      <c r="L757" s="54" t="s">
        <v>122</v>
      </c>
      <c r="M757" s="52" t="s">
        <v>73</v>
      </c>
      <c r="N757" s="55" t="s">
        <v>80</v>
      </c>
    </row>
    <row r="758">
      <c r="A758" s="48">
        <v>1358.0</v>
      </c>
      <c r="B758" s="49">
        <v>45462.0</v>
      </c>
      <c r="C758" s="50">
        <v>20.8</v>
      </c>
      <c r="D758" s="51">
        <v>119.55569534301758</v>
      </c>
      <c r="E758" s="52" t="s">
        <v>81</v>
      </c>
      <c r="F758" s="52" t="s">
        <v>89</v>
      </c>
      <c r="G758" s="52" t="s">
        <v>904</v>
      </c>
      <c r="H758" s="53"/>
      <c r="I758" s="54" t="s">
        <v>181</v>
      </c>
      <c r="J758" s="54">
        <v>6.0</v>
      </c>
      <c r="K758" s="54" t="s">
        <v>78</v>
      </c>
      <c r="L758" s="54" t="s">
        <v>122</v>
      </c>
      <c r="M758" s="52" t="s">
        <v>73</v>
      </c>
      <c r="N758" s="55" t="s">
        <v>80</v>
      </c>
    </row>
    <row r="759">
      <c r="A759" s="48">
        <v>1359.0</v>
      </c>
      <c r="B759" s="49">
        <v>45462.0</v>
      </c>
      <c r="C759" s="50">
        <v>8.79</v>
      </c>
      <c r="D759" s="51">
        <v>50.52377702236175</v>
      </c>
      <c r="E759" s="52" t="s">
        <v>81</v>
      </c>
      <c r="F759" s="52" t="s">
        <v>89</v>
      </c>
      <c r="G759" s="52" t="s">
        <v>905</v>
      </c>
      <c r="H759" s="53"/>
      <c r="I759" s="54" t="s">
        <v>181</v>
      </c>
      <c r="J759" s="54">
        <v>6.0</v>
      </c>
      <c r="K759" s="54" t="s">
        <v>78</v>
      </c>
      <c r="L759" s="54" t="s">
        <v>122</v>
      </c>
      <c r="M759" s="52" t="s">
        <v>73</v>
      </c>
      <c r="N759" s="55" t="s">
        <v>80</v>
      </c>
    </row>
    <row r="760">
      <c r="A760" s="48">
        <v>1360.0</v>
      </c>
      <c r="B760" s="49">
        <v>45462.0</v>
      </c>
      <c r="C760" s="50">
        <v>12.42</v>
      </c>
      <c r="D760" s="51">
        <v>71.38854500770569</v>
      </c>
      <c r="E760" s="52" t="s">
        <v>81</v>
      </c>
      <c r="F760" s="52" t="s">
        <v>89</v>
      </c>
      <c r="G760" s="52" t="s">
        <v>906</v>
      </c>
      <c r="H760" s="53"/>
      <c r="I760" s="54" t="s">
        <v>181</v>
      </c>
      <c r="J760" s="54">
        <v>6.0</v>
      </c>
      <c r="K760" s="54" t="s">
        <v>78</v>
      </c>
      <c r="L760" s="54" t="s">
        <v>122</v>
      </c>
      <c r="M760" s="52" t="s">
        <v>73</v>
      </c>
      <c r="N760" s="55" t="s">
        <v>80</v>
      </c>
    </row>
    <row r="761">
      <c r="A761" s="48">
        <v>1361.0</v>
      </c>
      <c r="B761" s="49">
        <v>45462.0</v>
      </c>
      <c r="C761" s="50">
        <v>7.65</v>
      </c>
      <c r="D761" s="51">
        <v>43.971205258369444</v>
      </c>
      <c r="E761" s="52" t="s">
        <v>81</v>
      </c>
      <c r="F761" s="52" t="s">
        <v>89</v>
      </c>
      <c r="G761" s="52" t="s">
        <v>907</v>
      </c>
      <c r="H761" s="53"/>
      <c r="I761" s="54" t="s">
        <v>181</v>
      </c>
      <c r="J761" s="54">
        <v>6.0</v>
      </c>
      <c r="K761" s="54" t="s">
        <v>78</v>
      </c>
      <c r="L761" s="54" t="s">
        <v>122</v>
      </c>
      <c r="M761" s="52" t="s">
        <v>73</v>
      </c>
      <c r="N761" s="55" t="s">
        <v>80</v>
      </c>
    </row>
    <row r="762">
      <c r="A762" s="48">
        <v>1362.0</v>
      </c>
      <c r="B762" s="49">
        <v>45461.0</v>
      </c>
      <c r="C762" s="50">
        <v>17.02</v>
      </c>
      <c r="D762" s="51">
        <v>95.5002760887146</v>
      </c>
      <c r="E762" s="52" t="s">
        <v>81</v>
      </c>
      <c r="F762" s="52" t="s">
        <v>89</v>
      </c>
      <c r="G762" s="52" t="s">
        <v>908</v>
      </c>
      <c r="H762" s="53"/>
      <c r="I762" s="54" t="s">
        <v>181</v>
      </c>
      <c r="J762" s="54">
        <v>6.0</v>
      </c>
      <c r="K762" s="54" t="s">
        <v>78</v>
      </c>
      <c r="L762" s="54" t="s">
        <v>122</v>
      </c>
      <c r="M762" s="52" t="s">
        <v>73</v>
      </c>
      <c r="N762" s="55" t="s">
        <v>80</v>
      </c>
    </row>
    <row r="763">
      <c r="A763" s="48">
        <v>1363.0</v>
      </c>
      <c r="B763" s="49">
        <v>45461.0</v>
      </c>
      <c r="C763" s="50">
        <v>36.86</v>
      </c>
      <c r="D763" s="51">
        <v>206.82374715805054</v>
      </c>
      <c r="E763" s="52" t="s">
        <v>81</v>
      </c>
      <c r="F763" s="52" t="s">
        <v>89</v>
      </c>
      <c r="G763" s="52" t="s">
        <v>909</v>
      </c>
      <c r="H763" s="53"/>
      <c r="I763" s="54" t="s">
        <v>181</v>
      </c>
      <c r="J763" s="54">
        <v>6.0</v>
      </c>
      <c r="K763" s="54" t="s">
        <v>78</v>
      </c>
      <c r="L763" s="54" t="s">
        <v>122</v>
      </c>
      <c r="M763" s="52" t="s">
        <v>73</v>
      </c>
      <c r="N763" s="55" t="s">
        <v>80</v>
      </c>
    </row>
    <row r="764">
      <c r="A764" s="48">
        <v>1364.0</v>
      </c>
      <c r="B764" s="49">
        <v>45461.0</v>
      </c>
      <c r="C764" s="50">
        <v>30.47</v>
      </c>
      <c r="D764" s="51">
        <v>170.96906065940857</v>
      </c>
      <c r="E764" s="52" t="s">
        <v>81</v>
      </c>
      <c r="F764" s="52" t="s">
        <v>89</v>
      </c>
      <c r="G764" s="52" t="s">
        <v>910</v>
      </c>
      <c r="H764" s="53"/>
      <c r="I764" s="54" t="s">
        <v>181</v>
      </c>
      <c r="J764" s="54">
        <v>6.0</v>
      </c>
      <c r="K764" s="54" t="s">
        <v>78</v>
      </c>
      <c r="L764" s="54" t="s">
        <v>122</v>
      </c>
      <c r="M764" s="52" t="s">
        <v>73</v>
      </c>
      <c r="N764" s="55" t="s">
        <v>80</v>
      </c>
    </row>
    <row r="765">
      <c r="A765" s="48">
        <v>1365.0</v>
      </c>
      <c r="B765" s="49">
        <v>45461.0</v>
      </c>
      <c r="C765" s="50">
        <v>33.98</v>
      </c>
      <c r="D765" s="51">
        <v>190.66388845443723</v>
      </c>
      <c r="E765" s="52" t="s">
        <v>81</v>
      </c>
      <c r="F765" s="52" t="s">
        <v>89</v>
      </c>
      <c r="G765" s="52" t="s">
        <v>911</v>
      </c>
      <c r="H765" s="53"/>
      <c r="I765" s="54" t="s">
        <v>181</v>
      </c>
      <c r="J765" s="54">
        <v>6.0</v>
      </c>
      <c r="K765" s="54" t="s">
        <v>78</v>
      </c>
      <c r="L765" s="54" t="s">
        <v>122</v>
      </c>
      <c r="M765" s="52" t="s">
        <v>73</v>
      </c>
      <c r="N765" s="55" t="s">
        <v>80</v>
      </c>
    </row>
    <row r="766">
      <c r="A766" s="48">
        <v>1366.0</v>
      </c>
      <c r="B766" s="49">
        <v>45462.0</v>
      </c>
      <c r="C766" s="50">
        <v>32.58</v>
      </c>
      <c r="D766" s="51">
        <v>182.80840158462524</v>
      </c>
      <c r="E766" s="52" t="s">
        <v>81</v>
      </c>
      <c r="F766" s="52" t="s">
        <v>89</v>
      </c>
      <c r="G766" s="52" t="s">
        <v>912</v>
      </c>
      <c r="H766" s="53"/>
      <c r="I766" s="54" t="s">
        <v>181</v>
      </c>
      <c r="J766" s="54">
        <v>6.0</v>
      </c>
      <c r="K766" s="54" t="s">
        <v>78</v>
      </c>
      <c r="L766" s="54" t="s">
        <v>122</v>
      </c>
      <c r="M766" s="52" t="s">
        <v>73</v>
      </c>
      <c r="N766" s="55" t="s">
        <v>80</v>
      </c>
    </row>
    <row r="767">
      <c r="A767" s="48">
        <v>1367.0</v>
      </c>
      <c r="B767" s="49">
        <v>45462.0</v>
      </c>
      <c r="C767" s="50">
        <v>10.93</v>
      </c>
      <c r="D767" s="51">
        <v>62.82421875476837</v>
      </c>
      <c r="E767" s="52" t="s">
        <v>81</v>
      </c>
      <c r="F767" s="52" t="s">
        <v>89</v>
      </c>
      <c r="G767" s="52" t="s">
        <v>913</v>
      </c>
      <c r="H767" s="53"/>
      <c r="I767" s="54" t="s">
        <v>181</v>
      </c>
      <c r="J767" s="54">
        <v>6.0</v>
      </c>
      <c r="K767" s="54" t="s">
        <v>78</v>
      </c>
      <c r="L767" s="54" t="s">
        <v>122</v>
      </c>
      <c r="M767" s="52" t="s">
        <v>73</v>
      </c>
      <c r="N767" s="55" t="s">
        <v>80</v>
      </c>
    </row>
    <row r="768">
      <c r="A768" s="48">
        <v>1368.0</v>
      </c>
      <c r="B768" s="49">
        <v>45461.0</v>
      </c>
      <c r="C768" s="50">
        <v>31.5</v>
      </c>
      <c r="D768" s="51">
        <v>176.74845457077026</v>
      </c>
      <c r="E768" s="52" t="s">
        <v>81</v>
      </c>
      <c r="F768" s="52" t="s">
        <v>89</v>
      </c>
      <c r="G768" s="52" t="s">
        <v>914</v>
      </c>
      <c r="H768" s="53"/>
      <c r="I768" s="54" t="s">
        <v>181</v>
      </c>
      <c r="J768" s="54">
        <v>6.0</v>
      </c>
      <c r="K768" s="54" t="s">
        <v>78</v>
      </c>
      <c r="L768" s="54" t="s">
        <v>122</v>
      </c>
      <c r="M768" s="52" t="s">
        <v>73</v>
      </c>
      <c r="N768" s="55" t="s">
        <v>80</v>
      </c>
    </row>
    <row r="769">
      <c r="A769" s="48">
        <v>1369.0</v>
      </c>
      <c r="B769" s="49">
        <v>45461.0</v>
      </c>
      <c r="C769" s="50">
        <v>160.7</v>
      </c>
      <c r="D769" s="51">
        <v>901.6976714134215</v>
      </c>
      <c r="E769" s="52" t="s">
        <v>81</v>
      </c>
      <c r="F769" s="52" t="s">
        <v>89</v>
      </c>
      <c r="G769" s="52" t="s">
        <v>915</v>
      </c>
      <c r="H769" s="53"/>
      <c r="I769" s="54" t="s">
        <v>181</v>
      </c>
      <c r="J769" s="54">
        <v>6.0</v>
      </c>
      <c r="K769" s="54" t="s">
        <v>78</v>
      </c>
      <c r="L769" s="54" t="s">
        <v>122</v>
      </c>
      <c r="M769" s="52" t="s">
        <v>73</v>
      </c>
      <c r="N769" s="55" t="s">
        <v>80</v>
      </c>
    </row>
    <row r="770">
      <c r="A770" s="48">
        <v>1370.0</v>
      </c>
      <c r="B770" s="49">
        <v>45461.0</v>
      </c>
      <c r="C770" s="50">
        <v>22.43</v>
      </c>
      <c r="D770" s="51">
        <v>125.85612177848816</v>
      </c>
      <c r="E770" s="52" t="s">
        <v>81</v>
      </c>
      <c r="F770" s="52" t="s">
        <v>89</v>
      </c>
      <c r="G770" s="52" t="s">
        <v>916</v>
      </c>
      <c r="H770" s="53"/>
      <c r="I770" s="54" t="s">
        <v>181</v>
      </c>
      <c r="J770" s="54">
        <v>6.0</v>
      </c>
      <c r="K770" s="54" t="s">
        <v>78</v>
      </c>
      <c r="L770" s="54" t="s">
        <v>122</v>
      </c>
      <c r="M770" s="52" t="s">
        <v>73</v>
      </c>
      <c r="N770" s="55" t="s">
        <v>80</v>
      </c>
    </row>
    <row r="771">
      <c r="A771" s="48">
        <v>1371.0</v>
      </c>
      <c r="B771" s="49">
        <v>45465.0</v>
      </c>
      <c r="C771" s="50">
        <v>6.05</v>
      </c>
      <c r="D771" s="51">
        <v>35.34709453582764</v>
      </c>
      <c r="E771" s="52" t="s">
        <v>81</v>
      </c>
      <c r="F771" s="52" t="s">
        <v>89</v>
      </c>
      <c r="G771" s="52" t="s">
        <v>917</v>
      </c>
      <c r="H771" s="53"/>
      <c r="I771" s="54" t="s">
        <v>181</v>
      </c>
      <c r="J771" s="54">
        <v>6.0</v>
      </c>
      <c r="K771" s="54" t="s">
        <v>78</v>
      </c>
      <c r="L771" s="54" t="s">
        <v>122</v>
      </c>
      <c r="M771" s="52" t="s">
        <v>73</v>
      </c>
      <c r="N771" s="55" t="s">
        <v>80</v>
      </c>
    </row>
    <row r="772">
      <c r="A772" s="48">
        <v>1372.0</v>
      </c>
      <c r="B772" s="49">
        <v>45462.0</v>
      </c>
      <c r="C772" s="50">
        <v>4.8</v>
      </c>
      <c r="D772" s="51">
        <v>27.589775848388673</v>
      </c>
      <c r="E772" s="52" t="s">
        <v>81</v>
      </c>
      <c r="F772" s="52" t="s">
        <v>89</v>
      </c>
      <c r="G772" s="52" t="s">
        <v>918</v>
      </c>
      <c r="H772" s="53"/>
      <c r="I772" s="54" t="s">
        <v>181</v>
      </c>
      <c r="J772" s="54">
        <v>6.0</v>
      </c>
      <c r="K772" s="54" t="s">
        <v>78</v>
      </c>
      <c r="L772" s="54" t="s">
        <v>122</v>
      </c>
      <c r="M772" s="52" t="s">
        <v>73</v>
      </c>
      <c r="N772" s="55" t="s">
        <v>80</v>
      </c>
    </row>
    <row r="773">
      <c r="A773" s="48">
        <v>1373.0</v>
      </c>
      <c r="B773" s="49">
        <v>45461.0</v>
      </c>
      <c r="C773" s="50">
        <v>6.7</v>
      </c>
      <c r="D773" s="51">
        <v>37.59411573410034</v>
      </c>
      <c r="E773" s="52" t="s">
        <v>81</v>
      </c>
      <c r="F773" s="52" t="s">
        <v>89</v>
      </c>
      <c r="G773" s="52" t="s">
        <v>919</v>
      </c>
      <c r="H773" s="53"/>
      <c r="I773" s="54" t="s">
        <v>181</v>
      </c>
      <c r="J773" s="54">
        <v>6.0</v>
      </c>
      <c r="K773" s="54" t="s">
        <v>78</v>
      </c>
      <c r="L773" s="54" t="s">
        <v>122</v>
      </c>
      <c r="M773" s="52" t="s">
        <v>73</v>
      </c>
      <c r="N773" s="55" t="s">
        <v>80</v>
      </c>
    </row>
    <row r="774">
      <c r="A774" s="48">
        <v>1374.0</v>
      </c>
      <c r="B774" s="49">
        <v>45461.0</v>
      </c>
      <c r="C774" s="50">
        <v>8.1</v>
      </c>
      <c r="D774" s="51">
        <v>45.44960260391235</v>
      </c>
      <c r="E774" s="52" t="s">
        <v>81</v>
      </c>
      <c r="F774" s="52" t="s">
        <v>89</v>
      </c>
      <c r="G774" s="52" t="s">
        <v>920</v>
      </c>
      <c r="H774" s="53"/>
      <c r="I774" s="54" t="s">
        <v>181</v>
      </c>
      <c r="J774" s="54">
        <v>6.0</v>
      </c>
      <c r="K774" s="54" t="s">
        <v>78</v>
      </c>
      <c r="L774" s="54" t="s">
        <v>122</v>
      </c>
      <c r="M774" s="52" t="s">
        <v>73</v>
      </c>
      <c r="N774" s="55" t="s">
        <v>80</v>
      </c>
    </row>
    <row r="775">
      <c r="A775" s="48">
        <v>1375.0</v>
      </c>
      <c r="B775" s="49">
        <v>45462.0</v>
      </c>
      <c r="C775" s="50">
        <v>8.69</v>
      </c>
      <c r="D775" s="51">
        <v>49.948990025520324</v>
      </c>
      <c r="E775" s="52" t="s">
        <v>81</v>
      </c>
      <c r="F775" s="52" t="s">
        <v>89</v>
      </c>
      <c r="G775" s="52" t="s">
        <v>921</v>
      </c>
      <c r="H775" s="53"/>
      <c r="I775" s="54" t="s">
        <v>181</v>
      </c>
      <c r="J775" s="54">
        <v>6.0</v>
      </c>
      <c r="K775" s="54" t="s">
        <v>78</v>
      </c>
      <c r="L775" s="54" t="s">
        <v>122</v>
      </c>
      <c r="M775" s="52" t="s">
        <v>73</v>
      </c>
      <c r="N775" s="55" t="s">
        <v>80</v>
      </c>
    </row>
    <row r="776">
      <c r="A776" s="48">
        <v>1376.0</v>
      </c>
      <c r="B776" s="49">
        <v>45462.0</v>
      </c>
      <c r="C776" s="50">
        <v>5.5</v>
      </c>
      <c r="D776" s="51">
        <v>30.860841274261475</v>
      </c>
      <c r="E776" s="52" t="s">
        <v>81</v>
      </c>
      <c r="F776" s="52" t="s">
        <v>89</v>
      </c>
      <c r="G776" s="52" t="s">
        <v>922</v>
      </c>
      <c r="H776" s="53"/>
      <c r="I776" s="54" t="s">
        <v>181</v>
      </c>
      <c r="J776" s="54">
        <v>6.0</v>
      </c>
      <c r="K776" s="54" t="s">
        <v>78</v>
      </c>
      <c r="L776" s="54" t="s">
        <v>122</v>
      </c>
      <c r="M776" s="52" t="s">
        <v>73</v>
      </c>
      <c r="N776" s="55" t="s">
        <v>80</v>
      </c>
    </row>
    <row r="777">
      <c r="A777" s="48">
        <v>1379.0</v>
      </c>
      <c r="B777" s="49">
        <v>45462.0</v>
      </c>
      <c r="C777" s="50">
        <v>42.1024993127</v>
      </c>
      <c r="D777" s="51">
        <v>236.23973609798864</v>
      </c>
      <c r="E777" s="52" t="s">
        <v>49</v>
      </c>
      <c r="F777" s="52" t="s">
        <v>140</v>
      </c>
      <c r="G777" s="52" t="s">
        <v>923</v>
      </c>
      <c r="H777" s="53"/>
      <c r="I777" s="54" t="s">
        <v>181</v>
      </c>
      <c r="J777" s="54">
        <v>6.0</v>
      </c>
      <c r="K777" s="54" t="s">
        <v>78</v>
      </c>
      <c r="L777" s="54" t="s">
        <v>122</v>
      </c>
      <c r="M777" s="52" t="s">
        <v>73</v>
      </c>
      <c r="N777" s="55" t="s">
        <v>80</v>
      </c>
    </row>
    <row r="778">
      <c r="A778" s="48">
        <v>1380.0</v>
      </c>
      <c r="B778" s="49">
        <v>45462.0</v>
      </c>
      <c r="C778" s="50">
        <v>42.0637855575</v>
      </c>
      <c r="D778" s="51">
        <v>236.02251081537813</v>
      </c>
      <c r="E778" s="52" t="s">
        <v>49</v>
      </c>
      <c r="F778" s="52" t="s">
        <v>140</v>
      </c>
      <c r="G778" s="52" t="s">
        <v>924</v>
      </c>
      <c r="H778" s="53"/>
      <c r="I778" s="54" t="s">
        <v>181</v>
      </c>
      <c r="J778" s="54">
        <v>6.0</v>
      </c>
      <c r="K778" s="54" t="s">
        <v>78</v>
      </c>
      <c r="L778" s="54" t="s">
        <v>122</v>
      </c>
      <c r="M778" s="52" t="s">
        <v>73</v>
      </c>
      <c r="N778" s="55" t="s">
        <v>80</v>
      </c>
    </row>
    <row r="779">
      <c r="A779" s="48">
        <v>1382.0</v>
      </c>
      <c r="B779" s="49">
        <v>45461.0</v>
      </c>
      <c r="C779" s="50">
        <v>57.1737419195</v>
      </c>
      <c r="D779" s="51">
        <v>320.8054135333235</v>
      </c>
      <c r="E779" s="52" t="s">
        <v>49</v>
      </c>
      <c r="F779" s="52" t="s">
        <v>140</v>
      </c>
      <c r="G779" s="52" t="s">
        <v>925</v>
      </c>
      <c r="H779" s="53"/>
      <c r="I779" s="54" t="s">
        <v>181</v>
      </c>
      <c r="J779" s="54">
        <v>6.0</v>
      </c>
      <c r="K779" s="54" t="s">
        <v>78</v>
      </c>
      <c r="L779" s="54" t="s">
        <v>122</v>
      </c>
      <c r="M779" s="52" t="s">
        <v>73</v>
      </c>
      <c r="N779" s="55" t="s">
        <v>80</v>
      </c>
    </row>
    <row r="780">
      <c r="A780" s="48">
        <v>1383.0</v>
      </c>
      <c r="B780" s="49">
        <v>45461.0</v>
      </c>
      <c r="C780" s="50">
        <v>56.2533346155</v>
      </c>
      <c r="D780" s="51">
        <v>315.64095103942986</v>
      </c>
      <c r="E780" s="52" t="s">
        <v>49</v>
      </c>
      <c r="F780" s="52" t="s">
        <v>140</v>
      </c>
      <c r="G780" s="52" t="s">
        <v>926</v>
      </c>
      <c r="H780" s="53"/>
      <c r="I780" s="54" t="s">
        <v>181</v>
      </c>
      <c r="J780" s="54">
        <v>6.0</v>
      </c>
      <c r="K780" s="54" t="s">
        <v>78</v>
      </c>
      <c r="L780" s="54" t="s">
        <v>122</v>
      </c>
      <c r="M780" s="52" t="s">
        <v>73</v>
      </c>
      <c r="N780" s="55" t="s">
        <v>80</v>
      </c>
    </row>
    <row r="781">
      <c r="A781" s="48">
        <v>1384.0</v>
      </c>
      <c r="B781" s="49">
        <v>45468.0</v>
      </c>
      <c r="C781" s="50">
        <v>56.9917602472</v>
      </c>
      <c r="D781" s="51">
        <v>357.99055459884687</v>
      </c>
      <c r="E781" s="52" t="s">
        <v>49</v>
      </c>
      <c r="F781" s="52" t="s">
        <v>140</v>
      </c>
      <c r="G781" s="52" t="s">
        <v>927</v>
      </c>
      <c r="H781" s="53"/>
      <c r="I781" s="54" t="s">
        <v>181</v>
      </c>
      <c r="J781" s="54">
        <v>6.0</v>
      </c>
      <c r="K781" s="54" t="s">
        <v>78</v>
      </c>
      <c r="L781" s="54" t="s">
        <v>122</v>
      </c>
      <c r="M781" s="52" t="s">
        <v>73</v>
      </c>
      <c r="N781" s="55" t="s">
        <v>80</v>
      </c>
    </row>
    <row r="782">
      <c r="A782" s="48">
        <v>1386.0</v>
      </c>
      <c r="B782" s="49">
        <v>45462.0</v>
      </c>
      <c r="C782" s="50">
        <v>57.1597433293</v>
      </c>
      <c r="D782" s="51">
        <v>328.54677208475346</v>
      </c>
      <c r="E782" s="52" t="s">
        <v>49</v>
      </c>
      <c r="F782" s="52" t="s">
        <v>140</v>
      </c>
      <c r="G782" s="52" t="s">
        <v>928</v>
      </c>
      <c r="H782" s="53"/>
      <c r="I782" s="54" t="s">
        <v>181</v>
      </c>
      <c r="J782" s="54">
        <v>6.0</v>
      </c>
      <c r="K782" s="54" t="s">
        <v>78</v>
      </c>
      <c r="L782" s="54" t="s">
        <v>122</v>
      </c>
      <c r="M782" s="52" t="s">
        <v>73</v>
      </c>
      <c r="N782" s="55" t="s">
        <v>80</v>
      </c>
    </row>
    <row r="783">
      <c r="A783" s="48">
        <v>1389.0</v>
      </c>
      <c r="B783" s="49">
        <v>45466.0</v>
      </c>
      <c r="C783" s="50">
        <v>44.0780608114</v>
      </c>
      <c r="D783" s="51">
        <v>257.5258483399199</v>
      </c>
      <c r="E783" s="52" t="s">
        <v>49</v>
      </c>
      <c r="F783" s="52" t="s">
        <v>140</v>
      </c>
      <c r="G783" s="52" t="s">
        <v>929</v>
      </c>
      <c r="H783" s="53"/>
      <c r="I783" s="54" t="s">
        <v>181</v>
      </c>
      <c r="J783" s="54">
        <v>6.0</v>
      </c>
      <c r="K783" s="54" t="s">
        <v>78</v>
      </c>
      <c r="L783" s="54" t="s">
        <v>122</v>
      </c>
      <c r="M783" s="52" t="s">
        <v>73</v>
      </c>
      <c r="N783" s="55" t="s">
        <v>80</v>
      </c>
    </row>
    <row r="784">
      <c r="A784" s="48">
        <v>1390.0</v>
      </c>
      <c r="B784" s="49">
        <v>45468.0</v>
      </c>
      <c r="C784" s="50">
        <v>9.819035621</v>
      </c>
      <c r="D784" s="51">
        <v>61.677723101390264</v>
      </c>
      <c r="E784" s="52" t="s">
        <v>49</v>
      </c>
      <c r="F784" s="52" t="s">
        <v>140</v>
      </c>
      <c r="G784" s="52" t="s">
        <v>930</v>
      </c>
      <c r="H784" s="53"/>
      <c r="I784" s="54" t="s">
        <v>181</v>
      </c>
      <c r="J784" s="54">
        <v>6.0</v>
      </c>
      <c r="K784" s="54" t="s">
        <v>78</v>
      </c>
      <c r="L784" s="54" t="s">
        <v>122</v>
      </c>
      <c r="M784" s="52" t="s">
        <v>73</v>
      </c>
      <c r="N784" s="55" t="s">
        <v>80</v>
      </c>
    </row>
    <row r="785">
      <c r="A785" s="48">
        <v>1392.0</v>
      </c>
      <c r="B785" s="49">
        <v>45468.0</v>
      </c>
      <c r="C785" s="50">
        <v>9.819035621</v>
      </c>
      <c r="D785" s="51">
        <v>61.677723101390264</v>
      </c>
      <c r="E785" s="52" t="s">
        <v>49</v>
      </c>
      <c r="F785" s="52" t="s">
        <v>140</v>
      </c>
      <c r="G785" s="52" t="s">
        <v>931</v>
      </c>
      <c r="H785" s="53"/>
      <c r="I785" s="54" t="s">
        <v>181</v>
      </c>
      <c r="J785" s="54">
        <v>6.0</v>
      </c>
      <c r="K785" s="54" t="s">
        <v>78</v>
      </c>
      <c r="L785" s="54" t="s">
        <v>122</v>
      </c>
      <c r="M785" s="52" t="s">
        <v>73</v>
      </c>
      <c r="N785" s="55" t="s">
        <v>80</v>
      </c>
    </row>
    <row r="786">
      <c r="A786" s="48">
        <v>1393.0</v>
      </c>
      <c r="B786" s="49">
        <v>45462.0</v>
      </c>
      <c r="C786" s="50">
        <v>22.06</v>
      </c>
      <c r="D786" s="51">
        <v>126.7980115032196</v>
      </c>
      <c r="E786" s="52" t="s">
        <v>81</v>
      </c>
      <c r="F786" s="52" t="s">
        <v>89</v>
      </c>
      <c r="G786" s="52" t="s">
        <v>932</v>
      </c>
      <c r="H786" s="53"/>
      <c r="I786" s="54" t="s">
        <v>181</v>
      </c>
      <c r="J786" s="54">
        <v>6.0</v>
      </c>
      <c r="K786" s="54" t="s">
        <v>78</v>
      </c>
      <c r="L786" s="54" t="s">
        <v>122</v>
      </c>
      <c r="M786" s="52" t="s">
        <v>73</v>
      </c>
      <c r="N786" s="55" t="s">
        <v>80</v>
      </c>
    </row>
    <row r="787">
      <c r="A787" s="48">
        <v>1394.0</v>
      </c>
      <c r="B787" s="49">
        <v>45461.0</v>
      </c>
      <c r="C787" s="50">
        <v>21220.0</v>
      </c>
      <c r="D787" s="51">
        <v>119066.73669815063</v>
      </c>
      <c r="E787" s="52" t="s">
        <v>81</v>
      </c>
      <c r="F787" s="52" t="s">
        <v>94</v>
      </c>
      <c r="G787" s="52" t="s">
        <v>933</v>
      </c>
      <c r="H787" s="53"/>
      <c r="I787" s="54" t="s">
        <v>181</v>
      </c>
      <c r="J787" s="54">
        <v>6.0</v>
      </c>
      <c r="K787" s="54" t="s">
        <v>78</v>
      </c>
      <c r="L787" s="54" t="s">
        <v>122</v>
      </c>
      <c r="M787" s="52" t="s">
        <v>73</v>
      </c>
      <c r="N787" s="55" t="s">
        <v>80</v>
      </c>
    </row>
    <row r="788">
      <c r="A788" s="48">
        <v>1396.0</v>
      </c>
      <c r="B788" s="49">
        <v>45465.0</v>
      </c>
      <c r="C788" s="50">
        <v>512.59</v>
      </c>
      <c r="D788" s="51">
        <v>2994.8044939041138</v>
      </c>
      <c r="E788" s="52" t="s">
        <v>50</v>
      </c>
      <c r="F788" s="52" t="s">
        <v>157</v>
      </c>
      <c r="G788" s="52" t="s">
        <v>934</v>
      </c>
      <c r="H788" s="53"/>
      <c r="I788" s="54" t="s">
        <v>181</v>
      </c>
      <c r="J788" s="54">
        <v>6.0</v>
      </c>
      <c r="K788" s="54" t="s">
        <v>78</v>
      </c>
      <c r="L788" s="54" t="s">
        <v>122</v>
      </c>
      <c r="M788" s="52" t="s">
        <v>73</v>
      </c>
      <c r="N788" s="55" t="s">
        <v>80</v>
      </c>
    </row>
    <row r="789">
      <c r="A789" s="48">
        <v>1397.0</v>
      </c>
      <c r="B789" s="49">
        <v>45465.0</v>
      </c>
      <c r="C789" s="50">
        <v>301.66</v>
      </c>
      <c r="D789" s="51">
        <v>1762.4470310211184</v>
      </c>
      <c r="E789" s="52" t="s">
        <v>50</v>
      </c>
      <c r="F789" s="52" t="s">
        <v>157</v>
      </c>
      <c r="G789" s="52" t="s">
        <v>935</v>
      </c>
      <c r="H789" s="53"/>
      <c r="I789" s="54" t="s">
        <v>181</v>
      </c>
      <c r="J789" s="54">
        <v>6.0</v>
      </c>
      <c r="K789" s="54" t="s">
        <v>78</v>
      </c>
      <c r="L789" s="54" t="s">
        <v>122</v>
      </c>
      <c r="M789" s="52" t="s">
        <v>73</v>
      </c>
      <c r="N789" s="55" t="s">
        <v>80</v>
      </c>
    </row>
    <row r="790">
      <c r="A790" s="48">
        <v>1399.0</v>
      </c>
      <c r="B790" s="49">
        <v>45466.0</v>
      </c>
      <c r="C790" s="50">
        <v>119.9</v>
      </c>
      <c r="D790" s="51">
        <v>694.6138867378235</v>
      </c>
      <c r="E790" s="52" t="s">
        <v>81</v>
      </c>
      <c r="F790" s="52" t="s">
        <v>97</v>
      </c>
      <c r="G790" s="52" t="s">
        <v>936</v>
      </c>
      <c r="H790" s="53"/>
      <c r="I790" s="54" t="s">
        <v>181</v>
      </c>
      <c r="J790" s="54">
        <v>6.0</v>
      </c>
      <c r="K790" s="54" t="s">
        <v>78</v>
      </c>
      <c r="L790" s="54" t="s">
        <v>122</v>
      </c>
      <c r="M790" s="52" t="s">
        <v>73</v>
      </c>
      <c r="N790" s="55" t="s">
        <v>80</v>
      </c>
    </row>
    <row r="791">
      <c r="A791" s="48">
        <v>1401.0</v>
      </c>
      <c r="B791" s="49">
        <v>45469.0</v>
      </c>
      <c r="C791" s="50">
        <v>168.77</v>
      </c>
      <c r="D791" s="51">
        <v>1060.1193161535264</v>
      </c>
      <c r="E791" s="52" t="s">
        <v>81</v>
      </c>
      <c r="F791" s="52" t="s">
        <v>97</v>
      </c>
      <c r="G791" s="52" t="s">
        <v>937</v>
      </c>
      <c r="H791" s="53"/>
      <c r="I791" s="54" t="s">
        <v>181</v>
      </c>
      <c r="J791" s="54">
        <v>6.0</v>
      </c>
      <c r="K791" s="54" t="s">
        <v>78</v>
      </c>
      <c r="L791" s="54" t="s">
        <v>122</v>
      </c>
      <c r="M791" s="52" t="s">
        <v>73</v>
      </c>
      <c r="N791" s="55" t="s">
        <v>80</v>
      </c>
    </row>
    <row r="792">
      <c r="A792" s="48">
        <v>1406.0</v>
      </c>
      <c r="B792" s="49">
        <v>45468.0</v>
      </c>
      <c r="C792" s="50">
        <v>38.56</v>
      </c>
      <c r="D792" s="51">
        <v>242.2124834442139</v>
      </c>
      <c r="E792" s="52" t="s">
        <v>81</v>
      </c>
      <c r="F792" s="52" t="s">
        <v>89</v>
      </c>
      <c r="G792" s="52" t="s">
        <v>938</v>
      </c>
      <c r="H792" s="53"/>
      <c r="I792" s="54" t="s">
        <v>181</v>
      </c>
      <c r="J792" s="54">
        <v>6.0</v>
      </c>
      <c r="K792" s="54" t="s">
        <v>78</v>
      </c>
      <c r="L792" s="54" t="s">
        <v>122</v>
      </c>
      <c r="M792" s="52" t="s">
        <v>73</v>
      </c>
      <c r="N792" s="55" t="s">
        <v>80</v>
      </c>
    </row>
    <row r="793">
      <c r="A793" s="48">
        <v>1410.0</v>
      </c>
      <c r="B793" s="49">
        <v>45468.0</v>
      </c>
      <c r="C793" s="50">
        <v>60.11</v>
      </c>
      <c r="D793" s="51">
        <v>377.5776032114029</v>
      </c>
      <c r="E793" s="52" t="s">
        <v>81</v>
      </c>
      <c r="F793" s="52" t="s">
        <v>89</v>
      </c>
      <c r="G793" s="52" t="s">
        <v>939</v>
      </c>
      <c r="H793" s="53"/>
      <c r="I793" s="54" t="s">
        <v>181</v>
      </c>
      <c r="J793" s="54">
        <v>6.0</v>
      </c>
      <c r="K793" s="54" t="s">
        <v>78</v>
      </c>
      <c r="L793" s="54" t="s">
        <v>122</v>
      </c>
      <c r="M793" s="52" t="s">
        <v>73</v>
      </c>
      <c r="N793" s="55" t="s">
        <v>80</v>
      </c>
    </row>
    <row r="794">
      <c r="A794" s="48">
        <v>1411.0</v>
      </c>
      <c r="B794" s="49">
        <v>45468.0</v>
      </c>
      <c r="C794" s="50">
        <v>14.28</v>
      </c>
      <c r="D794" s="51">
        <v>89.69902135848999</v>
      </c>
      <c r="E794" s="52" t="s">
        <v>81</v>
      </c>
      <c r="F794" s="52" t="s">
        <v>89</v>
      </c>
      <c r="G794" s="52" t="s">
        <v>940</v>
      </c>
      <c r="H794" s="53"/>
      <c r="I794" s="54" t="s">
        <v>181</v>
      </c>
      <c r="J794" s="54">
        <v>6.0</v>
      </c>
      <c r="K794" s="54" t="s">
        <v>78</v>
      </c>
      <c r="L794" s="54" t="s">
        <v>122</v>
      </c>
      <c r="M794" s="52" t="s">
        <v>73</v>
      </c>
      <c r="N794" s="55" t="s">
        <v>80</v>
      </c>
    </row>
    <row r="795">
      <c r="A795" s="48">
        <v>1413.0</v>
      </c>
      <c r="B795" s="49">
        <v>45469.0</v>
      </c>
      <c r="C795" s="50">
        <v>11.18</v>
      </c>
      <c r="D795" s="51">
        <v>70.22654473304749</v>
      </c>
      <c r="E795" s="52" t="s">
        <v>81</v>
      </c>
      <c r="F795" s="52" t="s">
        <v>89</v>
      </c>
      <c r="G795" s="52" t="s">
        <v>941</v>
      </c>
      <c r="H795" s="53"/>
      <c r="I795" s="54" t="s">
        <v>181</v>
      </c>
      <c r="J795" s="54">
        <v>6.0</v>
      </c>
      <c r="K795" s="54" t="s">
        <v>78</v>
      </c>
      <c r="L795" s="54" t="s">
        <v>122</v>
      </c>
      <c r="M795" s="52" t="s">
        <v>73</v>
      </c>
      <c r="N795" s="55" t="s">
        <v>80</v>
      </c>
    </row>
    <row r="796">
      <c r="A796" s="48">
        <v>1417.0</v>
      </c>
      <c r="B796" s="49">
        <v>45468.0</v>
      </c>
      <c r="C796" s="50">
        <v>127.22</v>
      </c>
      <c r="D796" s="51">
        <v>799.1253149318695</v>
      </c>
      <c r="E796" s="52" t="s">
        <v>81</v>
      </c>
      <c r="F796" s="52" t="s">
        <v>89</v>
      </c>
      <c r="G796" s="52" t="s">
        <v>942</v>
      </c>
      <c r="H796" s="53"/>
      <c r="I796" s="54" t="s">
        <v>181</v>
      </c>
      <c r="J796" s="54">
        <v>6.0</v>
      </c>
      <c r="K796" s="54" t="s">
        <v>78</v>
      </c>
      <c r="L796" s="54" t="s">
        <v>122</v>
      </c>
      <c r="M796" s="52" t="s">
        <v>73</v>
      </c>
      <c r="N796" s="55" t="s">
        <v>80</v>
      </c>
    </row>
    <row r="797">
      <c r="A797" s="48">
        <v>1419.0</v>
      </c>
      <c r="B797" s="49">
        <v>45469.0</v>
      </c>
      <c r="C797" s="50">
        <v>5609.0</v>
      </c>
      <c r="D797" s="51">
        <v>35232.61980390549</v>
      </c>
      <c r="E797" s="52" t="s">
        <v>46</v>
      </c>
      <c r="F797" s="52" t="s">
        <v>114</v>
      </c>
      <c r="G797" s="52" t="s">
        <v>943</v>
      </c>
      <c r="H797" s="53"/>
      <c r="I797" s="54" t="s">
        <v>181</v>
      </c>
      <c r="J797" s="54">
        <v>6.0</v>
      </c>
      <c r="K797" s="54" t="s">
        <v>78</v>
      </c>
      <c r="L797" s="54" t="s">
        <v>122</v>
      </c>
      <c r="M797" s="52" t="s">
        <v>73</v>
      </c>
      <c r="N797" s="55" t="s">
        <v>80</v>
      </c>
    </row>
    <row r="798">
      <c r="A798" s="48">
        <v>28.0</v>
      </c>
      <c r="B798" s="56">
        <v>45378.0</v>
      </c>
      <c r="C798" s="50">
        <v>33600.0</v>
      </c>
      <c r="D798" s="51">
        <v>328746.0</v>
      </c>
      <c r="E798" s="52" t="s">
        <v>81</v>
      </c>
      <c r="F798" s="52" t="s">
        <v>88</v>
      </c>
      <c r="G798" s="53"/>
      <c r="H798" s="53"/>
      <c r="I798" s="54" t="s">
        <v>181</v>
      </c>
      <c r="J798" s="54">
        <v>3.0</v>
      </c>
      <c r="K798" s="54" t="s">
        <v>77</v>
      </c>
      <c r="L798" s="54" t="s">
        <v>115</v>
      </c>
      <c r="M798" s="52" t="s">
        <v>73</v>
      </c>
      <c r="N798" s="55" t="s">
        <v>80</v>
      </c>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43" t="s">
        <v>175</v>
      </c>
      <c r="B1" s="44" t="s">
        <v>176</v>
      </c>
      <c r="C1" s="44" t="s">
        <v>3</v>
      </c>
      <c r="D1" s="44" t="s">
        <v>4</v>
      </c>
      <c r="E1" s="44" t="s">
        <v>64</v>
      </c>
      <c r="F1" s="44" t="s">
        <v>79</v>
      </c>
      <c r="G1" s="45"/>
      <c r="H1" s="45"/>
      <c r="I1" s="46" t="s">
        <v>177</v>
      </c>
      <c r="J1" s="46" t="s">
        <v>178</v>
      </c>
      <c r="K1" s="46" t="s">
        <v>68</v>
      </c>
      <c r="L1" s="46" t="s">
        <v>179</v>
      </c>
      <c r="M1" s="44" t="s">
        <v>67</v>
      </c>
      <c r="N1" s="47" t="s">
        <v>71</v>
      </c>
    </row>
    <row r="2">
      <c r="A2" s="48">
        <v>532.0</v>
      </c>
      <c r="B2" s="49">
        <v>45306.0</v>
      </c>
      <c r="C2" s="50">
        <v>3000.0</v>
      </c>
      <c r="D2" s="51">
        <v>21998.88038635254</v>
      </c>
      <c r="E2" s="52" t="s">
        <v>46</v>
      </c>
      <c r="F2" s="52" t="s">
        <v>112</v>
      </c>
      <c r="G2" s="52" t="s">
        <v>180</v>
      </c>
      <c r="H2" s="53"/>
      <c r="I2" s="54" t="s">
        <v>181</v>
      </c>
      <c r="J2" s="54">
        <v>1.0</v>
      </c>
      <c r="K2" s="54" t="s">
        <v>77</v>
      </c>
      <c r="L2" s="54" t="s">
        <v>111</v>
      </c>
      <c r="M2" s="52" t="s">
        <v>73</v>
      </c>
      <c r="N2" s="55" t="s">
        <v>80</v>
      </c>
    </row>
    <row r="3">
      <c r="A3" s="48">
        <v>560.0</v>
      </c>
      <c r="B3" s="49">
        <v>45321.0</v>
      </c>
      <c r="C3" s="50">
        <v>9379.0</v>
      </c>
      <c r="D3" s="51">
        <v>63693.512467861176</v>
      </c>
      <c r="E3" s="52" t="s">
        <v>46</v>
      </c>
      <c r="F3" s="52" t="s">
        <v>112</v>
      </c>
      <c r="G3" s="52" t="s">
        <v>203</v>
      </c>
      <c r="H3" s="53"/>
      <c r="I3" s="54" t="s">
        <v>181</v>
      </c>
      <c r="J3" s="54">
        <v>1.0</v>
      </c>
      <c r="K3" s="54" t="s">
        <v>77</v>
      </c>
      <c r="L3" s="54" t="s">
        <v>111</v>
      </c>
      <c r="M3" s="52" t="s">
        <v>73</v>
      </c>
      <c r="N3" s="55" t="s">
        <v>80</v>
      </c>
    </row>
    <row r="4">
      <c r="A4" s="48">
        <v>561.0</v>
      </c>
      <c r="B4" s="49">
        <v>45327.0</v>
      </c>
      <c r="C4" s="50">
        <v>5876.0</v>
      </c>
      <c r="D4" s="51">
        <v>40779.0284576416</v>
      </c>
      <c r="E4" s="52" t="s">
        <v>46</v>
      </c>
      <c r="F4" s="52" t="s">
        <v>112</v>
      </c>
      <c r="G4" s="52" t="s">
        <v>204</v>
      </c>
      <c r="H4" s="53"/>
      <c r="I4" s="54" t="s">
        <v>181</v>
      </c>
      <c r="J4" s="54">
        <v>2.0</v>
      </c>
      <c r="K4" s="54" t="s">
        <v>77</v>
      </c>
      <c r="L4" s="54" t="s">
        <v>113</v>
      </c>
      <c r="M4" s="52" t="s">
        <v>73</v>
      </c>
      <c r="N4" s="55" t="s">
        <v>80</v>
      </c>
    </row>
    <row r="5">
      <c r="A5" s="48">
        <v>581.0</v>
      </c>
      <c r="B5" s="49">
        <v>45336.0</v>
      </c>
      <c r="C5" s="50">
        <v>18360.0</v>
      </c>
      <c r="D5" s="51">
        <v>141451.93593978882</v>
      </c>
      <c r="E5" s="52" t="s">
        <v>46</v>
      </c>
      <c r="F5" s="52" t="s">
        <v>112</v>
      </c>
      <c r="G5" s="52" t="s">
        <v>224</v>
      </c>
      <c r="H5" s="53"/>
      <c r="I5" s="54" t="s">
        <v>181</v>
      </c>
      <c r="J5" s="54">
        <v>2.0</v>
      </c>
      <c r="K5" s="54" t="s">
        <v>77</v>
      </c>
      <c r="L5" s="54" t="s">
        <v>113</v>
      </c>
      <c r="M5" s="52" t="s">
        <v>73</v>
      </c>
      <c r="N5" s="55" t="s">
        <v>80</v>
      </c>
    </row>
    <row r="6">
      <c r="A6" s="48">
        <v>582.0</v>
      </c>
      <c r="B6" s="49">
        <v>45308.0</v>
      </c>
      <c r="C6" s="50">
        <v>1071.0</v>
      </c>
      <c r="D6" s="51">
        <v>7388.716316699982</v>
      </c>
      <c r="E6" s="52" t="s">
        <v>46</v>
      </c>
      <c r="F6" s="52" t="s">
        <v>114</v>
      </c>
      <c r="G6" s="52" t="s">
        <v>225</v>
      </c>
      <c r="H6" s="53"/>
      <c r="I6" s="54" t="s">
        <v>181</v>
      </c>
      <c r="J6" s="54">
        <v>1.0</v>
      </c>
      <c r="K6" s="54" t="s">
        <v>77</v>
      </c>
      <c r="L6" s="54" t="s">
        <v>111</v>
      </c>
      <c r="M6" s="52" t="s">
        <v>73</v>
      </c>
      <c r="N6" s="55" t="s">
        <v>80</v>
      </c>
    </row>
    <row r="7">
      <c r="A7" s="48">
        <v>583.0</v>
      </c>
      <c r="B7" s="49">
        <v>45320.0</v>
      </c>
      <c r="C7" s="50">
        <v>15642.0</v>
      </c>
      <c r="D7" s="51">
        <v>104109.02203559875</v>
      </c>
      <c r="E7" s="52" t="s">
        <v>46</v>
      </c>
      <c r="F7" s="52" t="s">
        <v>112</v>
      </c>
      <c r="G7" s="52" t="s">
        <v>226</v>
      </c>
      <c r="H7" s="53"/>
      <c r="I7" s="54" t="s">
        <v>181</v>
      </c>
      <c r="J7" s="54">
        <v>1.0</v>
      </c>
      <c r="K7" s="54" t="s">
        <v>77</v>
      </c>
      <c r="L7" s="54" t="s">
        <v>111</v>
      </c>
      <c r="M7" s="52" t="s">
        <v>73</v>
      </c>
      <c r="N7" s="55" t="s">
        <v>80</v>
      </c>
    </row>
    <row r="8">
      <c r="A8" s="48">
        <v>594.0</v>
      </c>
      <c r="B8" s="49">
        <v>45327.0</v>
      </c>
      <c r="C8" s="50">
        <v>4833.0</v>
      </c>
      <c r="D8" s="51">
        <v>33540.681507110596</v>
      </c>
      <c r="E8" s="52" t="s">
        <v>46</v>
      </c>
      <c r="F8" s="52" t="s">
        <v>112</v>
      </c>
      <c r="G8" s="52" t="s">
        <v>236</v>
      </c>
      <c r="H8" s="53"/>
      <c r="I8" s="54" t="s">
        <v>181</v>
      </c>
      <c r="J8" s="54">
        <v>2.0</v>
      </c>
      <c r="K8" s="54" t="s">
        <v>77</v>
      </c>
      <c r="L8" s="54" t="s">
        <v>113</v>
      </c>
      <c r="M8" s="52" t="s">
        <v>73</v>
      </c>
      <c r="N8" s="55" t="s">
        <v>80</v>
      </c>
    </row>
    <row r="9">
      <c r="A9" s="48">
        <v>595.0</v>
      </c>
      <c r="B9" s="49">
        <v>45327.0</v>
      </c>
      <c r="C9" s="50">
        <v>6828.0</v>
      </c>
      <c r="D9" s="51">
        <v>47385.84178161621</v>
      </c>
      <c r="E9" s="52" t="s">
        <v>46</v>
      </c>
      <c r="F9" s="52" t="s">
        <v>112</v>
      </c>
      <c r="G9" s="52" t="s">
        <v>237</v>
      </c>
      <c r="H9" s="53"/>
      <c r="I9" s="54" t="s">
        <v>181</v>
      </c>
      <c r="J9" s="54">
        <v>2.0</v>
      </c>
      <c r="K9" s="54" t="s">
        <v>77</v>
      </c>
      <c r="L9" s="54" t="s">
        <v>113</v>
      </c>
      <c r="M9" s="52" t="s">
        <v>73</v>
      </c>
      <c r="N9" s="55" t="s">
        <v>80</v>
      </c>
    </row>
    <row r="10">
      <c r="A10" s="48">
        <v>633.0</v>
      </c>
      <c r="B10" s="49">
        <v>45335.0</v>
      </c>
      <c r="C10" s="50">
        <v>5167.0</v>
      </c>
      <c r="D10" s="51">
        <v>39566.725192546844</v>
      </c>
      <c r="E10" s="52" t="s">
        <v>46</v>
      </c>
      <c r="F10" s="52" t="s">
        <v>114</v>
      </c>
      <c r="G10" s="52" t="s">
        <v>272</v>
      </c>
      <c r="H10" s="53"/>
      <c r="I10" s="54" t="s">
        <v>181</v>
      </c>
      <c r="J10" s="54">
        <v>2.0</v>
      </c>
      <c r="K10" s="54" t="s">
        <v>77</v>
      </c>
      <c r="L10" s="54" t="s">
        <v>113</v>
      </c>
      <c r="M10" s="52" t="s">
        <v>73</v>
      </c>
      <c r="N10" s="55" t="s">
        <v>80</v>
      </c>
    </row>
    <row r="11">
      <c r="A11" s="48">
        <v>634.0</v>
      </c>
      <c r="B11" s="49">
        <v>45353.0</v>
      </c>
      <c r="C11" s="50">
        <v>1008.0</v>
      </c>
      <c r="D11" s="51">
        <v>9405.031173706055</v>
      </c>
      <c r="E11" s="52" t="s">
        <v>46</v>
      </c>
      <c r="F11" s="52" t="s">
        <v>112</v>
      </c>
      <c r="G11" s="52" t="s">
        <v>273</v>
      </c>
      <c r="H11" s="53"/>
      <c r="I11" s="54" t="s">
        <v>181</v>
      </c>
      <c r="J11" s="54">
        <v>3.0</v>
      </c>
      <c r="K11" s="54" t="s">
        <v>77</v>
      </c>
      <c r="L11" s="54" t="s">
        <v>115</v>
      </c>
      <c r="M11" s="52" t="s">
        <v>73</v>
      </c>
      <c r="N11" s="55" t="s">
        <v>80</v>
      </c>
    </row>
    <row r="12">
      <c r="A12" s="48">
        <v>709.0</v>
      </c>
      <c r="B12" s="49">
        <v>45352.0</v>
      </c>
      <c r="C12" s="50">
        <v>16041.0</v>
      </c>
      <c r="D12" s="51">
        <v>157160.728225708</v>
      </c>
      <c r="E12" s="52" t="s">
        <v>46</v>
      </c>
      <c r="F12" s="52" t="s">
        <v>112</v>
      </c>
      <c r="G12" s="52" t="s">
        <v>334</v>
      </c>
      <c r="H12" s="53"/>
      <c r="I12" s="54" t="s">
        <v>181</v>
      </c>
      <c r="J12" s="54">
        <v>3.0</v>
      </c>
      <c r="K12" s="54" t="s">
        <v>77</v>
      </c>
      <c r="L12" s="54" t="s">
        <v>115</v>
      </c>
      <c r="M12" s="52" t="s">
        <v>73</v>
      </c>
      <c r="N12" s="55" t="s">
        <v>80</v>
      </c>
    </row>
    <row r="13">
      <c r="A13" s="48">
        <v>710.0</v>
      </c>
      <c r="B13" s="49">
        <v>45353.0</v>
      </c>
      <c r="C13" s="50">
        <v>18360.0</v>
      </c>
      <c r="D13" s="51">
        <v>171305.924949646</v>
      </c>
      <c r="E13" s="52" t="s">
        <v>46</v>
      </c>
      <c r="F13" s="52" t="s">
        <v>112</v>
      </c>
      <c r="G13" s="52" t="s">
        <v>335</v>
      </c>
      <c r="H13" s="53"/>
      <c r="I13" s="54" t="s">
        <v>181</v>
      </c>
      <c r="J13" s="54">
        <v>3.0</v>
      </c>
      <c r="K13" s="54" t="s">
        <v>77</v>
      </c>
      <c r="L13" s="54" t="s">
        <v>115</v>
      </c>
      <c r="M13" s="52" t="s">
        <v>73</v>
      </c>
      <c r="N13" s="55" t="s">
        <v>80</v>
      </c>
    </row>
    <row r="14">
      <c r="A14" s="48">
        <v>725.0</v>
      </c>
      <c r="B14" s="49">
        <v>45348.0</v>
      </c>
      <c r="C14" s="50">
        <v>6678.0</v>
      </c>
      <c r="D14" s="51">
        <v>55127.05634880066</v>
      </c>
      <c r="E14" s="52" t="s">
        <v>46</v>
      </c>
      <c r="F14" s="52" t="s">
        <v>114</v>
      </c>
      <c r="G14" s="52" t="s">
        <v>349</v>
      </c>
      <c r="H14" s="53"/>
      <c r="I14" s="54" t="s">
        <v>181</v>
      </c>
      <c r="J14" s="54">
        <v>2.0</v>
      </c>
      <c r="K14" s="54" t="s">
        <v>77</v>
      </c>
      <c r="L14" s="54" t="s">
        <v>113</v>
      </c>
      <c r="M14" s="52" t="s">
        <v>73</v>
      </c>
      <c r="N14" s="55" t="s">
        <v>80</v>
      </c>
    </row>
    <row r="15">
      <c r="A15" s="48">
        <v>727.0</v>
      </c>
      <c r="B15" s="49">
        <v>45369.0</v>
      </c>
      <c r="C15" s="50">
        <v>18360.0</v>
      </c>
      <c r="D15" s="51">
        <v>174270.53924560547</v>
      </c>
      <c r="E15" s="52" t="s">
        <v>46</v>
      </c>
      <c r="F15" s="52" t="s">
        <v>112</v>
      </c>
      <c r="G15" s="52" t="s">
        <v>351</v>
      </c>
      <c r="H15" s="53"/>
      <c r="I15" s="54" t="s">
        <v>181</v>
      </c>
      <c r="J15" s="54">
        <v>3.0</v>
      </c>
      <c r="K15" s="54" t="s">
        <v>77</v>
      </c>
      <c r="L15" s="54" t="s">
        <v>115</v>
      </c>
      <c r="M15" s="52" t="s">
        <v>73</v>
      </c>
      <c r="N15" s="55" t="s">
        <v>80</v>
      </c>
    </row>
    <row r="16">
      <c r="A16" s="48">
        <v>745.0</v>
      </c>
      <c r="B16" s="49">
        <v>45358.0</v>
      </c>
      <c r="C16" s="50">
        <v>5548.2</v>
      </c>
      <c r="D16" s="51">
        <v>58381.17281455993</v>
      </c>
      <c r="E16" s="52" t="s">
        <v>46</v>
      </c>
      <c r="F16" s="52" t="s">
        <v>119</v>
      </c>
      <c r="G16" s="52" t="s">
        <v>368</v>
      </c>
      <c r="H16" s="53"/>
      <c r="I16" s="54" t="s">
        <v>181</v>
      </c>
      <c r="J16" s="54">
        <v>3.0</v>
      </c>
      <c r="K16" s="54" t="s">
        <v>77</v>
      </c>
      <c r="L16" s="54" t="s">
        <v>115</v>
      </c>
      <c r="M16" s="52" t="s">
        <v>73</v>
      </c>
      <c r="N16" s="55" t="s">
        <v>80</v>
      </c>
    </row>
    <row r="17">
      <c r="A17" s="48">
        <v>746.0</v>
      </c>
      <c r="B17" s="49">
        <v>45358.0</v>
      </c>
      <c r="C17" s="50">
        <v>5944.5</v>
      </c>
      <c r="D17" s="51">
        <v>62551.2565870285</v>
      </c>
      <c r="E17" s="52" t="s">
        <v>46</v>
      </c>
      <c r="F17" s="52" t="s">
        <v>119</v>
      </c>
      <c r="G17" s="52" t="s">
        <v>369</v>
      </c>
      <c r="H17" s="53"/>
      <c r="I17" s="54" t="s">
        <v>181</v>
      </c>
      <c r="J17" s="54">
        <v>3.0</v>
      </c>
      <c r="K17" s="54" t="s">
        <v>77</v>
      </c>
      <c r="L17" s="54" t="s">
        <v>115</v>
      </c>
      <c r="M17" s="52" t="s">
        <v>73</v>
      </c>
      <c r="N17" s="55" t="s">
        <v>80</v>
      </c>
    </row>
    <row r="18">
      <c r="A18" s="48">
        <v>747.0</v>
      </c>
      <c r="B18" s="49">
        <v>45370.0</v>
      </c>
      <c r="C18" s="50">
        <v>3373.2</v>
      </c>
      <c r="D18" s="51">
        <v>30086.441482543945</v>
      </c>
      <c r="E18" s="52" t="s">
        <v>46</v>
      </c>
      <c r="F18" s="52" t="s">
        <v>119</v>
      </c>
      <c r="G18" s="52" t="s">
        <v>370</v>
      </c>
      <c r="H18" s="53"/>
      <c r="I18" s="54" t="s">
        <v>181</v>
      </c>
      <c r="J18" s="54">
        <v>3.0</v>
      </c>
      <c r="K18" s="54" t="s">
        <v>77</v>
      </c>
      <c r="L18" s="54" t="s">
        <v>115</v>
      </c>
      <c r="M18" s="52" t="s">
        <v>73</v>
      </c>
      <c r="N18" s="55" t="s">
        <v>80</v>
      </c>
    </row>
    <row r="19">
      <c r="A19" s="48">
        <v>783.0</v>
      </c>
      <c r="B19" s="49">
        <v>45367.0</v>
      </c>
      <c r="C19" s="50">
        <v>19520.0</v>
      </c>
      <c r="D19" s="51">
        <v>193392.41333007812</v>
      </c>
      <c r="E19" s="52" t="s">
        <v>46</v>
      </c>
      <c r="F19" s="52" t="s">
        <v>114</v>
      </c>
      <c r="G19" s="52" t="s">
        <v>403</v>
      </c>
      <c r="H19" s="53"/>
      <c r="I19" s="54" t="s">
        <v>181</v>
      </c>
      <c r="J19" s="54">
        <v>3.0</v>
      </c>
      <c r="K19" s="54" t="s">
        <v>77</v>
      </c>
      <c r="L19" s="54" t="s">
        <v>115</v>
      </c>
      <c r="M19" s="52" t="s">
        <v>73</v>
      </c>
      <c r="N19" s="55" t="s">
        <v>80</v>
      </c>
    </row>
    <row r="20">
      <c r="A20" s="48">
        <v>981.0</v>
      </c>
      <c r="B20" s="49">
        <v>45426.0</v>
      </c>
      <c r="C20" s="50">
        <v>1057.0</v>
      </c>
      <c r="D20" s="51">
        <v>7606.97097158432</v>
      </c>
      <c r="E20" s="52" t="s">
        <v>46</v>
      </c>
      <c r="F20" s="52" t="s">
        <v>112</v>
      </c>
      <c r="G20" s="52" t="s">
        <v>588</v>
      </c>
      <c r="H20" s="53"/>
      <c r="I20" s="54" t="s">
        <v>181</v>
      </c>
      <c r="J20" s="54">
        <v>5.0</v>
      </c>
      <c r="K20" s="54" t="s">
        <v>78</v>
      </c>
      <c r="L20" s="54" t="s">
        <v>120</v>
      </c>
      <c r="M20" s="52" t="s">
        <v>73</v>
      </c>
      <c r="N20" s="55" t="s">
        <v>80</v>
      </c>
    </row>
    <row r="21">
      <c r="A21" s="48">
        <v>987.0</v>
      </c>
      <c r="B21" s="49">
        <v>45406.0</v>
      </c>
      <c r="C21" s="50">
        <v>3480.0</v>
      </c>
      <c r="D21" s="51">
        <v>23518.594665527344</v>
      </c>
      <c r="E21" s="52" t="s">
        <v>46</v>
      </c>
      <c r="F21" s="52" t="s">
        <v>114</v>
      </c>
      <c r="G21" s="52" t="s">
        <v>594</v>
      </c>
      <c r="H21" s="53"/>
      <c r="I21" s="54" t="s">
        <v>181</v>
      </c>
      <c r="J21" s="54">
        <v>4.0</v>
      </c>
      <c r="K21" s="54" t="s">
        <v>78</v>
      </c>
      <c r="L21" s="54" t="s">
        <v>117</v>
      </c>
      <c r="M21" s="52" t="s">
        <v>73</v>
      </c>
      <c r="N21" s="55" t="s">
        <v>80</v>
      </c>
    </row>
    <row r="22">
      <c r="A22" s="48">
        <v>988.0</v>
      </c>
      <c r="B22" s="49">
        <v>45432.0</v>
      </c>
      <c r="C22" s="50">
        <v>2221.0</v>
      </c>
      <c r="D22" s="51">
        <v>15992.91948223114</v>
      </c>
      <c r="E22" s="52" t="s">
        <v>46</v>
      </c>
      <c r="F22" s="52" t="s">
        <v>114</v>
      </c>
      <c r="G22" s="52" t="s">
        <v>595</v>
      </c>
      <c r="H22" s="53"/>
      <c r="I22" s="54" t="s">
        <v>181</v>
      </c>
      <c r="J22" s="54">
        <v>5.0</v>
      </c>
      <c r="K22" s="54" t="s">
        <v>78</v>
      </c>
      <c r="L22" s="54" t="s">
        <v>120</v>
      </c>
      <c r="M22" s="52" t="s">
        <v>73</v>
      </c>
      <c r="N22" s="55" t="s">
        <v>80</v>
      </c>
    </row>
    <row r="23">
      <c r="A23" s="48">
        <v>996.0</v>
      </c>
      <c r="B23" s="49">
        <v>45431.0</v>
      </c>
      <c r="C23" s="50">
        <v>1.0</v>
      </c>
      <c r="D23" s="51">
        <v>7.454471111297607</v>
      </c>
      <c r="E23" s="52" t="s">
        <v>46</v>
      </c>
      <c r="F23" s="52" t="s">
        <v>126</v>
      </c>
      <c r="G23" s="52" t="s">
        <v>603</v>
      </c>
      <c r="H23" s="53"/>
      <c r="I23" s="54" t="s">
        <v>181</v>
      </c>
      <c r="J23" s="54">
        <v>5.0</v>
      </c>
      <c r="K23" s="54" t="s">
        <v>78</v>
      </c>
      <c r="L23" s="54" t="s">
        <v>120</v>
      </c>
      <c r="M23" s="52" t="s">
        <v>73</v>
      </c>
      <c r="N23" s="55" t="s">
        <v>80</v>
      </c>
    </row>
    <row r="24">
      <c r="A24" s="48">
        <v>1090.0</v>
      </c>
      <c r="B24" s="49">
        <v>45436.0</v>
      </c>
      <c r="C24" s="50">
        <v>1374.0</v>
      </c>
      <c r="D24" s="51">
        <v>10369.899596214294</v>
      </c>
      <c r="E24" s="52" t="s">
        <v>46</v>
      </c>
      <c r="F24" s="52" t="s">
        <v>114</v>
      </c>
      <c r="G24" s="52" t="s">
        <v>692</v>
      </c>
      <c r="H24" s="53"/>
      <c r="I24" s="54" t="s">
        <v>181</v>
      </c>
      <c r="J24" s="54">
        <v>5.0</v>
      </c>
      <c r="K24" s="54" t="s">
        <v>78</v>
      </c>
      <c r="L24" s="54" t="s">
        <v>120</v>
      </c>
      <c r="M24" s="52" t="s">
        <v>73</v>
      </c>
      <c r="N24" s="55" t="s">
        <v>80</v>
      </c>
    </row>
    <row r="25">
      <c r="A25" s="48">
        <v>1222.0</v>
      </c>
      <c r="B25" s="49">
        <v>45453.0</v>
      </c>
      <c r="C25" s="50">
        <v>6218.0</v>
      </c>
      <c r="D25" s="51">
        <v>41919.99544620514</v>
      </c>
      <c r="E25" s="52" t="s">
        <v>46</v>
      </c>
      <c r="F25" s="52" t="s">
        <v>114</v>
      </c>
      <c r="G25" s="52" t="s">
        <v>806</v>
      </c>
      <c r="H25" s="53"/>
      <c r="I25" s="54" t="s">
        <v>181</v>
      </c>
      <c r="J25" s="54">
        <v>6.0</v>
      </c>
      <c r="K25" s="54" t="s">
        <v>78</v>
      </c>
      <c r="L25" s="54" t="s">
        <v>122</v>
      </c>
      <c r="M25" s="52" t="s">
        <v>73</v>
      </c>
      <c r="N25" s="55" t="s">
        <v>80</v>
      </c>
    </row>
    <row r="26">
      <c r="A26" s="48">
        <v>1297.0</v>
      </c>
      <c r="B26" s="49">
        <v>45457.0</v>
      </c>
      <c r="C26" s="50">
        <v>1520.0</v>
      </c>
      <c r="D26" s="51">
        <v>9232.350807189941</v>
      </c>
      <c r="E26" s="52" t="s">
        <v>46</v>
      </c>
      <c r="F26" s="52" t="s">
        <v>114</v>
      </c>
      <c r="G26" s="52" t="s">
        <v>867</v>
      </c>
      <c r="H26" s="53"/>
      <c r="I26" s="54" t="s">
        <v>181</v>
      </c>
      <c r="J26" s="54">
        <v>6.0</v>
      </c>
      <c r="K26" s="54" t="s">
        <v>78</v>
      </c>
      <c r="L26" s="54" t="s">
        <v>122</v>
      </c>
      <c r="M26" s="52" t="s">
        <v>73</v>
      </c>
      <c r="N26" s="55" t="s">
        <v>80</v>
      </c>
    </row>
    <row r="27">
      <c r="A27" s="48">
        <v>1310.0</v>
      </c>
      <c r="B27" s="49">
        <v>45467.0</v>
      </c>
      <c r="C27" s="50">
        <v>1670.0</v>
      </c>
      <c r="D27" s="51">
        <v>10490.011601448059</v>
      </c>
      <c r="E27" s="52" t="s">
        <v>46</v>
      </c>
      <c r="F27" s="52" t="s">
        <v>112</v>
      </c>
      <c r="G27" s="52" t="s">
        <v>873</v>
      </c>
      <c r="H27" s="53"/>
      <c r="I27" s="54" t="s">
        <v>181</v>
      </c>
      <c r="J27" s="54">
        <v>6.0</v>
      </c>
      <c r="K27" s="54" t="s">
        <v>78</v>
      </c>
      <c r="L27" s="54" t="s">
        <v>122</v>
      </c>
      <c r="M27" s="52" t="s">
        <v>73</v>
      </c>
      <c r="N27" s="55" t="s">
        <v>80</v>
      </c>
    </row>
    <row r="28">
      <c r="A28" s="48">
        <v>1311.0</v>
      </c>
      <c r="B28" s="49">
        <v>45467.0</v>
      </c>
      <c r="C28" s="50">
        <v>18360.0</v>
      </c>
      <c r="D28" s="51">
        <v>115327.31317520142</v>
      </c>
      <c r="E28" s="52" t="s">
        <v>46</v>
      </c>
      <c r="F28" s="52" t="s">
        <v>112</v>
      </c>
      <c r="G28" s="52" t="s">
        <v>874</v>
      </c>
      <c r="H28" s="53"/>
      <c r="I28" s="54" t="s">
        <v>181</v>
      </c>
      <c r="J28" s="54">
        <v>6.0</v>
      </c>
      <c r="K28" s="54" t="s">
        <v>78</v>
      </c>
      <c r="L28" s="54" t="s">
        <v>122</v>
      </c>
      <c r="M28" s="52" t="s">
        <v>73</v>
      </c>
      <c r="N28" s="55" t="s">
        <v>80</v>
      </c>
    </row>
    <row r="29">
      <c r="A29" s="48">
        <v>1419.0</v>
      </c>
      <c r="B29" s="49">
        <v>45469.0</v>
      </c>
      <c r="C29" s="50">
        <v>5609.0</v>
      </c>
      <c r="D29" s="51">
        <v>35232.61980390549</v>
      </c>
      <c r="E29" s="52" t="s">
        <v>46</v>
      </c>
      <c r="F29" s="52" t="s">
        <v>114</v>
      </c>
      <c r="G29" s="52" t="s">
        <v>943</v>
      </c>
      <c r="H29" s="53"/>
      <c r="I29" s="54" t="s">
        <v>181</v>
      </c>
      <c r="J29" s="54">
        <v>6.0</v>
      </c>
      <c r="K29" s="54" t="s">
        <v>78</v>
      </c>
      <c r="L29" s="54" t="s">
        <v>122</v>
      </c>
      <c r="M29" s="52" t="s">
        <v>73</v>
      </c>
      <c r="N29" s="55" t="s">
        <v>80</v>
      </c>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8" max="9" width="7.86"/>
    <col customWidth="1" min="10" max="10" width="9.71"/>
    <col customWidth="1" min="11" max="11" width="10.57"/>
    <col customWidth="1" min="12" max="12" width="14.14"/>
    <col customWidth="1" min="13" max="13" width="13.0"/>
    <col customWidth="1" min="14" max="14" width="12.0"/>
  </cols>
  <sheetData>
    <row r="1">
      <c r="A1" s="1" t="s">
        <v>944</v>
      </c>
    </row>
    <row r="2">
      <c r="A2" s="1" t="s">
        <v>175</v>
      </c>
      <c r="B2" s="1" t="s">
        <v>176</v>
      </c>
      <c r="C2" s="1" t="s">
        <v>3</v>
      </c>
      <c r="D2" s="1" t="s">
        <v>4</v>
      </c>
      <c r="E2" s="1" t="s">
        <v>64</v>
      </c>
      <c r="F2" s="1" t="s">
        <v>79</v>
      </c>
      <c r="H2" s="57"/>
      <c r="I2" s="57" t="s">
        <v>177</v>
      </c>
      <c r="J2" s="57" t="s">
        <v>178</v>
      </c>
      <c r="K2" s="57" t="s">
        <v>68</v>
      </c>
      <c r="L2" s="57" t="s">
        <v>179</v>
      </c>
      <c r="M2" s="1" t="s">
        <v>67</v>
      </c>
      <c r="N2" s="58" t="s">
        <v>71</v>
      </c>
    </row>
    <row r="3"/>
    <row r="4">
      <c r="I4" s="61" t="str">
        <f t="shared" ref="I4:I928" si="1">LEFT(B4,4)</f>
        <v>2023</v>
      </c>
      <c r="J4" s="62">
        <f t="shared" ref="J4:J386" si="2">VALUE(RIGHT(LEFT(B4,7),2))</f>
        <v>7</v>
      </c>
      <c r="K4" s="61" t="str">
        <f t="shared" ref="K4:K386" si="3">I4 &amp; "-Q" &amp; CHOOSE(CEILING(J4/3, 1), "1", "2", "3", "4")</f>
        <v>2023-Q3</v>
      </c>
      <c r="L4" s="63" t="str">
        <f t="shared" ref="L4:L386" si="4">I4&amp;"-"&amp;TEXT(J4, "00")</f>
        <v>2023-07</v>
      </c>
      <c r="M4" s="64" t="str">
        <f t="shared" ref="M4:M386" si="5">I4 &amp; "-H" &amp; CHOOSE(CEILING(J4/6, 1), "1", "2")</f>
        <v>2023-H2</v>
      </c>
      <c r="N4" s="65" t="s">
        <v>85</v>
      </c>
    </row>
    <row r="5">
      <c r="I5" s="61" t="str">
        <f t="shared" si="1"/>
        <v>2023</v>
      </c>
      <c r="J5" s="62">
        <f t="shared" si="2"/>
        <v>7</v>
      </c>
      <c r="K5" s="61" t="str">
        <f t="shared" si="3"/>
        <v>2023-Q3</v>
      </c>
      <c r="L5" s="63" t="str">
        <f t="shared" si="4"/>
        <v>2023-07</v>
      </c>
      <c r="M5" s="64" t="str">
        <f t="shared" si="5"/>
        <v>2023-H2</v>
      </c>
      <c r="N5" s="65" t="s">
        <v>85</v>
      </c>
    </row>
    <row r="6">
      <c r="I6" s="61" t="str">
        <f t="shared" si="1"/>
        <v>2023</v>
      </c>
      <c r="J6" s="62">
        <f t="shared" si="2"/>
        <v>7</v>
      </c>
      <c r="K6" s="61" t="str">
        <f t="shared" si="3"/>
        <v>2023-Q3</v>
      </c>
      <c r="L6" s="63" t="str">
        <f t="shared" si="4"/>
        <v>2023-07</v>
      </c>
      <c r="M6" s="64" t="str">
        <f t="shared" si="5"/>
        <v>2023-H2</v>
      </c>
      <c r="N6" s="65" t="s">
        <v>85</v>
      </c>
    </row>
    <row r="7">
      <c r="I7" s="61" t="str">
        <f t="shared" si="1"/>
        <v>2023</v>
      </c>
      <c r="J7" s="62">
        <f t="shared" si="2"/>
        <v>7</v>
      </c>
      <c r="K7" s="61" t="str">
        <f t="shared" si="3"/>
        <v>2023-Q3</v>
      </c>
      <c r="L7" s="63" t="str">
        <f t="shared" si="4"/>
        <v>2023-07</v>
      </c>
      <c r="M7" s="64" t="str">
        <f t="shared" si="5"/>
        <v>2023-H2</v>
      </c>
      <c r="N7" s="65" t="s">
        <v>85</v>
      </c>
    </row>
    <row r="8">
      <c r="I8" s="61" t="str">
        <f t="shared" si="1"/>
        <v>2023</v>
      </c>
      <c r="J8" s="62">
        <f t="shared" si="2"/>
        <v>7</v>
      </c>
      <c r="K8" s="61" t="str">
        <f t="shared" si="3"/>
        <v>2023-Q3</v>
      </c>
      <c r="L8" s="63" t="str">
        <f t="shared" si="4"/>
        <v>2023-07</v>
      </c>
      <c r="M8" s="64" t="str">
        <f t="shared" si="5"/>
        <v>2023-H2</v>
      </c>
      <c r="N8" s="65" t="s">
        <v>85</v>
      </c>
    </row>
    <row r="9">
      <c r="I9" s="61" t="str">
        <f t="shared" si="1"/>
        <v>2023</v>
      </c>
      <c r="J9" s="62">
        <f t="shared" si="2"/>
        <v>7</v>
      </c>
      <c r="K9" s="61" t="str">
        <f t="shared" si="3"/>
        <v>2023-Q3</v>
      </c>
      <c r="L9" s="63" t="str">
        <f t="shared" si="4"/>
        <v>2023-07</v>
      </c>
      <c r="M9" s="64" t="str">
        <f t="shared" si="5"/>
        <v>2023-H2</v>
      </c>
      <c r="N9" s="65" t="s">
        <v>85</v>
      </c>
    </row>
    <row r="10">
      <c r="I10" s="61" t="str">
        <f t="shared" si="1"/>
        <v>2023</v>
      </c>
      <c r="J10" s="62">
        <f t="shared" si="2"/>
        <v>7</v>
      </c>
      <c r="K10" s="61" t="str">
        <f t="shared" si="3"/>
        <v>2023-Q3</v>
      </c>
      <c r="L10" s="63" t="str">
        <f t="shared" si="4"/>
        <v>2023-07</v>
      </c>
      <c r="M10" s="64" t="str">
        <f t="shared" si="5"/>
        <v>2023-H2</v>
      </c>
      <c r="N10" s="65" t="s">
        <v>85</v>
      </c>
    </row>
    <row r="11">
      <c r="I11" s="61" t="str">
        <f t="shared" si="1"/>
        <v>2023</v>
      </c>
      <c r="J11" s="62">
        <f t="shared" si="2"/>
        <v>7</v>
      </c>
      <c r="K11" s="61" t="str">
        <f t="shared" si="3"/>
        <v>2023-Q3</v>
      </c>
      <c r="L11" s="63" t="str">
        <f t="shared" si="4"/>
        <v>2023-07</v>
      </c>
      <c r="M11" s="64" t="str">
        <f t="shared" si="5"/>
        <v>2023-H2</v>
      </c>
      <c r="N11" s="65" t="s">
        <v>85</v>
      </c>
    </row>
    <row r="12">
      <c r="I12" s="61" t="str">
        <f t="shared" si="1"/>
        <v>2023</v>
      </c>
      <c r="J12" s="62">
        <f t="shared" si="2"/>
        <v>7</v>
      </c>
      <c r="K12" s="61" t="str">
        <f t="shared" si="3"/>
        <v>2023-Q3</v>
      </c>
      <c r="L12" s="63" t="str">
        <f t="shared" si="4"/>
        <v>2023-07</v>
      </c>
      <c r="M12" s="64" t="str">
        <f t="shared" si="5"/>
        <v>2023-H2</v>
      </c>
      <c r="N12" s="65" t="s">
        <v>85</v>
      </c>
    </row>
    <row r="13">
      <c r="I13" s="61" t="str">
        <f t="shared" si="1"/>
        <v>2023</v>
      </c>
      <c r="J13" s="62">
        <f t="shared" si="2"/>
        <v>7</v>
      </c>
      <c r="K13" s="61" t="str">
        <f t="shared" si="3"/>
        <v>2023-Q3</v>
      </c>
      <c r="L13" s="63" t="str">
        <f t="shared" si="4"/>
        <v>2023-07</v>
      </c>
      <c r="M13" s="64" t="str">
        <f t="shared" si="5"/>
        <v>2023-H2</v>
      </c>
      <c r="N13" s="65" t="s">
        <v>85</v>
      </c>
    </row>
    <row r="14">
      <c r="I14" s="61" t="str">
        <f t="shared" si="1"/>
        <v>2023</v>
      </c>
      <c r="J14" s="62">
        <f t="shared" si="2"/>
        <v>7</v>
      </c>
      <c r="K14" s="61" t="str">
        <f t="shared" si="3"/>
        <v>2023-Q3</v>
      </c>
      <c r="L14" s="63" t="str">
        <f t="shared" si="4"/>
        <v>2023-07</v>
      </c>
      <c r="M14" s="64" t="str">
        <f t="shared" si="5"/>
        <v>2023-H2</v>
      </c>
      <c r="N14" s="65" t="s">
        <v>85</v>
      </c>
    </row>
    <row r="15">
      <c r="I15" s="61" t="str">
        <f t="shared" si="1"/>
        <v>2023</v>
      </c>
      <c r="J15" s="62">
        <f t="shared" si="2"/>
        <v>6</v>
      </c>
      <c r="K15" s="61" t="str">
        <f t="shared" si="3"/>
        <v>2023-Q2</v>
      </c>
      <c r="L15" s="63" t="str">
        <f t="shared" si="4"/>
        <v>2023-06</v>
      </c>
      <c r="M15" s="64" t="str">
        <f t="shared" si="5"/>
        <v>2023-H1</v>
      </c>
      <c r="N15" s="65" t="s">
        <v>85</v>
      </c>
    </row>
    <row r="16">
      <c r="I16" s="61" t="str">
        <f t="shared" si="1"/>
        <v>2023</v>
      </c>
      <c r="J16" s="62">
        <f t="shared" si="2"/>
        <v>6</v>
      </c>
      <c r="K16" s="61" t="str">
        <f t="shared" si="3"/>
        <v>2023-Q2</v>
      </c>
      <c r="L16" s="63" t="str">
        <f t="shared" si="4"/>
        <v>2023-06</v>
      </c>
      <c r="M16" s="64" t="str">
        <f t="shared" si="5"/>
        <v>2023-H1</v>
      </c>
      <c r="N16" s="65" t="s">
        <v>85</v>
      </c>
    </row>
    <row r="17">
      <c r="I17" s="61" t="str">
        <f t="shared" si="1"/>
        <v>2023</v>
      </c>
      <c r="J17" s="62">
        <f t="shared" si="2"/>
        <v>6</v>
      </c>
      <c r="K17" s="61" t="str">
        <f t="shared" si="3"/>
        <v>2023-Q2</v>
      </c>
      <c r="L17" s="63" t="str">
        <f t="shared" si="4"/>
        <v>2023-06</v>
      </c>
      <c r="M17" s="64" t="str">
        <f t="shared" si="5"/>
        <v>2023-H1</v>
      </c>
      <c r="N17" s="65" t="s">
        <v>85</v>
      </c>
    </row>
    <row r="18">
      <c r="I18" s="61" t="str">
        <f t="shared" si="1"/>
        <v>2023</v>
      </c>
      <c r="J18" s="62">
        <f t="shared" si="2"/>
        <v>6</v>
      </c>
      <c r="K18" s="61" t="str">
        <f t="shared" si="3"/>
        <v>2023-Q2</v>
      </c>
      <c r="L18" s="63" t="str">
        <f t="shared" si="4"/>
        <v>2023-06</v>
      </c>
      <c r="M18" s="64" t="str">
        <f t="shared" si="5"/>
        <v>2023-H1</v>
      </c>
      <c r="N18" s="65" t="s">
        <v>85</v>
      </c>
    </row>
    <row r="19">
      <c r="I19" s="61" t="str">
        <f t="shared" si="1"/>
        <v>2023</v>
      </c>
      <c r="J19" s="62">
        <f t="shared" si="2"/>
        <v>6</v>
      </c>
      <c r="K19" s="61" t="str">
        <f t="shared" si="3"/>
        <v>2023-Q2</v>
      </c>
      <c r="L19" s="63" t="str">
        <f t="shared" si="4"/>
        <v>2023-06</v>
      </c>
      <c r="M19" s="64" t="str">
        <f t="shared" si="5"/>
        <v>2023-H1</v>
      </c>
      <c r="N19" s="65" t="s">
        <v>85</v>
      </c>
    </row>
    <row r="20">
      <c r="I20" s="61" t="str">
        <f t="shared" si="1"/>
        <v>2023</v>
      </c>
      <c r="J20" s="62">
        <f t="shared" si="2"/>
        <v>7</v>
      </c>
      <c r="K20" s="61" t="str">
        <f t="shared" si="3"/>
        <v>2023-Q3</v>
      </c>
      <c r="L20" s="63" t="str">
        <f t="shared" si="4"/>
        <v>2023-07</v>
      </c>
      <c r="M20" s="64" t="str">
        <f t="shared" si="5"/>
        <v>2023-H2</v>
      </c>
      <c r="N20" s="65" t="s">
        <v>85</v>
      </c>
    </row>
    <row r="21">
      <c r="I21" s="61" t="str">
        <f t="shared" si="1"/>
        <v>2023</v>
      </c>
      <c r="J21" s="62">
        <f t="shared" si="2"/>
        <v>7</v>
      </c>
      <c r="K21" s="61" t="str">
        <f t="shared" si="3"/>
        <v>2023-Q3</v>
      </c>
      <c r="L21" s="63" t="str">
        <f t="shared" si="4"/>
        <v>2023-07</v>
      </c>
      <c r="M21" s="64" t="str">
        <f t="shared" si="5"/>
        <v>2023-H2</v>
      </c>
      <c r="N21" s="65" t="s">
        <v>85</v>
      </c>
    </row>
    <row r="22">
      <c r="I22" s="61" t="str">
        <f t="shared" si="1"/>
        <v>2023</v>
      </c>
      <c r="J22" s="62">
        <f t="shared" si="2"/>
        <v>7</v>
      </c>
      <c r="K22" s="61" t="str">
        <f t="shared" si="3"/>
        <v>2023-Q3</v>
      </c>
      <c r="L22" s="63" t="str">
        <f t="shared" si="4"/>
        <v>2023-07</v>
      </c>
      <c r="M22" s="64" t="str">
        <f t="shared" si="5"/>
        <v>2023-H2</v>
      </c>
      <c r="N22" s="65" t="s">
        <v>85</v>
      </c>
    </row>
    <row r="23">
      <c r="I23" s="61" t="str">
        <f t="shared" si="1"/>
        <v>2023</v>
      </c>
      <c r="J23" s="62">
        <f t="shared" si="2"/>
        <v>6</v>
      </c>
      <c r="K23" s="61" t="str">
        <f t="shared" si="3"/>
        <v>2023-Q2</v>
      </c>
      <c r="L23" s="63" t="str">
        <f t="shared" si="4"/>
        <v>2023-06</v>
      </c>
      <c r="M23" s="64" t="str">
        <f t="shared" si="5"/>
        <v>2023-H1</v>
      </c>
      <c r="N23" s="65" t="s">
        <v>85</v>
      </c>
    </row>
    <row r="24">
      <c r="I24" s="61" t="str">
        <f t="shared" si="1"/>
        <v>2023</v>
      </c>
      <c r="J24" s="62">
        <f t="shared" si="2"/>
        <v>7</v>
      </c>
      <c r="K24" s="61" t="str">
        <f t="shared" si="3"/>
        <v>2023-Q3</v>
      </c>
      <c r="L24" s="63" t="str">
        <f t="shared" si="4"/>
        <v>2023-07</v>
      </c>
      <c r="M24" s="64" t="str">
        <f t="shared" si="5"/>
        <v>2023-H2</v>
      </c>
      <c r="N24" s="65" t="s">
        <v>85</v>
      </c>
    </row>
    <row r="25">
      <c r="I25" s="61" t="str">
        <f t="shared" si="1"/>
        <v>2023</v>
      </c>
      <c r="J25" s="62">
        <f t="shared" si="2"/>
        <v>7</v>
      </c>
      <c r="K25" s="61" t="str">
        <f t="shared" si="3"/>
        <v>2023-Q3</v>
      </c>
      <c r="L25" s="63" t="str">
        <f t="shared" si="4"/>
        <v>2023-07</v>
      </c>
      <c r="M25" s="64" t="str">
        <f t="shared" si="5"/>
        <v>2023-H2</v>
      </c>
      <c r="N25" s="65" t="s">
        <v>85</v>
      </c>
    </row>
    <row r="26">
      <c r="I26" s="61" t="str">
        <f t="shared" si="1"/>
        <v>2023</v>
      </c>
      <c r="J26" s="62">
        <f t="shared" si="2"/>
        <v>7</v>
      </c>
      <c r="K26" s="61" t="str">
        <f t="shared" si="3"/>
        <v>2023-Q3</v>
      </c>
      <c r="L26" s="63" t="str">
        <f t="shared" si="4"/>
        <v>2023-07</v>
      </c>
      <c r="M26" s="64" t="str">
        <f t="shared" si="5"/>
        <v>2023-H2</v>
      </c>
      <c r="N26" s="65" t="s">
        <v>85</v>
      </c>
    </row>
    <row r="27">
      <c r="I27" s="61" t="str">
        <f t="shared" si="1"/>
        <v>2023</v>
      </c>
      <c r="J27" s="62">
        <f t="shared" si="2"/>
        <v>7</v>
      </c>
      <c r="K27" s="61" t="str">
        <f t="shared" si="3"/>
        <v>2023-Q3</v>
      </c>
      <c r="L27" s="63" t="str">
        <f t="shared" si="4"/>
        <v>2023-07</v>
      </c>
      <c r="M27" s="64" t="str">
        <f t="shared" si="5"/>
        <v>2023-H2</v>
      </c>
      <c r="N27" s="65" t="s">
        <v>85</v>
      </c>
    </row>
    <row r="28">
      <c r="I28" s="61" t="str">
        <f t="shared" si="1"/>
        <v>2023</v>
      </c>
      <c r="J28" s="62">
        <f t="shared" si="2"/>
        <v>7</v>
      </c>
      <c r="K28" s="61" t="str">
        <f t="shared" si="3"/>
        <v>2023-Q3</v>
      </c>
      <c r="L28" s="63" t="str">
        <f t="shared" si="4"/>
        <v>2023-07</v>
      </c>
      <c r="M28" s="64" t="str">
        <f t="shared" si="5"/>
        <v>2023-H2</v>
      </c>
      <c r="N28" s="65" t="s">
        <v>85</v>
      </c>
    </row>
    <row r="29">
      <c r="I29" s="61" t="str">
        <f t="shared" si="1"/>
        <v>2023</v>
      </c>
      <c r="J29" s="62">
        <f t="shared" si="2"/>
        <v>7</v>
      </c>
      <c r="K29" s="61" t="str">
        <f t="shared" si="3"/>
        <v>2023-Q3</v>
      </c>
      <c r="L29" s="63" t="str">
        <f t="shared" si="4"/>
        <v>2023-07</v>
      </c>
      <c r="M29" s="64" t="str">
        <f t="shared" si="5"/>
        <v>2023-H2</v>
      </c>
      <c r="N29" s="65" t="s">
        <v>85</v>
      </c>
    </row>
    <row r="30">
      <c r="I30" s="61" t="str">
        <f t="shared" si="1"/>
        <v>2023</v>
      </c>
      <c r="J30" s="62">
        <f t="shared" si="2"/>
        <v>7</v>
      </c>
      <c r="K30" s="61" t="str">
        <f t="shared" si="3"/>
        <v>2023-Q3</v>
      </c>
      <c r="L30" s="63" t="str">
        <f t="shared" si="4"/>
        <v>2023-07</v>
      </c>
      <c r="M30" s="64" t="str">
        <f t="shared" si="5"/>
        <v>2023-H2</v>
      </c>
      <c r="N30" s="65" t="s">
        <v>85</v>
      </c>
    </row>
    <row r="31">
      <c r="I31" s="61" t="str">
        <f t="shared" si="1"/>
        <v>2023</v>
      </c>
      <c r="J31" s="62">
        <f t="shared" si="2"/>
        <v>8</v>
      </c>
      <c r="K31" s="61" t="str">
        <f t="shared" si="3"/>
        <v>2023-Q3</v>
      </c>
      <c r="L31" s="63" t="str">
        <f t="shared" si="4"/>
        <v>2023-08</v>
      </c>
      <c r="M31" s="64" t="str">
        <f t="shared" si="5"/>
        <v>2023-H2</v>
      </c>
      <c r="N31" s="65" t="s">
        <v>85</v>
      </c>
    </row>
    <row r="32">
      <c r="I32" s="61" t="str">
        <f t="shared" si="1"/>
        <v>2023</v>
      </c>
      <c r="J32" s="62">
        <f t="shared" si="2"/>
        <v>8</v>
      </c>
      <c r="K32" s="61" t="str">
        <f t="shared" si="3"/>
        <v>2023-Q3</v>
      </c>
      <c r="L32" s="63" t="str">
        <f t="shared" si="4"/>
        <v>2023-08</v>
      </c>
      <c r="M32" s="64" t="str">
        <f t="shared" si="5"/>
        <v>2023-H2</v>
      </c>
      <c r="N32" s="65" t="s">
        <v>85</v>
      </c>
    </row>
    <row r="33">
      <c r="I33" s="61" t="str">
        <f t="shared" si="1"/>
        <v>2023</v>
      </c>
      <c r="J33" s="62">
        <f t="shared" si="2"/>
        <v>7</v>
      </c>
      <c r="K33" s="61" t="str">
        <f t="shared" si="3"/>
        <v>2023-Q3</v>
      </c>
      <c r="L33" s="63" t="str">
        <f t="shared" si="4"/>
        <v>2023-07</v>
      </c>
      <c r="M33" s="64" t="str">
        <f t="shared" si="5"/>
        <v>2023-H2</v>
      </c>
      <c r="N33" s="65" t="s">
        <v>85</v>
      </c>
    </row>
    <row r="34">
      <c r="I34" s="61" t="str">
        <f t="shared" si="1"/>
        <v>2023</v>
      </c>
      <c r="J34" s="62">
        <f t="shared" si="2"/>
        <v>8</v>
      </c>
      <c r="K34" s="61" t="str">
        <f t="shared" si="3"/>
        <v>2023-Q3</v>
      </c>
      <c r="L34" s="63" t="str">
        <f t="shared" si="4"/>
        <v>2023-08</v>
      </c>
      <c r="M34" s="64" t="str">
        <f t="shared" si="5"/>
        <v>2023-H2</v>
      </c>
      <c r="N34" s="65" t="s">
        <v>85</v>
      </c>
    </row>
    <row r="35">
      <c r="I35" s="61" t="str">
        <f t="shared" si="1"/>
        <v>2023</v>
      </c>
      <c r="J35" s="62">
        <f t="shared" si="2"/>
        <v>8</v>
      </c>
      <c r="K35" s="61" t="str">
        <f t="shared" si="3"/>
        <v>2023-Q3</v>
      </c>
      <c r="L35" s="63" t="str">
        <f t="shared" si="4"/>
        <v>2023-08</v>
      </c>
      <c r="M35" s="64" t="str">
        <f t="shared" si="5"/>
        <v>2023-H2</v>
      </c>
      <c r="N35" s="65" t="s">
        <v>85</v>
      </c>
    </row>
    <row r="36">
      <c r="I36" s="61" t="str">
        <f t="shared" si="1"/>
        <v>2023</v>
      </c>
      <c r="J36" s="62">
        <f t="shared" si="2"/>
        <v>7</v>
      </c>
      <c r="K36" s="61" t="str">
        <f t="shared" si="3"/>
        <v>2023-Q3</v>
      </c>
      <c r="L36" s="63" t="str">
        <f t="shared" si="4"/>
        <v>2023-07</v>
      </c>
      <c r="M36" s="64" t="str">
        <f t="shared" si="5"/>
        <v>2023-H2</v>
      </c>
      <c r="N36" s="65" t="s">
        <v>85</v>
      </c>
    </row>
    <row r="37">
      <c r="I37" s="61" t="str">
        <f t="shared" si="1"/>
        <v>2023</v>
      </c>
      <c r="J37" s="62">
        <f t="shared" si="2"/>
        <v>8</v>
      </c>
      <c r="K37" s="61" t="str">
        <f t="shared" si="3"/>
        <v>2023-Q3</v>
      </c>
      <c r="L37" s="63" t="str">
        <f t="shared" si="4"/>
        <v>2023-08</v>
      </c>
      <c r="M37" s="64" t="str">
        <f t="shared" si="5"/>
        <v>2023-H2</v>
      </c>
      <c r="N37" s="65" t="s">
        <v>85</v>
      </c>
    </row>
    <row r="38">
      <c r="I38" s="61" t="str">
        <f t="shared" si="1"/>
        <v>2023</v>
      </c>
      <c r="J38" s="62">
        <f t="shared" si="2"/>
        <v>7</v>
      </c>
      <c r="K38" s="61" t="str">
        <f t="shared" si="3"/>
        <v>2023-Q3</v>
      </c>
      <c r="L38" s="63" t="str">
        <f t="shared" si="4"/>
        <v>2023-07</v>
      </c>
      <c r="M38" s="64" t="str">
        <f t="shared" si="5"/>
        <v>2023-H2</v>
      </c>
      <c r="N38" s="65" t="s">
        <v>85</v>
      </c>
    </row>
    <row r="39">
      <c r="I39" s="61" t="str">
        <f t="shared" si="1"/>
        <v>2023</v>
      </c>
      <c r="J39" s="62">
        <f t="shared" si="2"/>
        <v>8</v>
      </c>
      <c r="K39" s="61" t="str">
        <f t="shared" si="3"/>
        <v>2023-Q3</v>
      </c>
      <c r="L39" s="63" t="str">
        <f t="shared" si="4"/>
        <v>2023-08</v>
      </c>
      <c r="M39" s="64" t="str">
        <f t="shared" si="5"/>
        <v>2023-H2</v>
      </c>
      <c r="N39" s="65" t="s">
        <v>85</v>
      </c>
    </row>
    <row r="40">
      <c r="I40" s="61" t="str">
        <f t="shared" si="1"/>
        <v>2023</v>
      </c>
      <c r="J40" s="62">
        <f t="shared" si="2"/>
        <v>8</v>
      </c>
      <c r="K40" s="61" t="str">
        <f t="shared" si="3"/>
        <v>2023-Q3</v>
      </c>
      <c r="L40" s="63" t="str">
        <f t="shared" si="4"/>
        <v>2023-08</v>
      </c>
      <c r="M40" s="64" t="str">
        <f t="shared" si="5"/>
        <v>2023-H2</v>
      </c>
      <c r="N40" s="65" t="s">
        <v>85</v>
      </c>
    </row>
    <row r="41">
      <c r="I41" s="61" t="str">
        <f t="shared" si="1"/>
        <v>2023</v>
      </c>
      <c r="J41" s="62">
        <f t="shared" si="2"/>
        <v>8</v>
      </c>
      <c r="K41" s="61" t="str">
        <f t="shared" si="3"/>
        <v>2023-Q3</v>
      </c>
      <c r="L41" s="63" t="str">
        <f t="shared" si="4"/>
        <v>2023-08</v>
      </c>
      <c r="M41" s="64" t="str">
        <f t="shared" si="5"/>
        <v>2023-H2</v>
      </c>
      <c r="N41" s="65" t="s">
        <v>85</v>
      </c>
    </row>
    <row r="42">
      <c r="I42" s="61" t="str">
        <f t="shared" si="1"/>
        <v>2023</v>
      </c>
      <c r="J42" s="62">
        <f t="shared" si="2"/>
        <v>8</v>
      </c>
      <c r="K42" s="61" t="str">
        <f t="shared" si="3"/>
        <v>2023-Q3</v>
      </c>
      <c r="L42" s="63" t="str">
        <f t="shared" si="4"/>
        <v>2023-08</v>
      </c>
      <c r="M42" s="64" t="str">
        <f t="shared" si="5"/>
        <v>2023-H2</v>
      </c>
      <c r="N42" s="65" t="s">
        <v>85</v>
      </c>
    </row>
    <row r="43">
      <c r="I43" s="61" t="str">
        <f t="shared" si="1"/>
        <v>2023</v>
      </c>
      <c r="J43" s="62">
        <f t="shared" si="2"/>
        <v>8</v>
      </c>
      <c r="K43" s="61" t="str">
        <f t="shared" si="3"/>
        <v>2023-Q3</v>
      </c>
      <c r="L43" s="63" t="str">
        <f t="shared" si="4"/>
        <v>2023-08</v>
      </c>
      <c r="M43" s="64" t="str">
        <f t="shared" si="5"/>
        <v>2023-H2</v>
      </c>
      <c r="N43" s="65" t="s">
        <v>85</v>
      </c>
    </row>
    <row r="44">
      <c r="I44" s="61" t="str">
        <f t="shared" si="1"/>
        <v>2023</v>
      </c>
      <c r="J44" s="62">
        <f t="shared" si="2"/>
        <v>8</v>
      </c>
      <c r="K44" s="61" t="str">
        <f t="shared" si="3"/>
        <v>2023-Q3</v>
      </c>
      <c r="L44" s="63" t="str">
        <f t="shared" si="4"/>
        <v>2023-08</v>
      </c>
      <c r="M44" s="64" t="str">
        <f t="shared" si="5"/>
        <v>2023-H2</v>
      </c>
      <c r="N44" s="65" t="s">
        <v>85</v>
      </c>
    </row>
    <row r="45">
      <c r="I45" s="61" t="str">
        <f t="shared" si="1"/>
        <v>2023</v>
      </c>
      <c r="J45" s="62">
        <f t="shared" si="2"/>
        <v>8</v>
      </c>
      <c r="K45" s="61" t="str">
        <f t="shared" si="3"/>
        <v>2023-Q3</v>
      </c>
      <c r="L45" s="63" t="str">
        <f t="shared" si="4"/>
        <v>2023-08</v>
      </c>
      <c r="M45" s="64" t="str">
        <f t="shared" si="5"/>
        <v>2023-H2</v>
      </c>
      <c r="N45" s="65" t="s">
        <v>85</v>
      </c>
    </row>
    <row r="46">
      <c r="I46" s="61" t="str">
        <f t="shared" si="1"/>
        <v>2023</v>
      </c>
      <c r="J46" s="62">
        <f t="shared" si="2"/>
        <v>8</v>
      </c>
      <c r="K46" s="61" t="str">
        <f t="shared" si="3"/>
        <v>2023-Q3</v>
      </c>
      <c r="L46" s="63" t="str">
        <f t="shared" si="4"/>
        <v>2023-08</v>
      </c>
      <c r="M46" s="64" t="str">
        <f t="shared" si="5"/>
        <v>2023-H2</v>
      </c>
      <c r="N46" s="65" t="s">
        <v>85</v>
      </c>
    </row>
    <row r="47">
      <c r="I47" s="61" t="str">
        <f t="shared" si="1"/>
        <v>2023</v>
      </c>
      <c r="J47" s="62">
        <f t="shared" si="2"/>
        <v>9</v>
      </c>
      <c r="K47" s="61" t="str">
        <f t="shared" si="3"/>
        <v>2023-Q3</v>
      </c>
      <c r="L47" s="63" t="str">
        <f t="shared" si="4"/>
        <v>2023-09</v>
      </c>
      <c r="M47" s="64" t="str">
        <f t="shared" si="5"/>
        <v>2023-H2</v>
      </c>
      <c r="N47" s="65" t="s">
        <v>85</v>
      </c>
    </row>
    <row r="48">
      <c r="I48" s="61" t="str">
        <f t="shared" si="1"/>
        <v>2023</v>
      </c>
      <c r="J48" s="62">
        <f t="shared" si="2"/>
        <v>8</v>
      </c>
      <c r="K48" s="61" t="str">
        <f t="shared" si="3"/>
        <v>2023-Q3</v>
      </c>
      <c r="L48" s="63" t="str">
        <f t="shared" si="4"/>
        <v>2023-08</v>
      </c>
      <c r="M48" s="64" t="str">
        <f t="shared" si="5"/>
        <v>2023-H2</v>
      </c>
      <c r="N48" s="65" t="s">
        <v>85</v>
      </c>
    </row>
    <row r="49">
      <c r="I49" s="61" t="str">
        <f t="shared" si="1"/>
        <v>2023</v>
      </c>
      <c r="J49" s="62">
        <f t="shared" si="2"/>
        <v>8</v>
      </c>
      <c r="K49" s="61" t="str">
        <f t="shared" si="3"/>
        <v>2023-Q3</v>
      </c>
      <c r="L49" s="63" t="str">
        <f t="shared" si="4"/>
        <v>2023-08</v>
      </c>
      <c r="M49" s="64" t="str">
        <f t="shared" si="5"/>
        <v>2023-H2</v>
      </c>
      <c r="N49" s="65" t="s">
        <v>85</v>
      </c>
    </row>
    <row r="50">
      <c r="I50" s="61" t="str">
        <f t="shared" si="1"/>
        <v>2023</v>
      </c>
      <c r="J50" s="62">
        <f t="shared" si="2"/>
        <v>8</v>
      </c>
      <c r="K50" s="61" t="str">
        <f t="shared" si="3"/>
        <v>2023-Q3</v>
      </c>
      <c r="L50" s="63" t="str">
        <f t="shared" si="4"/>
        <v>2023-08</v>
      </c>
      <c r="M50" s="64" t="str">
        <f t="shared" si="5"/>
        <v>2023-H2</v>
      </c>
      <c r="N50" s="65" t="s">
        <v>85</v>
      </c>
    </row>
    <row r="51">
      <c r="I51" s="61" t="str">
        <f t="shared" si="1"/>
        <v>2023</v>
      </c>
      <c r="J51" s="62">
        <f t="shared" si="2"/>
        <v>8</v>
      </c>
      <c r="K51" s="61" t="str">
        <f t="shared" si="3"/>
        <v>2023-Q3</v>
      </c>
      <c r="L51" s="63" t="str">
        <f t="shared" si="4"/>
        <v>2023-08</v>
      </c>
      <c r="M51" s="64" t="str">
        <f t="shared" si="5"/>
        <v>2023-H2</v>
      </c>
      <c r="N51" s="65" t="s">
        <v>85</v>
      </c>
    </row>
    <row r="52">
      <c r="I52" s="61" t="str">
        <f t="shared" si="1"/>
        <v>2023</v>
      </c>
      <c r="J52" s="62">
        <f t="shared" si="2"/>
        <v>8</v>
      </c>
      <c r="K52" s="61" t="str">
        <f t="shared" si="3"/>
        <v>2023-Q3</v>
      </c>
      <c r="L52" s="63" t="str">
        <f t="shared" si="4"/>
        <v>2023-08</v>
      </c>
      <c r="M52" s="64" t="str">
        <f t="shared" si="5"/>
        <v>2023-H2</v>
      </c>
      <c r="N52" s="65" t="s">
        <v>85</v>
      </c>
    </row>
    <row r="53">
      <c r="I53" s="61" t="str">
        <f t="shared" si="1"/>
        <v>2023</v>
      </c>
      <c r="J53" s="62">
        <f t="shared" si="2"/>
        <v>8</v>
      </c>
      <c r="K53" s="61" t="str">
        <f t="shared" si="3"/>
        <v>2023-Q3</v>
      </c>
      <c r="L53" s="63" t="str">
        <f t="shared" si="4"/>
        <v>2023-08</v>
      </c>
      <c r="M53" s="64" t="str">
        <f t="shared" si="5"/>
        <v>2023-H2</v>
      </c>
      <c r="N53" s="65" t="s">
        <v>85</v>
      </c>
    </row>
    <row r="54">
      <c r="I54" s="61" t="str">
        <f t="shared" si="1"/>
        <v>2023</v>
      </c>
      <c r="J54" s="62">
        <f t="shared" si="2"/>
        <v>9</v>
      </c>
      <c r="K54" s="61" t="str">
        <f t="shared" si="3"/>
        <v>2023-Q3</v>
      </c>
      <c r="L54" s="63" t="str">
        <f t="shared" si="4"/>
        <v>2023-09</v>
      </c>
      <c r="M54" s="64" t="str">
        <f t="shared" si="5"/>
        <v>2023-H2</v>
      </c>
      <c r="N54" s="65" t="s">
        <v>85</v>
      </c>
    </row>
    <row r="55">
      <c r="I55" s="61" t="str">
        <f t="shared" si="1"/>
        <v>2023</v>
      </c>
      <c r="J55" s="62">
        <f t="shared" si="2"/>
        <v>9</v>
      </c>
      <c r="K55" s="61" t="str">
        <f t="shared" si="3"/>
        <v>2023-Q3</v>
      </c>
      <c r="L55" s="63" t="str">
        <f t="shared" si="4"/>
        <v>2023-09</v>
      </c>
      <c r="M55" s="64" t="str">
        <f t="shared" si="5"/>
        <v>2023-H2</v>
      </c>
      <c r="N55" s="65" t="s">
        <v>85</v>
      </c>
    </row>
    <row r="56">
      <c r="I56" s="61" t="str">
        <f t="shared" si="1"/>
        <v>2023</v>
      </c>
      <c r="J56" s="62">
        <f t="shared" si="2"/>
        <v>9</v>
      </c>
      <c r="K56" s="61" t="str">
        <f t="shared" si="3"/>
        <v>2023-Q3</v>
      </c>
      <c r="L56" s="63" t="str">
        <f t="shared" si="4"/>
        <v>2023-09</v>
      </c>
      <c r="M56" s="64" t="str">
        <f t="shared" si="5"/>
        <v>2023-H2</v>
      </c>
      <c r="N56" s="65" t="s">
        <v>85</v>
      </c>
    </row>
    <row r="57">
      <c r="I57" s="61" t="str">
        <f t="shared" si="1"/>
        <v>2023</v>
      </c>
      <c r="J57" s="62">
        <f t="shared" si="2"/>
        <v>8</v>
      </c>
      <c r="K57" s="61" t="str">
        <f t="shared" si="3"/>
        <v>2023-Q3</v>
      </c>
      <c r="L57" s="63" t="str">
        <f t="shared" si="4"/>
        <v>2023-08</v>
      </c>
      <c r="M57" s="64" t="str">
        <f t="shared" si="5"/>
        <v>2023-H2</v>
      </c>
      <c r="N57" s="65" t="s">
        <v>85</v>
      </c>
    </row>
    <row r="58">
      <c r="I58" s="61" t="str">
        <f t="shared" si="1"/>
        <v>2023</v>
      </c>
      <c r="J58" s="62">
        <f t="shared" si="2"/>
        <v>9</v>
      </c>
      <c r="K58" s="61" t="str">
        <f t="shared" si="3"/>
        <v>2023-Q3</v>
      </c>
      <c r="L58" s="63" t="str">
        <f t="shared" si="4"/>
        <v>2023-09</v>
      </c>
      <c r="M58" s="64" t="str">
        <f t="shared" si="5"/>
        <v>2023-H2</v>
      </c>
      <c r="N58" s="65" t="s">
        <v>85</v>
      </c>
    </row>
    <row r="59">
      <c r="I59" s="61" t="str">
        <f t="shared" si="1"/>
        <v>2023</v>
      </c>
      <c r="J59" s="62">
        <f t="shared" si="2"/>
        <v>9</v>
      </c>
      <c r="K59" s="61" t="str">
        <f t="shared" si="3"/>
        <v>2023-Q3</v>
      </c>
      <c r="L59" s="63" t="str">
        <f t="shared" si="4"/>
        <v>2023-09</v>
      </c>
      <c r="M59" s="64" t="str">
        <f t="shared" si="5"/>
        <v>2023-H2</v>
      </c>
      <c r="N59" s="65" t="s">
        <v>85</v>
      </c>
    </row>
    <row r="60">
      <c r="I60" s="61" t="str">
        <f t="shared" si="1"/>
        <v>2023</v>
      </c>
      <c r="J60" s="62">
        <f t="shared" si="2"/>
        <v>9</v>
      </c>
      <c r="K60" s="61" t="str">
        <f t="shared" si="3"/>
        <v>2023-Q3</v>
      </c>
      <c r="L60" s="63" t="str">
        <f t="shared" si="4"/>
        <v>2023-09</v>
      </c>
      <c r="M60" s="64" t="str">
        <f t="shared" si="5"/>
        <v>2023-H2</v>
      </c>
      <c r="N60" s="65" t="s">
        <v>85</v>
      </c>
    </row>
    <row r="61">
      <c r="I61" s="61" t="str">
        <f t="shared" si="1"/>
        <v>2023</v>
      </c>
      <c r="J61" s="62">
        <f t="shared" si="2"/>
        <v>9</v>
      </c>
      <c r="K61" s="61" t="str">
        <f t="shared" si="3"/>
        <v>2023-Q3</v>
      </c>
      <c r="L61" s="63" t="str">
        <f t="shared" si="4"/>
        <v>2023-09</v>
      </c>
      <c r="M61" s="64" t="str">
        <f t="shared" si="5"/>
        <v>2023-H2</v>
      </c>
      <c r="N61" s="65" t="s">
        <v>85</v>
      </c>
    </row>
    <row r="62">
      <c r="I62" s="61" t="str">
        <f t="shared" si="1"/>
        <v>2023</v>
      </c>
      <c r="J62" s="62">
        <f t="shared" si="2"/>
        <v>9</v>
      </c>
      <c r="K62" s="61" t="str">
        <f t="shared" si="3"/>
        <v>2023-Q3</v>
      </c>
      <c r="L62" s="63" t="str">
        <f t="shared" si="4"/>
        <v>2023-09</v>
      </c>
      <c r="M62" s="64" t="str">
        <f t="shared" si="5"/>
        <v>2023-H2</v>
      </c>
      <c r="N62" s="65" t="s">
        <v>85</v>
      </c>
    </row>
    <row r="63">
      <c r="I63" s="61" t="str">
        <f t="shared" si="1"/>
        <v>2023</v>
      </c>
      <c r="J63" s="62">
        <f t="shared" si="2"/>
        <v>9</v>
      </c>
      <c r="K63" s="61" t="str">
        <f t="shared" si="3"/>
        <v>2023-Q3</v>
      </c>
      <c r="L63" s="63" t="str">
        <f t="shared" si="4"/>
        <v>2023-09</v>
      </c>
      <c r="M63" s="64" t="str">
        <f t="shared" si="5"/>
        <v>2023-H2</v>
      </c>
      <c r="N63" s="65" t="s">
        <v>85</v>
      </c>
    </row>
    <row r="64">
      <c r="I64" s="61" t="str">
        <f t="shared" si="1"/>
        <v>2023</v>
      </c>
      <c r="J64" s="62">
        <f t="shared" si="2"/>
        <v>10</v>
      </c>
      <c r="K64" s="61" t="str">
        <f t="shared" si="3"/>
        <v>2023-Q4</v>
      </c>
      <c r="L64" s="63" t="str">
        <f t="shared" si="4"/>
        <v>2023-10</v>
      </c>
      <c r="M64" s="64" t="str">
        <f t="shared" si="5"/>
        <v>2023-H2</v>
      </c>
      <c r="N64" s="65" t="s">
        <v>85</v>
      </c>
    </row>
    <row r="65">
      <c r="I65" s="61" t="str">
        <f t="shared" si="1"/>
        <v>2023</v>
      </c>
      <c r="J65" s="62">
        <f t="shared" si="2"/>
        <v>9</v>
      </c>
      <c r="K65" s="61" t="str">
        <f t="shared" si="3"/>
        <v>2023-Q3</v>
      </c>
      <c r="L65" s="63" t="str">
        <f t="shared" si="4"/>
        <v>2023-09</v>
      </c>
      <c r="M65" s="64" t="str">
        <f t="shared" si="5"/>
        <v>2023-H2</v>
      </c>
      <c r="N65" s="65" t="s">
        <v>85</v>
      </c>
    </row>
    <row r="66">
      <c r="I66" s="61" t="str">
        <f t="shared" si="1"/>
        <v>2023</v>
      </c>
      <c r="J66" s="62">
        <f t="shared" si="2"/>
        <v>9</v>
      </c>
      <c r="K66" s="61" t="str">
        <f t="shared" si="3"/>
        <v>2023-Q3</v>
      </c>
      <c r="L66" s="63" t="str">
        <f t="shared" si="4"/>
        <v>2023-09</v>
      </c>
      <c r="M66" s="64" t="str">
        <f t="shared" si="5"/>
        <v>2023-H2</v>
      </c>
      <c r="N66" s="65" t="s">
        <v>85</v>
      </c>
    </row>
    <row r="67">
      <c r="I67" s="61" t="str">
        <f t="shared" si="1"/>
        <v>2023</v>
      </c>
      <c r="J67" s="62">
        <f t="shared" si="2"/>
        <v>10</v>
      </c>
      <c r="K67" s="61" t="str">
        <f t="shared" si="3"/>
        <v>2023-Q4</v>
      </c>
      <c r="L67" s="63" t="str">
        <f t="shared" si="4"/>
        <v>2023-10</v>
      </c>
      <c r="M67" s="64" t="str">
        <f t="shared" si="5"/>
        <v>2023-H2</v>
      </c>
      <c r="N67" s="65" t="s">
        <v>85</v>
      </c>
    </row>
    <row r="68">
      <c r="I68" s="61" t="str">
        <f t="shared" si="1"/>
        <v>2023</v>
      </c>
      <c r="J68" s="62">
        <f t="shared" si="2"/>
        <v>10</v>
      </c>
      <c r="K68" s="61" t="str">
        <f t="shared" si="3"/>
        <v>2023-Q4</v>
      </c>
      <c r="L68" s="63" t="str">
        <f t="shared" si="4"/>
        <v>2023-10</v>
      </c>
      <c r="M68" s="64" t="str">
        <f t="shared" si="5"/>
        <v>2023-H2</v>
      </c>
      <c r="N68" s="65" t="s">
        <v>85</v>
      </c>
    </row>
    <row r="69">
      <c r="I69" s="61" t="str">
        <f t="shared" si="1"/>
        <v>2023</v>
      </c>
      <c r="J69" s="62">
        <f t="shared" si="2"/>
        <v>10</v>
      </c>
      <c r="K69" s="61" t="str">
        <f t="shared" si="3"/>
        <v>2023-Q4</v>
      </c>
      <c r="L69" s="63" t="str">
        <f t="shared" si="4"/>
        <v>2023-10</v>
      </c>
      <c r="M69" s="64" t="str">
        <f t="shared" si="5"/>
        <v>2023-H2</v>
      </c>
      <c r="N69" s="65" t="s">
        <v>85</v>
      </c>
    </row>
    <row r="70">
      <c r="I70" s="61" t="str">
        <f t="shared" si="1"/>
        <v>2023</v>
      </c>
      <c r="J70" s="62">
        <f t="shared" si="2"/>
        <v>10</v>
      </c>
      <c r="K70" s="61" t="str">
        <f t="shared" si="3"/>
        <v>2023-Q4</v>
      </c>
      <c r="L70" s="63" t="str">
        <f t="shared" si="4"/>
        <v>2023-10</v>
      </c>
      <c r="M70" s="64" t="str">
        <f t="shared" si="5"/>
        <v>2023-H2</v>
      </c>
      <c r="N70" s="65" t="s">
        <v>85</v>
      </c>
    </row>
    <row r="71">
      <c r="I71" s="61" t="str">
        <f t="shared" si="1"/>
        <v>2023</v>
      </c>
      <c r="J71" s="62">
        <f t="shared" si="2"/>
        <v>10</v>
      </c>
      <c r="K71" s="61" t="str">
        <f t="shared" si="3"/>
        <v>2023-Q4</v>
      </c>
      <c r="L71" s="63" t="str">
        <f t="shared" si="4"/>
        <v>2023-10</v>
      </c>
      <c r="M71" s="64" t="str">
        <f t="shared" si="5"/>
        <v>2023-H2</v>
      </c>
      <c r="N71" s="65" t="s">
        <v>85</v>
      </c>
    </row>
    <row r="72">
      <c r="I72" s="61" t="str">
        <f t="shared" si="1"/>
        <v>2023</v>
      </c>
      <c r="J72" s="62">
        <f t="shared" si="2"/>
        <v>10</v>
      </c>
      <c r="K72" s="61" t="str">
        <f t="shared" si="3"/>
        <v>2023-Q4</v>
      </c>
      <c r="L72" s="63" t="str">
        <f t="shared" si="4"/>
        <v>2023-10</v>
      </c>
      <c r="M72" s="64" t="str">
        <f t="shared" si="5"/>
        <v>2023-H2</v>
      </c>
      <c r="N72" s="65" t="s">
        <v>85</v>
      </c>
    </row>
    <row r="73">
      <c r="I73" s="61" t="str">
        <f t="shared" si="1"/>
        <v>2023</v>
      </c>
      <c r="J73" s="62">
        <f t="shared" si="2"/>
        <v>10</v>
      </c>
      <c r="K73" s="61" t="str">
        <f t="shared" si="3"/>
        <v>2023-Q4</v>
      </c>
      <c r="L73" s="63" t="str">
        <f t="shared" si="4"/>
        <v>2023-10</v>
      </c>
      <c r="M73" s="64" t="str">
        <f t="shared" si="5"/>
        <v>2023-H2</v>
      </c>
      <c r="N73" s="65" t="s">
        <v>85</v>
      </c>
    </row>
    <row r="74">
      <c r="I74" s="61" t="str">
        <f t="shared" si="1"/>
        <v>2023</v>
      </c>
      <c r="J74" s="62">
        <f t="shared" si="2"/>
        <v>9</v>
      </c>
      <c r="K74" s="61" t="str">
        <f t="shared" si="3"/>
        <v>2023-Q3</v>
      </c>
      <c r="L74" s="63" t="str">
        <f t="shared" si="4"/>
        <v>2023-09</v>
      </c>
      <c r="M74" s="64" t="str">
        <f t="shared" si="5"/>
        <v>2023-H2</v>
      </c>
      <c r="N74" s="65" t="s">
        <v>85</v>
      </c>
    </row>
    <row r="75">
      <c r="I75" s="61" t="str">
        <f t="shared" si="1"/>
        <v>2023</v>
      </c>
      <c r="J75" s="62">
        <f t="shared" si="2"/>
        <v>10</v>
      </c>
      <c r="K75" s="61" t="str">
        <f t="shared" si="3"/>
        <v>2023-Q4</v>
      </c>
      <c r="L75" s="63" t="str">
        <f t="shared" si="4"/>
        <v>2023-10</v>
      </c>
      <c r="M75" s="64" t="str">
        <f t="shared" si="5"/>
        <v>2023-H2</v>
      </c>
      <c r="N75" s="65" t="s">
        <v>85</v>
      </c>
    </row>
    <row r="76">
      <c r="I76" s="61" t="str">
        <f t="shared" si="1"/>
        <v>2023</v>
      </c>
      <c r="J76" s="62">
        <f t="shared" si="2"/>
        <v>10</v>
      </c>
      <c r="K76" s="61" t="str">
        <f t="shared" si="3"/>
        <v>2023-Q4</v>
      </c>
      <c r="L76" s="63" t="str">
        <f t="shared" si="4"/>
        <v>2023-10</v>
      </c>
      <c r="M76" s="64" t="str">
        <f t="shared" si="5"/>
        <v>2023-H2</v>
      </c>
      <c r="N76" s="65" t="s">
        <v>85</v>
      </c>
    </row>
    <row r="77">
      <c r="I77" s="61" t="str">
        <f t="shared" si="1"/>
        <v>2023</v>
      </c>
      <c r="J77" s="62">
        <f t="shared" si="2"/>
        <v>10</v>
      </c>
      <c r="K77" s="61" t="str">
        <f t="shared" si="3"/>
        <v>2023-Q4</v>
      </c>
      <c r="L77" s="63" t="str">
        <f t="shared" si="4"/>
        <v>2023-10</v>
      </c>
      <c r="M77" s="64" t="str">
        <f t="shared" si="5"/>
        <v>2023-H2</v>
      </c>
      <c r="N77" s="65" t="s">
        <v>85</v>
      </c>
    </row>
    <row r="78">
      <c r="I78" s="61" t="str">
        <f t="shared" si="1"/>
        <v>2023</v>
      </c>
      <c r="J78" s="62">
        <f t="shared" si="2"/>
        <v>10</v>
      </c>
      <c r="K78" s="61" t="str">
        <f t="shared" si="3"/>
        <v>2023-Q4</v>
      </c>
      <c r="L78" s="63" t="str">
        <f t="shared" si="4"/>
        <v>2023-10</v>
      </c>
      <c r="M78" s="64" t="str">
        <f t="shared" si="5"/>
        <v>2023-H2</v>
      </c>
      <c r="N78" s="65" t="s">
        <v>85</v>
      </c>
    </row>
    <row r="79">
      <c r="I79" s="61" t="str">
        <f t="shared" si="1"/>
        <v>2023</v>
      </c>
      <c r="J79" s="62">
        <f t="shared" si="2"/>
        <v>10</v>
      </c>
      <c r="K79" s="61" t="str">
        <f t="shared" si="3"/>
        <v>2023-Q4</v>
      </c>
      <c r="L79" s="63" t="str">
        <f t="shared" si="4"/>
        <v>2023-10</v>
      </c>
      <c r="M79" s="64" t="str">
        <f t="shared" si="5"/>
        <v>2023-H2</v>
      </c>
      <c r="N79" s="65" t="s">
        <v>85</v>
      </c>
    </row>
    <row r="80">
      <c r="I80" s="61" t="str">
        <f t="shared" si="1"/>
        <v>2023</v>
      </c>
      <c r="J80" s="62">
        <f t="shared" si="2"/>
        <v>10</v>
      </c>
      <c r="K80" s="61" t="str">
        <f t="shared" si="3"/>
        <v>2023-Q4</v>
      </c>
      <c r="L80" s="63" t="str">
        <f t="shared" si="4"/>
        <v>2023-10</v>
      </c>
      <c r="M80" s="64" t="str">
        <f t="shared" si="5"/>
        <v>2023-H2</v>
      </c>
      <c r="N80" s="65" t="s">
        <v>85</v>
      </c>
    </row>
    <row r="81">
      <c r="I81" s="61" t="str">
        <f t="shared" si="1"/>
        <v>2023</v>
      </c>
      <c r="J81" s="62">
        <f t="shared" si="2"/>
        <v>10</v>
      </c>
      <c r="K81" s="61" t="str">
        <f t="shared" si="3"/>
        <v>2023-Q4</v>
      </c>
      <c r="L81" s="63" t="str">
        <f t="shared" si="4"/>
        <v>2023-10</v>
      </c>
      <c r="M81" s="64" t="str">
        <f t="shared" si="5"/>
        <v>2023-H2</v>
      </c>
      <c r="N81" s="65" t="s">
        <v>85</v>
      </c>
    </row>
    <row r="82">
      <c r="I82" s="61" t="str">
        <f t="shared" si="1"/>
        <v>2023</v>
      </c>
      <c r="J82" s="62">
        <f t="shared" si="2"/>
        <v>10</v>
      </c>
      <c r="K82" s="61" t="str">
        <f t="shared" si="3"/>
        <v>2023-Q4</v>
      </c>
      <c r="L82" s="63" t="str">
        <f t="shared" si="4"/>
        <v>2023-10</v>
      </c>
      <c r="M82" s="64" t="str">
        <f t="shared" si="5"/>
        <v>2023-H2</v>
      </c>
      <c r="N82" s="65" t="s">
        <v>85</v>
      </c>
    </row>
    <row r="83">
      <c r="I83" s="61" t="str">
        <f t="shared" si="1"/>
        <v>2023</v>
      </c>
      <c r="J83" s="62">
        <f t="shared" si="2"/>
        <v>10</v>
      </c>
      <c r="K83" s="61" t="str">
        <f t="shared" si="3"/>
        <v>2023-Q4</v>
      </c>
      <c r="L83" s="63" t="str">
        <f t="shared" si="4"/>
        <v>2023-10</v>
      </c>
      <c r="M83" s="64" t="str">
        <f t="shared" si="5"/>
        <v>2023-H2</v>
      </c>
      <c r="N83" s="65" t="s">
        <v>85</v>
      </c>
    </row>
    <row r="84">
      <c r="I84" s="61" t="str">
        <f t="shared" si="1"/>
        <v>2023</v>
      </c>
      <c r="J84" s="62">
        <f t="shared" si="2"/>
        <v>10</v>
      </c>
      <c r="K84" s="61" t="str">
        <f t="shared" si="3"/>
        <v>2023-Q4</v>
      </c>
      <c r="L84" s="63" t="str">
        <f t="shared" si="4"/>
        <v>2023-10</v>
      </c>
      <c r="M84" s="64" t="str">
        <f t="shared" si="5"/>
        <v>2023-H2</v>
      </c>
      <c r="N84" s="65" t="s">
        <v>85</v>
      </c>
    </row>
    <row r="85">
      <c r="I85" s="61" t="str">
        <f t="shared" si="1"/>
        <v>2023</v>
      </c>
      <c r="J85" s="62">
        <f t="shared" si="2"/>
        <v>10</v>
      </c>
      <c r="K85" s="61" t="str">
        <f t="shared" si="3"/>
        <v>2023-Q4</v>
      </c>
      <c r="L85" s="63" t="str">
        <f t="shared" si="4"/>
        <v>2023-10</v>
      </c>
      <c r="M85" s="64" t="str">
        <f t="shared" si="5"/>
        <v>2023-H2</v>
      </c>
      <c r="N85" s="65" t="s">
        <v>85</v>
      </c>
    </row>
    <row r="86">
      <c r="I86" s="61" t="str">
        <f t="shared" si="1"/>
        <v>2023</v>
      </c>
      <c r="J86" s="62">
        <f t="shared" si="2"/>
        <v>10</v>
      </c>
      <c r="K86" s="61" t="str">
        <f t="shared" si="3"/>
        <v>2023-Q4</v>
      </c>
      <c r="L86" s="63" t="str">
        <f t="shared" si="4"/>
        <v>2023-10</v>
      </c>
      <c r="M86" s="64" t="str">
        <f t="shared" si="5"/>
        <v>2023-H2</v>
      </c>
      <c r="N86" s="65" t="s">
        <v>85</v>
      </c>
    </row>
    <row r="87">
      <c r="I87" s="61" t="str">
        <f t="shared" si="1"/>
        <v>2023</v>
      </c>
      <c r="J87" s="62">
        <f t="shared" si="2"/>
        <v>10</v>
      </c>
      <c r="K87" s="61" t="str">
        <f t="shared" si="3"/>
        <v>2023-Q4</v>
      </c>
      <c r="L87" s="63" t="str">
        <f t="shared" si="4"/>
        <v>2023-10</v>
      </c>
      <c r="M87" s="64" t="str">
        <f t="shared" si="5"/>
        <v>2023-H2</v>
      </c>
      <c r="N87" s="65" t="s">
        <v>85</v>
      </c>
    </row>
    <row r="88">
      <c r="I88" s="61" t="str">
        <f t="shared" si="1"/>
        <v>2023</v>
      </c>
      <c r="J88" s="62">
        <f t="shared" si="2"/>
        <v>10</v>
      </c>
      <c r="K88" s="61" t="str">
        <f t="shared" si="3"/>
        <v>2023-Q4</v>
      </c>
      <c r="L88" s="63" t="str">
        <f t="shared" si="4"/>
        <v>2023-10</v>
      </c>
      <c r="M88" s="64" t="str">
        <f t="shared" si="5"/>
        <v>2023-H2</v>
      </c>
      <c r="N88" s="65" t="s">
        <v>85</v>
      </c>
    </row>
    <row r="89">
      <c r="I89" s="61" t="str">
        <f t="shared" si="1"/>
        <v>2023</v>
      </c>
      <c r="J89" s="62">
        <f t="shared" si="2"/>
        <v>10</v>
      </c>
      <c r="K89" s="61" t="str">
        <f t="shared" si="3"/>
        <v>2023-Q4</v>
      </c>
      <c r="L89" s="63" t="str">
        <f t="shared" si="4"/>
        <v>2023-10</v>
      </c>
      <c r="M89" s="64" t="str">
        <f t="shared" si="5"/>
        <v>2023-H2</v>
      </c>
      <c r="N89" s="65" t="s">
        <v>85</v>
      </c>
    </row>
    <row r="90">
      <c r="I90" s="61" t="str">
        <f t="shared" si="1"/>
        <v>2023</v>
      </c>
      <c r="J90" s="62">
        <f t="shared" si="2"/>
        <v>10</v>
      </c>
      <c r="K90" s="61" t="str">
        <f t="shared" si="3"/>
        <v>2023-Q4</v>
      </c>
      <c r="L90" s="63" t="str">
        <f t="shared" si="4"/>
        <v>2023-10</v>
      </c>
      <c r="M90" s="64" t="str">
        <f t="shared" si="5"/>
        <v>2023-H2</v>
      </c>
      <c r="N90" s="65" t="s">
        <v>85</v>
      </c>
    </row>
    <row r="91">
      <c r="I91" s="61" t="str">
        <f t="shared" si="1"/>
        <v>2023</v>
      </c>
      <c r="J91" s="62">
        <f t="shared" si="2"/>
        <v>10</v>
      </c>
      <c r="K91" s="61" t="str">
        <f t="shared" si="3"/>
        <v>2023-Q4</v>
      </c>
      <c r="L91" s="63" t="str">
        <f t="shared" si="4"/>
        <v>2023-10</v>
      </c>
      <c r="M91" s="64" t="str">
        <f t="shared" si="5"/>
        <v>2023-H2</v>
      </c>
      <c r="N91" s="65" t="s">
        <v>85</v>
      </c>
    </row>
    <row r="92">
      <c r="I92" s="61" t="str">
        <f t="shared" si="1"/>
        <v>2023</v>
      </c>
      <c r="J92" s="62">
        <f t="shared" si="2"/>
        <v>10</v>
      </c>
      <c r="K92" s="61" t="str">
        <f t="shared" si="3"/>
        <v>2023-Q4</v>
      </c>
      <c r="L92" s="63" t="str">
        <f t="shared" si="4"/>
        <v>2023-10</v>
      </c>
      <c r="M92" s="64" t="str">
        <f t="shared" si="5"/>
        <v>2023-H2</v>
      </c>
      <c r="N92" s="65" t="s">
        <v>85</v>
      </c>
    </row>
    <row r="93">
      <c r="I93" s="61" t="str">
        <f t="shared" si="1"/>
        <v>2023</v>
      </c>
      <c r="J93" s="62">
        <f t="shared" si="2"/>
        <v>10</v>
      </c>
      <c r="K93" s="61" t="str">
        <f t="shared" si="3"/>
        <v>2023-Q4</v>
      </c>
      <c r="L93" s="63" t="str">
        <f t="shared" si="4"/>
        <v>2023-10</v>
      </c>
      <c r="M93" s="64" t="str">
        <f t="shared" si="5"/>
        <v>2023-H2</v>
      </c>
      <c r="N93" s="65" t="s">
        <v>85</v>
      </c>
    </row>
    <row r="94">
      <c r="I94" s="61" t="str">
        <f t="shared" si="1"/>
        <v>2023</v>
      </c>
      <c r="J94" s="62">
        <f t="shared" si="2"/>
        <v>10</v>
      </c>
      <c r="K94" s="61" t="str">
        <f t="shared" si="3"/>
        <v>2023-Q4</v>
      </c>
      <c r="L94" s="63" t="str">
        <f t="shared" si="4"/>
        <v>2023-10</v>
      </c>
      <c r="M94" s="64" t="str">
        <f t="shared" si="5"/>
        <v>2023-H2</v>
      </c>
      <c r="N94" s="65" t="s">
        <v>85</v>
      </c>
    </row>
    <row r="95">
      <c r="I95" s="61" t="str">
        <f t="shared" si="1"/>
        <v>2023</v>
      </c>
      <c r="J95" s="62">
        <f t="shared" si="2"/>
        <v>10</v>
      </c>
      <c r="K95" s="61" t="str">
        <f t="shared" si="3"/>
        <v>2023-Q4</v>
      </c>
      <c r="L95" s="63" t="str">
        <f t="shared" si="4"/>
        <v>2023-10</v>
      </c>
      <c r="M95" s="64" t="str">
        <f t="shared" si="5"/>
        <v>2023-H2</v>
      </c>
      <c r="N95" s="65" t="s">
        <v>85</v>
      </c>
    </row>
    <row r="96">
      <c r="I96" s="61" t="str">
        <f t="shared" si="1"/>
        <v>2023</v>
      </c>
      <c r="J96" s="62">
        <f t="shared" si="2"/>
        <v>10</v>
      </c>
      <c r="K96" s="61" t="str">
        <f t="shared" si="3"/>
        <v>2023-Q4</v>
      </c>
      <c r="L96" s="63" t="str">
        <f t="shared" si="4"/>
        <v>2023-10</v>
      </c>
      <c r="M96" s="64" t="str">
        <f t="shared" si="5"/>
        <v>2023-H2</v>
      </c>
      <c r="N96" s="65" t="s">
        <v>85</v>
      </c>
    </row>
    <row r="97">
      <c r="I97" s="61" t="str">
        <f t="shared" si="1"/>
        <v>2023</v>
      </c>
      <c r="J97" s="62">
        <f t="shared" si="2"/>
        <v>10</v>
      </c>
      <c r="K97" s="61" t="str">
        <f t="shared" si="3"/>
        <v>2023-Q4</v>
      </c>
      <c r="L97" s="63" t="str">
        <f t="shared" si="4"/>
        <v>2023-10</v>
      </c>
      <c r="M97" s="64" t="str">
        <f t="shared" si="5"/>
        <v>2023-H2</v>
      </c>
      <c r="N97" s="65" t="s">
        <v>85</v>
      </c>
    </row>
    <row r="98">
      <c r="I98" s="61" t="str">
        <f t="shared" si="1"/>
        <v>2023</v>
      </c>
      <c r="J98" s="62">
        <f t="shared" si="2"/>
        <v>11</v>
      </c>
      <c r="K98" s="61" t="str">
        <f t="shared" si="3"/>
        <v>2023-Q4</v>
      </c>
      <c r="L98" s="63" t="str">
        <f t="shared" si="4"/>
        <v>2023-11</v>
      </c>
      <c r="M98" s="64" t="str">
        <f t="shared" si="5"/>
        <v>2023-H2</v>
      </c>
      <c r="N98" s="65" t="s">
        <v>85</v>
      </c>
    </row>
    <row r="99">
      <c r="I99" s="61" t="str">
        <f t="shared" si="1"/>
        <v>2023</v>
      </c>
      <c r="J99" s="62">
        <f t="shared" si="2"/>
        <v>11</v>
      </c>
      <c r="K99" s="61" t="str">
        <f t="shared" si="3"/>
        <v>2023-Q4</v>
      </c>
      <c r="L99" s="63" t="str">
        <f t="shared" si="4"/>
        <v>2023-11</v>
      </c>
      <c r="M99" s="64" t="str">
        <f t="shared" si="5"/>
        <v>2023-H2</v>
      </c>
      <c r="N99" s="65" t="s">
        <v>85</v>
      </c>
    </row>
    <row r="100">
      <c r="I100" s="61" t="str">
        <f t="shared" si="1"/>
        <v>2023</v>
      </c>
      <c r="J100" s="62">
        <f t="shared" si="2"/>
        <v>11</v>
      </c>
      <c r="K100" s="61" t="str">
        <f t="shared" si="3"/>
        <v>2023-Q4</v>
      </c>
      <c r="L100" s="63" t="str">
        <f t="shared" si="4"/>
        <v>2023-11</v>
      </c>
      <c r="M100" s="64" t="str">
        <f t="shared" si="5"/>
        <v>2023-H2</v>
      </c>
      <c r="N100" s="65" t="s">
        <v>85</v>
      </c>
    </row>
    <row r="101">
      <c r="I101" s="61" t="str">
        <f t="shared" si="1"/>
        <v>2023</v>
      </c>
      <c r="J101" s="62">
        <f t="shared" si="2"/>
        <v>11</v>
      </c>
      <c r="K101" s="61" t="str">
        <f t="shared" si="3"/>
        <v>2023-Q4</v>
      </c>
      <c r="L101" s="63" t="str">
        <f t="shared" si="4"/>
        <v>2023-11</v>
      </c>
      <c r="M101" s="64" t="str">
        <f t="shared" si="5"/>
        <v>2023-H2</v>
      </c>
      <c r="N101" s="65" t="s">
        <v>85</v>
      </c>
    </row>
    <row r="102">
      <c r="I102" s="61" t="str">
        <f t="shared" si="1"/>
        <v>2023</v>
      </c>
      <c r="J102" s="62">
        <f t="shared" si="2"/>
        <v>11</v>
      </c>
      <c r="K102" s="61" t="str">
        <f t="shared" si="3"/>
        <v>2023-Q4</v>
      </c>
      <c r="L102" s="63" t="str">
        <f t="shared" si="4"/>
        <v>2023-11</v>
      </c>
      <c r="M102" s="64" t="str">
        <f t="shared" si="5"/>
        <v>2023-H2</v>
      </c>
      <c r="N102" s="65" t="s">
        <v>85</v>
      </c>
    </row>
    <row r="103">
      <c r="I103" s="61" t="str">
        <f t="shared" si="1"/>
        <v>2023</v>
      </c>
      <c r="J103" s="62">
        <f t="shared" si="2"/>
        <v>10</v>
      </c>
      <c r="K103" s="61" t="str">
        <f t="shared" si="3"/>
        <v>2023-Q4</v>
      </c>
      <c r="L103" s="63" t="str">
        <f t="shared" si="4"/>
        <v>2023-10</v>
      </c>
      <c r="M103" s="64" t="str">
        <f t="shared" si="5"/>
        <v>2023-H2</v>
      </c>
      <c r="N103" s="65" t="s">
        <v>85</v>
      </c>
    </row>
    <row r="104">
      <c r="I104" s="61" t="str">
        <f t="shared" si="1"/>
        <v>2023</v>
      </c>
      <c r="J104" s="62">
        <f t="shared" si="2"/>
        <v>11</v>
      </c>
      <c r="K104" s="61" t="str">
        <f t="shared" si="3"/>
        <v>2023-Q4</v>
      </c>
      <c r="L104" s="63" t="str">
        <f t="shared" si="4"/>
        <v>2023-11</v>
      </c>
      <c r="M104" s="64" t="str">
        <f t="shared" si="5"/>
        <v>2023-H2</v>
      </c>
      <c r="N104" s="65" t="s">
        <v>85</v>
      </c>
    </row>
    <row r="105">
      <c r="I105" s="61" t="str">
        <f t="shared" si="1"/>
        <v>2023</v>
      </c>
      <c r="J105" s="62">
        <f t="shared" si="2"/>
        <v>11</v>
      </c>
      <c r="K105" s="61" t="str">
        <f t="shared" si="3"/>
        <v>2023-Q4</v>
      </c>
      <c r="L105" s="63" t="str">
        <f t="shared" si="4"/>
        <v>2023-11</v>
      </c>
      <c r="M105" s="64" t="str">
        <f t="shared" si="5"/>
        <v>2023-H2</v>
      </c>
      <c r="N105" s="65" t="s">
        <v>85</v>
      </c>
    </row>
    <row r="106">
      <c r="I106" s="61" t="str">
        <f t="shared" si="1"/>
        <v>2023</v>
      </c>
      <c r="J106" s="62">
        <f t="shared" si="2"/>
        <v>11</v>
      </c>
      <c r="K106" s="61" t="str">
        <f t="shared" si="3"/>
        <v>2023-Q4</v>
      </c>
      <c r="L106" s="63" t="str">
        <f t="shared" si="4"/>
        <v>2023-11</v>
      </c>
      <c r="M106" s="64" t="str">
        <f t="shared" si="5"/>
        <v>2023-H2</v>
      </c>
      <c r="N106" s="65" t="s">
        <v>85</v>
      </c>
    </row>
    <row r="107">
      <c r="I107" s="61" t="str">
        <f t="shared" si="1"/>
        <v>2023</v>
      </c>
      <c r="J107" s="62">
        <f t="shared" si="2"/>
        <v>10</v>
      </c>
      <c r="K107" s="61" t="str">
        <f t="shared" si="3"/>
        <v>2023-Q4</v>
      </c>
      <c r="L107" s="63" t="str">
        <f t="shared" si="4"/>
        <v>2023-10</v>
      </c>
      <c r="M107" s="64" t="str">
        <f t="shared" si="5"/>
        <v>2023-H2</v>
      </c>
      <c r="N107" s="65" t="s">
        <v>85</v>
      </c>
    </row>
    <row r="108">
      <c r="I108" s="61" t="str">
        <f t="shared" si="1"/>
        <v>2023</v>
      </c>
      <c r="J108" s="62">
        <f t="shared" si="2"/>
        <v>11</v>
      </c>
      <c r="K108" s="61" t="str">
        <f t="shared" si="3"/>
        <v>2023-Q4</v>
      </c>
      <c r="L108" s="63" t="str">
        <f t="shared" si="4"/>
        <v>2023-11</v>
      </c>
      <c r="M108" s="64" t="str">
        <f t="shared" si="5"/>
        <v>2023-H2</v>
      </c>
      <c r="N108" s="65" t="s">
        <v>85</v>
      </c>
    </row>
    <row r="109">
      <c r="I109" s="61" t="str">
        <f t="shared" si="1"/>
        <v>2023</v>
      </c>
      <c r="J109" s="62">
        <f t="shared" si="2"/>
        <v>11</v>
      </c>
      <c r="K109" s="61" t="str">
        <f t="shared" si="3"/>
        <v>2023-Q4</v>
      </c>
      <c r="L109" s="63" t="str">
        <f t="shared" si="4"/>
        <v>2023-11</v>
      </c>
      <c r="M109" s="64" t="str">
        <f t="shared" si="5"/>
        <v>2023-H2</v>
      </c>
      <c r="N109" s="65" t="s">
        <v>85</v>
      </c>
    </row>
    <row r="110">
      <c r="I110" s="61" t="str">
        <f t="shared" si="1"/>
        <v>2023</v>
      </c>
      <c r="J110" s="62">
        <f t="shared" si="2"/>
        <v>11</v>
      </c>
      <c r="K110" s="61" t="str">
        <f t="shared" si="3"/>
        <v>2023-Q4</v>
      </c>
      <c r="L110" s="63" t="str">
        <f t="shared" si="4"/>
        <v>2023-11</v>
      </c>
      <c r="M110" s="64" t="str">
        <f t="shared" si="5"/>
        <v>2023-H2</v>
      </c>
      <c r="N110" s="65" t="s">
        <v>85</v>
      </c>
    </row>
    <row r="111">
      <c r="I111" s="61" t="str">
        <f t="shared" si="1"/>
        <v>2023</v>
      </c>
      <c r="J111" s="62">
        <f t="shared" si="2"/>
        <v>11</v>
      </c>
      <c r="K111" s="61" t="str">
        <f t="shared" si="3"/>
        <v>2023-Q4</v>
      </c>
      <c r="L111" s="63" t="str">
        <f t="shared" si="4"/>
        <v>2023-11</v>
      </c>
      <c r="M111" s="64" t="str">
        <f t="shared" si="5"/>
        <v>2023-H2</v>
      </c>
      <c r="N111" s="65" t="s">
        <v>85</v>
      </c>
    </row>
    <row r="112">
      <c r="I112" s="61" t="str">
        <f t="shared" si="1"/>
        <v>2023</v>
      </c>
      <c r="J112" s="62">
        <f t="shared" si="2"/>
        <v>11</v>
      </c>
      <c r="K112" s="61" t="str">
        <f t="shared" si="3"/>
        <v>2023-Q4</v>
      </c>
      <c r="L112" s="63" t="str">
        <f t="shared" si="4"/>
        <v>2023-11</v>
      </c>
      <c r="M112" s="64" t="str">
        <f t="shared" si="5"/>
        <v>2023-H2</v>
      </c>
      <c r="N112" s="65" t="s">
        <v>85</v>
      </c>
    </row>
    <row r="113">
      <c r="I113" s="61" t="str">
        <f t="shared" si="1"/>
        <v>2023</v>
      </c>
      <c r="J113" s="62">
        <f t="shared" si="2"/>
        <v>11</v>
      </c>
      <c r="K113" s="61" t="str">
        <f t="shared" si="3"/>
        <v>2023-Q4</v>
      </c>
      <c r="L113" s="63" t="str">
        <f t="shared" si="4"/>
        <v>2023-11</v>
      </c>
      <c r="M113" s="64" t="str">
        <f t="shared" si="5"/>
        <v>2023-H2</v>
      </c>
      <c r="N113" s="65" t="s">
        <v>85</v>
      </c>
    </row>
    <row r="114">
      <c r="I114" s="61" t="str">
        <f t="shared" si="1"/>
        <v>2023</v>
      </c>
      <c r="J114" s="62">
        <f t="shared" si="2"/>
        <v>11</v>
      </c>
      <c r="K114" s="61" t="str">
        <f t="shared" si="3"/>
        <v>2023-Q4</v>
      </c>
      <c r="L114" s="63" t="str">
        <f t="shared" si="4"/>
        <v>2023-11</v>
      </c>
      <c r="M114" s="64" t="str">
        <f t="shared" si="5"/>
        <v>2023-H2</v>
      </c>
      <c r="N114" s="65" t="s">
        <v>85</v>
      </c>
    </row>
    <row r="115">
      <c r="I115" s="61" t="str">
        <f t="shared" si="1"/>
        <v>2023</v>
      </c>
      <c r="J115" s="62">
        <f t="shared" si="2"/>
        <v>11</v>
      </c>
      <c r="K115" s="61" t="str">
        <f t="shared" si="3"/>
        <v>2023-Q4</v>
      </c>
      <c r="L115" s="63" t="str">
        <f t="shared" si="4"/>
        <v>2023-11</v>
      </c>
      <c r="M115" s="64" t="str">
        <f t="shared" si="5"/>
        <v>2023-H2</v>
      </c>
      <c r="N115" s="65" t="s">
        <v>85</v>
      </c>
    </row>
    <row r="116">
      <c r="I116" s="61" t="str">
        <f t="shared" si="1"/>
        <v>2023</v>
      </c>
      <c r="J116" s="62">
        <f t="shared" si="2"/>
        <v>11</v>
      </c>
      <c r="K116" s="61" t="str">
        <f t="shared" si="3"/>
        <v>2023-Q4</v>
      </c>
      <c r="L116" s="63" t="str">
        <f t="shared" si="4"/>
        <v>2023-11</v>
      </c>
      <c r="M116" s="64" t="str">
        <f t="shared" si="5"/>
        <v>2023-H2</v>
      </c>
      <c r="N116" s="65" t="s">
        <v>85</v>
      </c>
    </row>
    <row r="117">
      <c r="I117" s="61" t="str">
        <f t="shared" si="1"/>
        <v>2023</v>
      </c>
      <c r="J117" s="62">
        <f t="shared" si="2"/>
        <v>11</v>
      </c>
      <c r="K117" s="61" t="str">
        <f t="shared" si="3"/>
        <v>2023-Q4</v>
      </c>
      <c r="L117" s="63" t="str">
        <f t="shared" si="4"/>
        <v>2023-11</v>
      </c>
      <c r="M117" s="64" t="str">
        <f t="shared" si="5"/>
        <v>2023-H2</v>
      </c>
      <c r="N117" s="65" t="s">
        <v>85</v>
      </c>
    </row>
    <row r="118">
      <c r="I118" s="61" t="str">
        <f t="shared" si="1"/>
        <v>2023</v>
      </c>
      <c r="J118" s="62">
        <f t="shared" si="2"/>
        <v>11</v>
      </c>
      <c r="K118" s="61" t="str">
        <f t="shared" si="3"/>
        <v>2023-Q4</v>
      </c>
      <c r="L118" s="63" t="str">
        <f t="shared" si="4"/>
        <v>2023-11</v>
      </c>
      <c r="M118" s="64" t="str">
        <f t="shared" si="5"/>
        <v>2023-H2</v>
      </c>
      <c r="N118" s="65" t="s">
        <v>85</v>
      </c>
    </row>
    <row r="119">
      <c r="I119" s="61" t="str">
        <f t="shared" si="1"/>
        <v>2023</v>
      </c>
      <c r="J119" s="62">
        <f t="shared" si="2"/>
        <v>11</v>
      </c>
      <c r="K119" s="61" t="str">
        <f t="shared" si="3"/>
        <v>2023-Q4</v>
      </c>
      <c r="L119" s="63" t="str">
        <f t="shared" si="4"/>
        <v>2023-11</v>
      </c>
      <c r="M119" s="64" t="str">
        <f t="shared" si="5"/>
        <v>2023-H2</v>
      </c>
      <c r="N119" s="65" t="s">
        <v>85</v>
      </c>
    </row>
    <row r="120">
      <c r="I120" s="61" t="str">
        <f t="shared" si="1"/>
        <v>2023</v>
      </c>
      <c r="J120" s="62">
        <f t="shared" si="2"/>
        <v>11</v>
      </c>
      <c r="K120" s="61" t="str">
        <f t="shared" si="3"/>
        <v>2023-Q4</v>
      </c>
      <c r="L120" s="63" t="str">
        <f t="shared" si="4"/>
        <v>2023-11</v>
      </c>
      <c r="M120" s="64" t="str">
        <f t="shared" si="5"/>
        <v>2023-H2</v>
      </c>
      <c r="N120" s="65" t="s">
        <v>85</v>
      </c>
    </row>
    <row r="121">
      <c r="I121" s="61" t="str">
        <f t="shared" si="1"/>
        <v>2023</v>
      </c>
      <c r="J121" s="62">
        <f t="shared" si="2"/>
        <v>11</v>
      </c>
      <c r="K121" s="61" t="str">
        <f t="shared" si="3"/>
        <v>2023-Q4</v>
      </c>
      <c r="L121" s="63" t="str">
        <f t="shared" si="4"/>
        <v>2023-11</v>
      </c>
      <c r="M121" s="64" t="str">
        <f t="shared" si="5"/>
        <v>2023-H2</v>
      </c>
      <c r="N121" s="65" t="s">
        <v>85</v>
      </c>
    </row>
    <row r="122">
      <c r="I122" s="61" t="str">
        <f t="shared" si="1"/>
        <v>2023</v>
      </c>
      <c r="J122" s="62">
        <f t="shared" si="2"/>
        <v>11</v>
      </c>
      <c r="K122" s="61" t="str">
        <f t="shared" si="3"/>
        <v>2023-Q4</v>
      </c>
      <c r="L122" s="63" t="str">
        <f t="shared" si="4"/>
        <v>2023-11</v>
      </c>
      <c r="M122" s="64" t="str">
        <f t="shared" si="5"/>
        <v>2023-H2</v>
      </c>
      <c r="N122" s="65" t="s">
        <v>85</v>
      </c>
    </row>
    <row r="123">
      <c r="I123" s="61" t="str">
        <f t="shared" si="1"/>
        <v>2023</v>
      </c>
      <c r="J123" s="62">
        <f t="shared" si="2"/>
        <v>11</v>
      </c>
      <c r="K123" s="61" t="str">
        <f t="shared" si="3"/>
        <v>2023-Q4</v>
      </c>
      <c r="L123" s="63" t="str">
        <f t="shared" si="4"/>
        <v>2023-11</v>
      </c>
      <c r="M123" s="64" t="str">
        <f t="shared" si="5"/>
        <v>2023-H2</v>
      </c>
      <c r="N123" s="65" t="s">
        <v>85</v>
      </c>
    </row>
    <row r="124">
      <c r="I124" s="61" t="str">
        <f t="shared" si="1"/>
        <v>2023</v>
      </c>
      <c r="J124" s="62">
        <f t="shared" si="2"/>
        <v>11</v>
      </c>
      <c r="K124" s="61" t="str">
        <f t="shared" si="3"/>
        <v>2023-Q4</v>
      </c>
      <c r="L124" s="63" t="str">
        <f t="shared" si="4"/>
        <v>2023-11</v>
      </c>
      <c r="M124" s="64" t="str">
        <f t="shared" si="5"/>
        <v>2023-H2</v>
      </c>
      <c r="N124" s="65" t="s">
        <v>85</v>
      </c>
    </row>
    <row r="125">
      <c r="I125" s="61" t="str">
        <f t="shared" si="1"/>
        <v>2023</v>
      </c>
      <c r="J125" s="62">
        <f t="shared" si="2"/>
        <v>11</v>
      </c>
      <c r="K125" s="61" t="str">
        <f t="shared" si="3"/>
        <v>2023-Q4</v>
      </c>
      <c r="L125" s="63" t="str">
        <f t="shared" si="4"/>
        <v>2023-11</v>
      </c>
      <c r="M125" s="64" t="str">
        <f t="shared" si="5"/>
        <v>2023-H2</v>
      </c>
      <c r="N125" s="65" t="s">
        <v>85</v>
      </c>
    </row>
    <row r="126">
      <c r="I126" s="61" t="str">
        <f t="shared" si="1"/>
        <v>2023</v>
      </c>
      <c r="J126" s="62">
        <f t="shared" si="2"/>
        <v>11</v>
      </c>
      <c r="K126" s="61" t="str">
        <f t="shared" si="3"/>
        <v>2023-Q4</v>
      </c>
      <c r="L126" s="63" t="str">
        <f t="shared" si="4"/>
        <v>2023-11</v>
      </c>
      <c r="M126" s="64" t="str">
        <f t="shared" si="5"/>
        <v>2023-H2</v>
      </c>
      <c r="N126" s="65" t="s">
        <v>85</v>
      </c>
    </row>
    <row r="127">
      <c r="I127" s="61" t="str">
        <f t="shared" si="1"/>
        <v>2023</v>
      </c>
      <c r="J127" s="62">
        <f t="shared" si="2"/>
        <v>11</v>
      </c>
      <c r="K127" s="61" t="str">
        <f t="shared" si="3"/>
        <v>2023-Q4</v>
      </c>
      <c r="L127" s="63" t="str">
        <f t="shared" si="4"/>
        <v>2023-11</v>
      </c>
      <c r="M127" s="64" t="str">
        <f t="shared" si="5"/>
        <v>2023-H2</v>
      </c>
      <c r="N127" s="65" t="s">
        <v>85</v>
      </c>
    </row>
    <row r="128">
      <c r="I128" s="61" t="str">
        <f t="shared" si="1"/>
        <v>2023</v>
      </c>
      <c r="J128" s="62">
        <f t="shared" si="2"/>
        <v>11</v>
      </c>
      <c r="K128" s="61" t="str">
        <f t="shared" si="3"/>
        <v>2023-Q4</v>
      </c>
      <c r="L128" s="63" t="str">
        <f t="shared" si="4"/>
        <v>2023-11</v>
      </c>
      <c r="M128" s="64" t="str">
        <f t="shared" si="5"/>
        <v>2023-H2</v>
      </c>
      <c r="N128" s="65" t="s">
        <v>85</v>
      </c>
    </row>
    <row r="129">
      <c r="I129" s="61" t="str">
        <f t="shared" si="1"/>
        <v>2023</v>
      </c>
      <c r="J129" s="62">
        <f t="shared" si="2"/>
        <v>11</v>
      </c>
      <c r="K129" s="61" t="str">
        <f t="shared" si="3"/>
        <v>2023-Q4</v>
      </c>
      <c r="L129" s="63" t="str">
        <f t="shared" si="4"/>
        <v>2023-11</v>
      </c>
      <c r="M129" s="64" t="str">
        <f t="shared" si="5"/>
        <v>2023-H2</v>
      </c>
      <c r="N129" s="65" t="s">
        <v>85</v>
      </c>
    </row>
    <row r="130">
      <c r="I130" s="61" t="str">
        <f t="shared" si="1"/>
        <v>2023</v>
      </c>
      <c r="J130" s="62">
        <f t="shared" si="2"/>
        <v>11</v>
      </c>
      <c r="K130" s="61" t="str">
        <f t="shared" si="3"/>
        <v>2023-Q4</v>
      </c>
      <c r="L130" s="63" t="str">
        <f t="shared" si="4"/>
        <v>2023-11</v>
      </c>
      <c r="M130" s="64" t="str">
        <f t="shared" si="5"/>
        <v>2023-H2</v>
      </c>
      <c r="N130" s="65" t="s">
        <v>85</v>
      </c>
    </row>
    <row r="131">
      <c r="I131" s="61" t="str">
        <f t="shared" si="1"/>
        <v>2023</v>
      </c>
      <c r="J131" s="62">
        <f t="shared" si="2"/>
        <v>12</v>
      </c>
      <c r="K131" s="61" t="str">
        <f t="shared" si="3"/>
        <v>2023-Q4</v>
      </c>
      <c r="L131" s="63" t="str">
        <f t="shared" si="4"/>
        <v>2023-12</v>
      </c>
      <c r="M131" s="64" t="str">
        <f t="shared" si="5"/>
        <v>2023-H2</v>
      </c>
      <c r="N131" s="65" t="s">
        <v>85</v>
      </c>
    </row>
    <row r="132">
      <c r="I132" s="61" t="str">
        <f t="shared" si="1"/>
        <v>2023</v>
      </c>
      <c r="J132" s="62">
        <f t="shared" si="2"/>
        <v>11</v>
      </c>
      <c r="K132" s="61" t="str">
        <f t="shared" si="3"/>
        <v>2023-Q4</v>
      </c>
      <c r="L132" s="63" t="str">
        <f t="shared" si="4"/>
        <v>2023-11</v>
      </c>
      <c r="M132" s="64" t="str">
        <f t="shared" si="5"/>
        <v>2023-H2</v>
      </c>
      <c r="N132" s="65" t="s">
        <v>85</v>
      </c>
    </row>
    <row r="133">
      <c r="I133" s="61" t="str">
        <f t="shared" si="1"/>
        <v>2023</v>
      </c>
      <c r="J133" s="62">
        <f t="shared" si="2"/>
        <v>11</v>
      </c>
      <c r="K133" s="61" t="str">
        <f t="shared" si="3"/>
        <v>2023-Q4</v>
      </c>
      <c r="L133" s="63" t="str">
        <f t="shared" si="4"/>
        <v>2023-11</v>
      </c>
      <c r="M133" s="64" t="str">
        <f t="shared" si="5"/>
        <v>2023-H2</v>
      </c>
      <c r="N133" s="65" t="s">
        <v>85</v>
      </c>
    </row>
    <row r="134">
      <c r="I134" s="61" t="str">
        <f t="shared" si="1"/>
        <v>2023</v>
      </c>
      <c r="J134" s="62">
        <f t="shared" si="2"/>
        <v>12</v>
      </c>
      <c r="K134" s="61" t="str">
        <f t="shared" si="3"/>
        <v>2023-Q4</v>
      </c>
      <c r="L134" s="63" t="str">
        <f t="shared" si="4"/>
        <v>2023-12</v>
      </c>
      <c r="M134" s="64" t="str">
        <f t="shared" si="5"/>
        <v>2023-H2</v>
      </c>
      <c r="N134" s="65" t="s">
        <v>85</v>
      </c>
    </row>
    <row r="135">
      <c r="I135" s="61" t="str">
        <f t="shared" si="1"/>
        <v>2023</v>
      </c>
      <c r="J135" s="62">
        <f t="shared" si="2"/>
        <v>11</v>
      </c>
      <c r="K135" s="61" t="str">
        <f t="shared" si="3"/>
        <v>2023-Q4</v>
      </c>
      <c r="L135" s="63" t="str">
        <f t="shared" si="4"/>
        <v>2023-11</v>
      </c>
      <c r="M135" s="64" t="str">
        <f t="shared" si="5"/>
        <v>2023-H2</v>
      </c>
      <c r="N135" s="65" t="s">
        <v>85</v>
      </c>
    </row>
    <row r="136">
      <c r="I136" s="61" t="str">
        <f t="shared" si="1"/>
        <v>2023</v>
      </c>
      <c r="J136" s="62">
        <f t="shared" si="2"/>
        <v>11</v>
      </c>
      <c r="K136" s="61" t="str">
        <f t="shared" si="3"/>
        <v>2023-Q4</v>
      </c>
      <c r="L136" s="63" t="str">
        <f t="shared" si="4"/>
        <v>2023-11</v>
      </c>
      <c r="M136" s="64" t="str">
        <f t="shared" si="5"/>
        <v>2023-H2</v>
      </c>
      <c r="N136" s="65" t="s">
        <v>85</v>
      </c>
    </row>
    <row r="137">
      <c r="I137" s="61" t="str">
        <f t="shared" si="1"/>
        <v>2023</v>
      </c>
      <c r="J137" s="62">
        <f t="shared" si="2"/>
        <v>12</v>
      </c>
      <c r="K137" s="61" t="str">
        <f t="shared" si="3"/>
        <v>2023-Q4</v>
      </c>
      <c r="L137" s="63" t="str">
        <f t="shared" si="4"/>
        <v>2023-12</v>
      </c>
      <c r="M137" s="64" t="str">
        <f t="shared" si="5"/>
        <v>2023-H2</v>
      </c>
      <c r="N137" s="65" t="s">
        <v>85</v>
      </c>
    </row>
    <row r="138">
      <c r="I138" s="61" t="str">
        <f t="shared" si="1"/>
        <v>2023</v>
      </c>
      <c r="J138" s="62">
        <f t="shared" si="2"/>
        <v>12</v>
      </c>
      <c r="K138" s="61" t="str">
        <f t="shared" si="3"/>
        <v>2023-Q4</v>
      </c>
      <c r="L138" s="63" t="str">
        <f t="shared" si="4"/>
        <v>2023-12</v>
      </c>
      <c r="M138" s="64" t="str">
        <f t="shared" si="5"/>
        <v>2023-H2</v>
      </c>
      <c r="N138" s="65" t="s">
        <v>85</v>
      </c>
    </row>
    <row r="139">
      <c r="I139" s="61" t="str">
        <f t="shared" si="1"/>
        <v>2023</v>
      </c>
      <c r="J139" s="62">
        <f t="shared" si="2"/>
        <v>12</v>
      </c>
      <c r="K139" s="61" t="str">
        <f t="shared" si="3"/>
        <v>2023-Q4</v>
      </c>
      <c r="L139" s="63" t="str">
        <f t="shared" si="4"/>
        <v>2023-12</v>
      </c>
      <c r="M139" s="64" t="str">
        <f t="shared" si="5"/>
        <v>2023-H2</v>
      </c>
      <c r="N139" s="65" t="s">
        <v>85</v>
      </c>
    </row>
    <row r="140">
      <c r="I140" s="61" t="str">
        <f t="shared" si="1"/>
        <v>2023</v>
      </c>
      <c r="J140" s="62">
        <f t="shared" si="2"/>
        <v>12</v>
      </c>
      <c r="K140" s="61" t="str">
        <f t="shared" si="3"/>
        <v>2023-Q4</v>
      </c>
      <c r="L140" s="63" t="str">
        <f t="shared" si="4"/>
        <v>2023-12</v>
      </c>
      <c r="M140" s="64" t="str">
        <f t="shared" si="5"/>
        <v>2023-H2</v>
      </c>
      <c r="N140" s="65" t="s">
        <v>85</v>
      </c>
    </row>
    <row r="141">
      <c r="I141" s="61" t="str">
        <f t="shared" si="1"/>
        <v>2023</v>
      </c>
      <c r="J141" s="62">
        <f t="shared" si="2"/>
        <v>12</v>
      </c>
      <c r="K141" s="61" t="str">
        <f t="shared" si="3"/>
        <v>2023-Q4</v>
      </c>
      <c r="L141" s="63" t="str">
        <f t="shared" si="4"/>
        <v>2023-12</v>
      </c>
      <c r="M141" s="64" t="str">
        <f t="shared" si="5"/>
        <v>2023-H2</v>
      </c>
      <c r="N141" s="65" t="s">
        <v>85</v>
      </c>
    </row>
    <row r="142">
      <c r="I142" s="61" t="str">
        <f t="shared" si="1"/>
        <v>2023</v>
      </c>
      <c r="J142" s="62">
        <f t="shared" si="2"/>
        <v>12</v>
      </c>
      <c r="K142" s="61" t="str">
        <f t="shared" si="3"/>
        <v>2023-Q4</v>
      </c>
      <c r="L142" s="63" t="str">
        <f t="shared" si="4"/>
        <v>2023-12</v>
      </c>
      <c r="M142" s="64" t="str">
        <f t="shared" si="5"/>
        <v>2023-H2</v>
      </c>
      <c r="N142" s="65" t="s">
        <v>85</v>
      </c>
    </row>
    <row r="143">
      <c r="I143" s="61" t="str">
        <f t="shared" si="1"/>
        <v>2023</v>
      </c>
      <c r="J143" s="62">
        <f t="shared" si="2"/>
        <v>12</v>
      </c>
      <c r="K143" s="61" t="str">
        <f t="shared" si="3"/>
        <v>2023-Q4</v>
      </c>
      <c r="L143" s="63" t="str">
        <f t="shared" si="4"/>
        <v>2023-12</v>
      </c>
      <c r="M143" s="64" t="str">
        <f t="shared" si="5"/>
        <v>2023-H2</v>
      </c>
      <c r="N143" s="65" t="s">
        <v>85</v>
      </c>
    </row>
    <row r="144">
      <c r="I144" s="61" t="str">
        <f t="shared" si="1"/>
        <v>2023</v>
      </c>
      <c r="J144" s="62">
        <f t="shared" si="2"/>
        <v>12</v>
      </c>
      <c r="K144" s="61" t="str">
        <f t="shared" si="3"/>
        <v>2023-Q4</v>
      </c>
      <c r="L144" s="63" t="str">
        <f t="shared" si="4"/>
        <v>2023-12</v>
      </c>
      <c r="M144" s="64" t="str">
        <f t="shared" si="5"/>
        <v>2023-H2</v>
      </c>
      <c r="N144" s="65" t="s">
        <v>85</v>
      </c>
    </row>
    <row r="145">
      <c r="I145" s="61" t="str">
        <f t="shared" si="1"/>
        <v>2023</v>
      </c>
      <c r="J145" s="62">
        <f t="shared" si="2"/>
        <v>12</v>
      </c>
      <c r="K145" s="61" t="str">
        <f t="shared" si="3"/>
        <v>2023-Q4</v>
      </c>
      <c r="L145" s="63" t="str">
        <f t="shared" si="4"/>
        <v>2023-12</v>
      </c>
      <c r="M145" s="64" t="str">
        <f t="shared" si="5"/>
        <v>2023-H2</v>
      </c>
      <c r="N145" s="65" t="s">
        <v>85</v>
      </c>
    </row>
    <row r="146">
      <c r="I146" s="61" t="str">
        <f t="shared" si="1"/>
        <v>2023</v>
      </c>
      <c r="J146" s="62">
        <f t="shared" si="2"/>
        <v>12</v>
      </c>
      <c r="K146" s="61" t="str">
        <f t="shared" si="3"/>
        <v>2023-Q4</v>
      </c>
      <c r="L146" s="63" t="str">
        <f t="shared" si="4"/>
        <v>2023-12</v>
      </c>
      <c r="M146" s="64" t="str">
        <f t="shared" si="5"/>
        <v>2023-H2</v>
      </c>
      <c r="N146" s="65" t="s">
        <v>85</v>
      </c>
    </row>
    <row r="147">
      <c r="I147" s="61" t="str">
        <f t="shared" si="1"/>
        <v>2023</v>
      </c>
      <c r="J147" s="62">
        <f t="shared" si="2"/>
        <v>12</v>
      </c>
      <c r="K147" s="61" t="str">
        <f t="shared" si="3"/>
        <v>2023-Q4</v>
      </c>
      <c r="L147" s="63" t="str">
        <f t="shared" si="4"/>
        <v>2023-12</v>
      </c>
      <c r="M147" s="64" t="str">
        <f t="shared" si="5"/>
        <v>2023-H2</v>
      </c>
      <c r="N147" s="65" t="s">
        <v>85</v>
      </c>
    </row>
    <row r="148">
      <c r="I148" s="61" t="str">
        <f t="shared" si="1"/>
        <v>2023</v>
      </c>
      <c r="J148" s="62">
        <f t="shared" si="2"/>
        <v>11</v>
      </c>
      <c r="K148" s="61" t="str">
        <f t="shared" si="3"/>
        <v>2023-Q4</v>
      </c>
      <c r="L148" s="63" t="str">
        <f t="shared" si="4"/>
        <v>2023-11</v>
      </c>
      <c r="M148" s="64" t="str">
        <f t="shared" si="5"/>
        <v>2023-H2</v>
      </c>
      <c r="N148" s="65" t="s">
        <v>85</v>
      </c>
    </row>
    <row r="149">
      <c r="I149" s="61" t="str">
        <f t="shared" si="1"/>
        <v>2023</v>
      </c>
      <c r="J149" s="62">
        <f t="shared" si="2"/>
        <v>12</v>
      </c>
      <c r="K149" s="61" t="str">
        <f t="shared" si="3"/>
        <v>2023-Q4</v>
      </c>
      <c r="L149" s="63" t="str">
        <f t="shared" si="4"/>
        <v>2023-12</v>
      </c>
      <c r="M149" s="64" t="str">
        <f t="shared" si="5"/>
        <v>2023-H2</v>
      </c>
      <c r="N149" s="65" t="s">
        <v>85</v>
      </c>
    </row>
    <row r="150">
      <c r="I150" s="61" t="str">
        <f t="shared" si="1"/>
        <v>2023</v>
      </c>
      <c r="J150" s="62">
        <f t="shared" si="2"/>
        <v>12</v>
      </c>
      <c r="K150" s="61" t="str">
        <f t="shared" si="3"/>
        <v>2023-Q4</v>
      </c>
      <c r="L150" s="63" t="str">
        <f t="shared" si="4"/>
        <v>2023-12</v>
      </c>
      <c r="M150" s="64" t="str">
        <f t="shared" si="5"/>
        <v>2023-H2</v>
      </c>
      <c r="N150" s="65" t="s">
        <v>85</v>
      </c>
    </row>
    <row r="151">
      <c r="I151" s="61" t="str">
        <f t="shared" si="1"/>
        <v>2023</v>
      </c>
      <c r="J151" s="62">
        <f t="shared" si="2"/>
        <v>12</v>
      </c>
      <c r="K151" s="61" t="str">
        <f t="shared" si="3"/>
        <v>2023-Q4</v>
      </c>
      <c r="L151" s="63" t="str">
        <f t="shared" si="4"/>
        <v>2023-12</v>
      </c>
      <c r="M151" s="64" t="str">
        <f t="shared" si="5"/>
        <v>2023-H2</v>
      </c>
      <c r="N151" s="65" t="s">
        <v>85</v>
      </c>
    </row>
    <row r="152">
      <c r="I152" s="61" t="str">
        <f t="shared" si="1"/>
        <v>2023</v>
      </c>
      <c r="J152" s="62">
        <f t="shared" si="2"/>
        <v>12</v>
      </c>
      <c r="K152" s="61" t="str">
        <f t="shared" si="3"/>
        <v>2023-Q4</v>
      </c>
      <c r="L152" s="63" t="str">
        <f t="shared" si="4"/>
        <v>2023-12</v>
      </c>
      <c r="M152" s="64" t="str">
        <f t="shared" si="5"/>
        <v>2023-H2</v>
      </c>
      <c r="N152" s="65" t="s">
        <v>85</v>
      </c>
    </row>
    <row r="153">
      <c r="I153" s="61" t="str">
        <f t="shared" si="1"/>
        <v>2023</v>
      </c>
      <c r="J153" s="62">
        <f t="shared" si="2"/>
        <v>12</v>
      </c>
      <c r="K153" s="61" t="str">
        <f t="shared" si="3"/>
        <v>2023-Q4</v>
      </c>
      <c r="L153" s="63" t="str">
        <f t="shared" si="4"/>
        <v>2023-12</v>
      </c>
      <c r="M153" s="64" t="str">
        <f t="shared" si="5"/>
        <v>2023-H2</v>
      </c>
      <c r="N153" s="65" t="s">
        <v>85</v>
      </c>
    </row>
    <row r="154">
      <c r="I154" s="61" t="str">
        <f t="shared" si="1"/>
        <v>2023</v>
      </c>
      <c r="J154" s="62">
        <f t="shared" si="2"/>
        <v>12</v>
      </c>
      <c r="K154" s="61" t="str">
        <f t="shared" si="3"/>
        <v>2023-Q4</v>
      </c>
      <c r="L154" s="63" t="str">
        <f t="shared" si="4"/>
        <v>2023-12</v>
      </c>
      <c r="M154" s="64" t="str">
        <f t="shared" si="5"/>
        <v>2023-H2</v>
      </c>
      <c r="N154" s="65" t="s">
        <v>85</v>
      </c>
    </row>
    <row r="155">
      <c r="I155" s="61" t="str">
        <f t="shared" si="1"/>
        <v>2023</v>
      </c>
      <c r="J155" s="62">
        <f t="shared" si="2"/>
        <v>12</v>
      </c>
      <c r="K155" s="61" t="str">
        <f t="shared" si="3"/>
        <v>2023-Q4</v>
      </c>
      <c r="L155" s="63" t="str">
        <f t="shared" si="4"/>
        <v>2023-12</v>
      </c>
      <c r="M155" s="64" t="str">
        <f t="shared" si="5"/>
        <v>2023-H2</v>
      </c>
      <c r="N155" s="65" t="s">
        <v>85</v>
      </c>
    </row>
    <row r="156">
      <c r="I156" s="61" t="str">
        <f t="shared" si="1"/>
        <v>2023</v>
      </c>
      <c r="J156" s="62">
        <f t="shared" si="2"/>
        <v>12</v>
      </c>
      <c r="K156" s="61" t="str">
        <f t="shared" si="3"/>
        <v>2023-Q4</v>
      </c>
      <c r="L156" s="63" t="str">
        <f t="shared" si="4"/>
        <v>2023-12</v>
      </c>
      <c r="M156" s="64" t="str">
        <f t="shared" si="5"/>
        <v>2023-H2</v>
      </c>
      <c r="N156" s="65" t="s">
        <v>85</v>
      </c>
    </row>
    <row r="157">
      <c r="I157" s="61" t="str">
        <f t="shared" si="1"/>
        <v>2024</v>
      </c>
      <c r="J157" s="62">
        <f t="shared" si="2"/>
        <v>1</v>
      </c>
      <c r="K157" s="61" t="str">
        <f t="shared" si="3"/>
        <v>2024-Q1</v>
      </c>
      <c r="L157" s="63" t="str">
        <f t="shared" si="4"/>
        <v>2024-01</v>
      </c>
      <c r="M157" s="64" t="str">
        <f t="shared" si="5"/>
        <v>2024-H1</v>
      </c>
      <c r="N157" s="65" t="s">
        <v>85</v>
      </c>
    </row>
    <row r="158">
      <c r="I158" s="61" t="str">
        <f t="shared" si="1"/>
        <v>2023</v>
      </c>
      <c r="J158" s="62">
        <f t="shared" si="2"/>
        <v>12</v>
      </c>
      <c r="K158" s="61" t="str">
        <f t="shared" si="3"/>
        <v>2023-Q4</v>
      </c>
      <c r="L158" s="63" t="str">
        <f t="shared" si="4"/>
        <v>2023-12</v>
      </c>
      <c r="M158" s="64" t="str">
        <f t="shared" si="5"/>
        <v>2023-H2</v>
      </c>
      <c r="N158" s="65" t="s">
        <v>85</v>
      </c>
    </row>
    <row r="159">
      <c r="I159" s="61" t="str">
        <f t="shared" si="1"/>
        <v>2023</v>
      </c>
      <c r="J159" s="62">
        <f t="shared" si="2"/>
        <v>12</v>
      </c>
      <c r="K159" s="61" t="str">
        <f t="shared" si="3"/>
        <v>2023-Q4</v>
      </c>
      <c r="L159" s="63" t="str">
        <f t="shared" si="4"/>
        <v>2023-12</v>
      </c>
      <c r="M159" s="64" t="str">
        <f t="shared" si="5"/>
        <v>2023-H2</v>
      </c>
      <c r="N159" s="65" t="s">
        <v>85</v>
      </c>
    </row>
    <row r="160">
      <c r="I160" s="61" t="str">
        <f t="shared" si="1"/>
        <v>2023</v>
      </c>
      <c r="J160" s="62">
        <f t="shared" si="2"/>
        <v>12</v>
      </c>
      <c r="K160" s="61" t="str">
        <f t="shared" si="3"/>
        <v>2023-Q4</v>
      </c>
      <c r="L160" s="63" t="str">
        <f t="shared" si="4"/>
        <v>2023-12</v>
      </c>
      <c r="M160" s="64" t="str">
        <f t="shared" si="5"/>
        <v>2023-H2</v>
      </c>
      <c r="N160" s="65" t="s">
        <v>85</v>
      </c>
    </row>
    <row r="161">
      <c r="I161" s="61" t="str">
        <f t="shared" si="1"/>
        <v>2023</v>
      </c>
      <c r="J161" s="62">
        <f t="shared" si="2"/>
        <v>12</v>
      </c>
      <c r="K161" s="61" t="str">
        <f t="shared" si="3"/>
        <v>2023-Q4</v>
      </c>
      <c r="L161" s="63" t="str">
        <f t="shared" si="4"/>
        <v>2023-12</v>
      </c>
      <c r="M161" s="64" t="str">
        <f t="shared" si="5"/>
        <v>2023-H2</v>
      </c>
      <c r="N161" s="65" t="s">
        <v>85</v>
      </c>
    </row>
    <row r="162">
      <c r="I162" s="61" t="str">
        <f t="shared" si="1"/>
        <v>2024</v>
      </c>
      <c r="J162" s="62">
        <f t="shared" si="2"/>
        <v>1</v>
      </c>
      <c r="K162" s="61" t="str">
        <f t="shared" si="3"/>
        <v>2024-Q1</v>
      </c>
      <c r="L162" s="63" t="str">
        <f t="shared" si="4"/>
        <v>2024-01</v>
      </c>
      <c r="M162" s="64" t="str">
        <f t="shared" si="5"/>
        <v>2024-H1</v>
      </c>
      <c r="N162" s="65" t="s">
        <v>85</v>
      </c>
    </row>
    <row r="163">
      <c r="I163" s="61" t="str">
        <f t="shared" si="1"/>
        <v>2024</v>
      </c>
      <c r="J163" s="62">
        <f t="shared" si="2"/>
        <v>1</v>
      </c>
      <c r="K163" s="61" t="str">
        <f t="shared" si="3"/>
        <v>2024-Q1</v>
      </c>
      <c r="L163" s="63" t="str">
        <f t="shared" si="4"/>
        <v>2024-01</v>
      </c>
      <c r="M163" s="64" t="str">
        <f t="shared" si="5"/>
        <v>2024-H1</v>
      </c>
      <c r="N163" s="65" t="s">
        <v>85</v>
      </c>
    </row>
    <row r="164">
      <c r="I164" s="61" t="str">
        <f t="shared" si="1"/>
        <v>2023</v>
      </c>
      <c r="J164" s="62">
        <f t="shared" si="2"/>
        <v>12</v>
      </c>
      <c r="K164" s="61" t="str">
        <f t="shared" si="3"/>
        <v>2023-Q4</v>
      </c>
      <c r="L164" s="63" t="str">
        <f t="shared" si="4"/>
        <v>2023-12</v>
      </c>
      <c r="M164" s="64" t="str">
        <f t="shared" si="5"/>
        <v>2023-H2</v>
      </c>
      <c r="N164" s="65" t="s">
        <v>85</v>
      </c>
    </row>
    <row r="165">
      <c r="I165" s="61" t="str">
        <f t="shared" si="1"/>
        <v>2023</v>
      </c>
      <c r="J165" s="62">
        <f t="shared" si="2"/>
        <v>12</v>
      </c>
      <c r="K165" s="61" t="str">
        <f t="shared" si="3"/>
        <v>2023-Q4</v>
      </c>
      <c r="L165" s="63" t="str">
        <f t="shared" si="4"/>
        <v>2023-12</v>
      </c>
      <c r="M165" s="64" t="str">
        <f t="shared" si="5"/>
        <v>2023-H2</v>
      </c>
      <c r="N165" s="65" t="s">
        <v>85</v>
      </c>
    </row>
    <row r="166">
      <c r="I166" s="61" t="str">
        <f t="shared" si="1"/>
        <v>2024</v>
      </c>
      <c r="J166" s="62">
        <f t="shared" si="2"/>
        <v>1</v>
      </c>
      <c r="K166" s="61" t="str">
        <f t="shared" si="3"/>
        <v>2024-Q1</v>
      </c>
      <c r="L166" s="63" t="str">
        <f t="shared" si="4"/>
        <v>2024-01</v>
      </c>
      <c r="M166" s="64" t="str">
        <f t="shared" si="5"/>
        <v>2024-H1</v>
      </c>
      <c r="N166" s="65" t="s">
        <v>85</v>
      </c>
    </row>
    <row r="167">
      <c r="I167" s="61" t="str">
        <f t="shared" si="1"/>
        <v>2024</v>
      </c>
      <c r="J167" s="62">
        <f t="shared" si="2"/>
        <v>1</v>
      </c>
      <c r="K167" s="61" t="str">
        <f t="shared" si="3"/>
        <v>2024-Q1</v>
      </c>
      <c r="L167" s="63" t="str">
        <f t="shared" si="4"/>
        <v>2024-01</v>
      </c>
      <c r="M167" s="64" t="str">
        <f t="shared" si="5"/>
        <v>2024-H1</v>
      </c>
      <c r="N167" s="65" t="s">
        <v>85</v>
      </c>
    </row>
    <row r="168">
      <c r="I168" s="61" t="str">
        <f t="shared" si="1"/>
        <v>2023</v>
      </c>
      <c r="J168" s="62">
        <f t="shared" si="2"/>
        <v>12</v>
      </c>
      <c r="K168" s="61" t="str">
        <f t="shared" si="3"/>
        <v>2023-Q4</v>
      </c>
      <c r="L168" s="63" t="str">
        <f t="shared" si="4"/>
        <v>2023-12</v>
      </c>
      <c r="M168" s="64" t="str">
        <f t="shared" si="5"/>
        <v>2023-H2</v>
      </c>
      <c r="N168" s="65" t="s">
        <v>85</v>
      </c>
    </row>
    <row r="169">
      <c r="I169" s="61" t="str">
        <f t="shared" si="1"/>
        <v>2024</v>
      </c>
      <c r="J169" s="62">
        <f t="shared" si="2"/>
        <v>1</v>
      </c>
      <c r="K169" s="61" t="str">
        <f t="shared" si="3"/>
        <v>2024-Q1</v>
      </c>
      <c r="L169" s="63" t="str">
        <f t="shared" si="4"/>
        <v>2024-01</v>
      </c>
      <c r="M169" s="64" t="str">
        <f t="shared" si="5"/>
        <v>2024-H1</v>
      </c>
      <c r="N169" s="65" t="s">
        <v>85</v>
      </c>
    </row>
    <row r="170">
      <c r="I170" s="61" t="str">
        <f t="shared" si="1"/>
        <v>2023</v>
      </c>
      <c r="J170" s="62">
        <f t="shared" si="2"/>
        <v>12</v>
      </c>
      <c r="K170" s="61" t="str">
        <f t="shared" si="3"/>
        <v>2023-Q4</v>
      </c>
      <c r="L170" s="63" t="str">
        <f t="shared" si="4"/>
        <v>2023-12</v>
      </c>
      <c r="M170" s="64" t="str">
        <f t="shared" si="5"/>
        <v>2023-H2</v>
      </c>
      <c r="N170" s="65" t="s">
        <v>85</v>
      </c>
    </row>
    <row r="171">
      <c r="I171" s="61" t="str">
        <f t="shared" si="1"/>
        <v>2023</v>
      </c>
      <c r="J171" s="62">
        <f t="shared" si="2"/>
        <v>12</v>
      </c>
      <c r="K171" s="61" t="str">
        <f t="shared" si="3"/>
        <v>2023-Q4</v>
      </c>
      <c r="L171" s="63" t="str">
        <f t="shared" si="4"/>
        <v>2023-12</v>
      </c>
      <c r="M171" s="64" t="str">
        <f t="shared" si="5"/>
        <v>2023-H2</v>
      </c>
      <c r="N171" s="65" t="s">
        <v>85</v>
      </c>
    </row>
    <row r="172">
      <c r="I172" s="61" t="str">
        <f t="shared" si="1"/>
        <v>2024</v>
      </c>
      <c r="J172" s="62">
        <f t="shared" si="2"/>
        <v>1</v>
      </c>
      <c r="K172" s="61" t="str">
        <f t="shared" si="3"/>
        <v>2024-Q1</v>
      </c>
      <c r="L172" s="63" t="str">
        <f t="shared" si="4"/>
        <v>2024-01</v>
      </c>
      <c r="M172" s="64" t="str">
        <f t="shared" si="5"/>
        <v>2024-H1</v>
      </c>
      <c r="N172" s="65" t="s">
        <v>85</v>
      </c>
    </row>
    <row r="173">
      <c r="I173" s="61" t="str">
        <f t="shared" si="1"/>
        <v>2023</v>
      </c>
      <c r="J173" s="62">
        <f t="shared" si="2"/>
        <v>12</v>
      </c>
      <c r="K173" s="61" t="str">
        <f t="shared" si="3"/>
        <v>2023-Q4</v>
      </c>
      <c r="L173" s="63" t="str">
        <f t="shared" si="4"/>
        <v>2023-12</v>
      </c>
      <c r="M173" s="64" t="str">
        <f t="shared" si="5"/>
        <v>2023-H2</v>
      </c>
      <c r="N173" s="65" t="s">
        <v>85</v>
      </c>
    </row>
    <row r="174">
      <c r="I174" s="61" t="str">
        <f t="shared" si="1"/>
        <v>2024</v>
      </c>
      <c r="J174" s="62">
        <f t="shared" si="2"/>
        <v>1</v>
      </c>
      <c r="K174" s="61" t="str">
        <f t="shared" si="3"/>
        <v>2024-Q1</v>
      </c>
      <c r="L174" s="63" t="str">
        <f t="shared" si="4"/>
        <v>2024-01</v>
      </c>
      <c r="M174" s="64" t="str">
        <f t="shared" si="5"/>
        <v>2024-H1</v>
      </c>
      <c r="N174" s="65" t="s">
        <v>85</v>
      </c>
    </row>
    <row r="175">
      <c r="I175" s="61" t="str">
        <f t="shared" si="1"/>
        <v>2024</v>
      </c>
      <c r="J175" s="62">
        <f t="shared" si="2"/>
        <v>1</v>
      </c>
      <c r="K175" s="61" t="str">
        <f t="shared" si="3"/>
        <v>2024-Q1</v>
      </c>
      <c r="L175" s="63" t="str">
        <f t="shared" si="4"/>
        <v>2024-01</v>
      </c>
      <c r="M175" s="64" t="str">
        <f t="shared" si="5"/>
        <v>2024-H1</v>
      </c>
      <c r="N175" s="65" t="s">
        <v>85</v>
      </c>
    </row>
    <row r="176">
      <c r="I176" s="61" t="str">
        <f t="shared" si="1"/>
        <v>2024</v>
      </c>
      <c r="J176" s="62">
        <f t="shared" si="2"/>
        <v>1</v>
      </c>
      <c r="K176" s="61" t="str">
        <f t="shared" si="3"/>
        <v>2024-Q1</v>
      </c>
      <c r="L176" s="63" t="str">
        <f t="shared" si="4"/>
        <v>2024-01</v>
      </c>
      <c r="M176" s="64" t="str">
        <f t="shared" si="5"/>
        <v>2024-H1</v>
      </c>
      <c r="N176" s="65" t="s">
        <v>85</v>
      </c>
    </row>
    <row r="177">
      <c r="I177" s="61" t="str">
        <f t="shared" si="1"/>
        <v>2024</v>
      </c>
      <c r="J177" s="62">
        <f t="shared" si="2"/>
        <v>1</v>
      </c>
      <c r="K177" s="61" t="str">
        <f t="shared" si="3"/>
        <v>2024-Q1</v>
      </c>
      <c r="L177" s="63" t="str">
        <f t="shared" si="4"/>
        <v>2024-01</v>
      </c>
      <c r="M177" s="64" t="str">
        <f t="shared" si="5"/>
        <v>2024-H1</v>
      </c>
      <c r="N177" s="65" t="s">
        <v>85</v>
      </c>
    </row>
    <row r="178">
      <c r="I178" s="61" t="str">
        <f t="shared" si="1"/>
        <v>2024</v>
      </c>
      <c r="J178" s="62">
        <f t="shared" si="2"/>
        <v>1</v>
      </c>
      <c r="K178" s="61" t="str">
        <f t="shared" si="3"/>
        <v>2024-Q1</v>
      </c>
      <c r="L178" s="63" t="str">
        <f t="shared" si="4"/>
        <v>2024-01</v>
      </c>
      <c r="M178" s="64" t="str">
        <f t="shared" si="5"/>
        <v>2024-H1</v>
      </c>
      <c r="N178" s="65" t="s">
        <v>85</v>
      </c>
    </row>
    <row r="179">
      <c r="I179" s="61" t="str">
        <f t="shared" si="1"/>
        <v>2024</v>
      </c>
      <c r="J179" s="62">
        <f t="shared" si="2"/>
        <v>1</v>
      </c>
      <c r="K179" s="61" t="str">
        <f t="shared" si="3"/>
        <v>2024-Q1</v>
      </c>
      <c r="L179" s="63" t="str">
        <f t="shared" si="4"/>
        <v>2024-01</v>
      </c>
      <c r="M179" s="64" t="str">
        <f t="shared" si="5"/>
        <v>2024-H1</v>
      </c>
      <c r="N179" s="65" t="s">
        <v>85</v>
      </c>
    </row>
    <row r="180">
      <c r="I180" s="61" t="str">
        <f t="shared" si="1"/>
        <v>2024</v>
      </c>
      <c r="J180" s="62">
        <f t="shared" si="2"/>
        <v>1</v>
      </c>
      <c r="K180" s="61" t="str">
        <f t="shared" si="3"/>
        <v>2024-Q1</v>
      </c>
      <c r="L180" s="63" t="str">
        <f t="shared" si="4"/>
        <v>2024-01</v>
      </c>
      <c r="M180" s="64" t="str">
        <f t="shared" si="5"/>
        <v>2024-H1</v>
      </c>
      <c r="N180" s="65" t="s">
        <v>85</v>
      </c>
    </row>
    <row r="181">
      <c r="I181" s="61" t="str">
        <f t="shared" si="1"/>
        <v>2024</v>
      </c>
      <c r="J181" s="62">
        <f t="shared" si="2"/>
        <v>1</v>
      </c>
      <c r="K181" s="61" t="str">
        <f t="shared" si="3"/>
        <v>2024-Q1</v>
      </c>
      <c r="L181" s="63" t="str">
        <f t="shared" si="4"/>
        <v>2024-01</v>
      </c>
      <c r="M181" s="64" t="str">
        <f t="shared" si="5"/>
        <v>2024-H1</v>
      </c>
      <c r="N181" s="65" t="s">
        <v>85</v>
      </c>
    </row>
    <row r="182">
      <c r="I182" s="61" t="str">
        <f t="shared" si="1"/>
        <v>2024</v>
      </c>
      <c r="J182" s="62">
        <f t="shared" si="2"/>
        <v>1</v>
      </c>
      <c r="K182" s="61" t="str">
        <f t="shared" si="3"/>
        <v>2024-Q1</v>
      </c>
      <c r="L182" s="63" t="str">
        <f t="shared" si="4"/>
        <v>2024-01</v>
      </c>
      <c r="M182" s="64" t="str">
        <f t="shared" si="5"/>
        <v>2024-H1</v>
      </c>
      <c r="N182" s="65" t="s">
        <v>85</v>
      </c>
    </row>
    <row r="183">
      <c r="I183" s="61" t="str">
        <f t="shared" si="1"/>
        <v>2023</v>
      </c>
      <c r="J183" s="62">
        <f t="shared" si="2"/>
        <v>12</v>
      </c>
      <c r="K183" s="61" t="str">
        <f t="shared" si="3"/>
        <v>2023-Q4</v>
      </c>
      <c r="L183" s="63" t="str">
        <f t="shared" si="4"/>
        <v>2023-12</v>
      </c>
      <c r="M183" s="64" t="str">
        <f t="shared" si="5"/>
        <v>2023-H2</v>
      </c>
      <c r="N183" s="65" t="s">
        <v>85</v>
      </c>
    </row>
    <row r="184">
      <c r="I184" s="61" t="str">
        <f t="shared" si="1"/>
        <v>2024</v>
      </c>
      <c r="J184" s="62">
        <f t="shared" si="2"/>
        <v>1</v>
      </c>
      <c r="K184" s="61" t="str">
        <f t="shared" si="3"/>
        <v>2024-Q1</v>
      </c>
      <c r="L184" s="63" t="str">
        <f t="shared" si="4"/>
        <v>2024-01</v>
      </c>
      <c r="M184" s="64" t="str">
        <f t="shared" si="5"/>
        <v>2024-H1</v>
      </c>
      <c r="N184" s="65" t="s">
        <v>85</v>
      </c>
    </row>
    <row r="185">
      <c r="I185" s="61" t="str">
        <f t="shared" si="1"/>
        <v>2024</v>
      </c>
      <c r="J185" s="62">
        <f t="shared" si="2"/>
        <v>1</v>
      </c>
      <c r="K185" s="61" t="str">
        <f t="shared" si="3"/>
        <v>2024-Q1</v>
      </c>
      <c r="L185" s="63" t="str">
        <f t="shared" si="4"/>
        <v>2024-01</v>
      </c>
      <c r="M185" s="64" t="str">
        <f t="shared" si="5"/>
        <v>2024-H1</v>
      </c>
      <c r="N185" s="65" t="s">
        <v>85</v>
      </c>
    </row>
    <row r="186">
      <c r="I186" s="61" t="str">
        <f t="shared" si="1"/>
        <v>2024</v>
      </c>
      <c r="J186" s="62">
        <f t="shared" si="2"/>
        <v>1</v>
      </c>
      <c r="K186" s="61" t="str">
        <f t="shared" si="3"/>
        <v>2024-Q1</v>
      </c>
      <c r="L186" s="63" t="str">
        <f t="shared" si="4"/>
        <v>2024-01</v>
      </c>
      <c r="M186" s="64" t="str">
        <f t="shared" si="5"/>
        <v>2024-H1</v>
      </c>
      <c r="N186" s="65" t="s">
        <v>85</v>
      </c>
    </row>
    <row r="187">
      <c r="I187" s="61" t="str">
        <f t="shared" si="1"/>
        <v>2024</v>
      </c>
      <c r="J187" s="62">
        <f t="shared" si="2"/>
        <v>1</v>
      </c>
      <c r="K187" s="61" t="str">
        <f t="shared" si="3"/>
        <v>2024-Q1</v>
      </c>
      <c r="L187" s="63" t="str">
        <f t="shared" si="4"/>
        <v>2024-01</v>
      </c>
      <c r="M187" s="64" t="str">
        <f t="shared" si="5"/>
        <v>2024-H1</v>
      </c>
      <c r="N187" s="65" t="s">
        <v>85</v>
      </c>
    </row>
    <row r="188">
      <c r="I188" s="61" t="str">
        <f t="shared" si="1"/>
        <v>2024</v>
      </c>
      <c r="J188" s="62">
        <f t="shared" si="2"/>
        <v>1</v>
      </c>
      <c r="K188" s="61" t="str">
        <f t="shared" si="3"/>
        <v>2024-Q1</v>
      </c>
      <c r="L188" s="63" t="str">
        <f t="shared" si="4"/>
        <v>2024-01</v>
      </c>
      <c r="M188" s="64" t="str">
        <f t="shared" si="5"/>
        <v>2024-H1</v>
      </c>
      <c r="N188" s="65" t="s">
        <v>85</v>
      </c>
    </row>
    <row r="189">
      <c r="I189" s="61" t="str">
        <f t="shared" si="1"/>
        <v>2024</v>
      </c>
      <c r="J189" s="62">
        <f t="shared" si="2"/>
        <v>1</v>
      </c>
      <c r="K189" s="61" t="str">
        <f t="shared" si="3"/>
        <v>2024-Q1</v>
      </c>
      <c r="L189" s="63" t="str">
        <f t="shared" si="4"/>
        <v>2024-01</v>
      </c>
      <c r="M189" s="64" t="str">
        <f t="shared" si="5"/>
        <v>2024-H1</v>
      </c>
      <c r="N189" s="65" t="s">
        <v>85</v>
      </c>
    </row>
    <row r="190">
      <c r="I190" s="61" t="str">
        <f t="shared" si="1"/>
        <v>2024</v>
      </c>
      <c r="J190" s="62">
        <f t="shared" si="2"/>
        <v>1</v>
      </c>
      <c r="K190" s="61" t="str">
        <f t="shared" si="3"/>
        <v>2024-Q1</v>
      </c>
      <c r="L190" s="63" t="str">
        <f t="shared" si="4"/>
        <v>2024-01</v>
      </c>
      <c r="M190" s="64" t="str">
        <f t="shared" si="5"/>
        <v>2024-H1</v>
      </c>
      <c r="N190" s="65" t="s">
        <v>85</v>
      </c>
    </row>
    <row r="191">
      <c r="I191" s="61" t="str">
        <f t="shared" si="1"/>
        <v>2024</v>
      </c>
      <c r="J191" s="62">
        <f t="shared" si="2"/>
        <v>1</v>
      </c>
      <c r="K191" s="61" t="str">
        <f t="shared" si="3"/>
        <v>2024-Q1</v>
      </c>
      <c r="L191" s="63" t="str">
        <f t="shared" si="4"/>
        <v>2024-01</v>
      </c>
      <c r="M191" s="64" t="str">
        <f t="shared" si="5"/>
        <v>2024-H1</v>
      </c>
      <c r="N191" s="65" t="s">
        <v>85</v>
      </c>
    </row>
    <row r="192">
      <c r="I192" s="61" t="str">
        <f t="shared" si="1"/>
        <v>2024</v>
      </c>
      <c r="J192" s="62">
        <f t="shared" si="2"/>
        <v>1</v>
      </c>
      <c r="K192" s="61" t="str">
        <f t="shared" si="3"/>
        <v>2024-Q1</v>
      </c>
      <c r="L192" s="63" t="str">
        <f t="shared" si="4"/>
        <v>2024-01</v>
      </c>
      <c r="M192" s="64" t="str">
        <f t="shared" si="5"/>
        <v>2024-H1</v>
      </c>
      <c r="N192" s="65" t="s">
        <v>85</v>
      </c>
    </row>
    <row r="193">
      <c r="I193" s="61" t="str">
        <f t="shared" si="1"/>
        <v>2024</v>
      </c>
      <c r="J193" s="62">
        <f t="shared" si="2"/>
        <v>1</v>
      </c>
      <c r="K193" s="61" t="str">
        <f t="shared" si="3"/>
        <v>2024-Q1</v>
      </c>
      <c r="L193" s="63" t="str">
        <f t="shared" si="4"/>
        <v>2024-01</v>
      </c>
      <c r="M193" s="64" t="str">
        <f t="shared" si="5"/>
        <v>2024-H1</v>
      </c>
      <c r="N193" s="65" t="s">
        <v>85</v>
      </c>
    </row>
    <row r="194">
      <c r="I194" s="61" t="str">
        <f t="shared" si="1"/>
        <v>2024</v>
      </c>
      <c r="J194" s="62">
        <f t="shared" si="2"/>
        <v>1</v>
      </c>
      <c r="K194" s="61" t="str">
        <f t="shared" si="3"/>
        <v>2024-Q1</v>
      </c>
      <c r="L194" s="63" t="str">
        <f t="shared" si="4"/>
        <v>2024-01</v>
      </c>
      <c r="M194" s="64" t="str">
        <f t="shared" si="5"/>
        <v>2024-H1</v>
      </c>
      <c r="N194" s="65" t="s">
        <v>85</v>
      </c>
    </row>
    <row r="195">
      <c r="I195" s="61" t="str">
        <f t="shared" si="1"/>
        <v>2024</v>
      </c>
      <c r="J195" s="62">
        <f t="shared" si="2"/>
        <v>1</v>
      </c>
      <c r="K195" s="61" t="str">
        <f t="shared" si="3"/>
        <v>2024-Q1</v>
      </c>
      <c r="L195" s="63" t="str">
        <f t="shared" si="4"/>
        <v>2024-01</v>
      </c>
      <c r="M195" s="64" t="str">
        <f t="shared" si="5"/>
        <v>2024-H1</v>
      </c>
      <c r="N195" s="65" t="s">
        <v>85</v>
      </c>
    </row>
    <row r="196">
      <c r="I196" s="61" t="str">
        <f t="shared" si="1"/>
        <v>2024</v>
      </c>
      <c r="J196" s="62">
        <f t="shared" si="2"/>
        <v>1</v>
      </c>
      <c r="K196" s="61" t="str">
        <f t="shared" si="3"/>
        <v>2024-Q1</v>
      </c>
      <c r="L196" s="63" t="str">
        <f t="shared" si="4"/>
        <v>2024-01</v>
      </c>
      <c r="M196" s="64" t="str">
        <f t="shared" si="5"/>
        <v>2024-H1</v>
      </c>
      <c r="N196" s="65" t="s">
        <v>85</v>
      </c>
    </row>
    <row r="197">
      <c r="I197" s="61" t="str">
        <f t="shared" si="1"/>
        <v>2024</v>
      </c>
      <c r="J197" s="62">
        <f t="shared" si="2"/>
        <v>1</v>
      </c>
      <c r="K197" s="61" t="str">
        <f t="shared" si="3"/>
        <v>2024-Q1</v>
      </c>
      <c r="L197" s="63" t="str">
        <f t="shared" si="4"/>
        <v>2024-01</v>
      </c>
      <c r="M197" s="64" t="str">
        <f t="shared" si="5"/>
        <v>2024-H1</v>
      </c>
      <c r="N197" s="65" t="s">
        <v>85</v>
      </c>
    </row>
    <row r="198">
      <c r="I198" s="61" t="str">
        <f t="shared" si="1"/>
        <v>2024</v>
      </c>
      <c r="J198" s="62">
        <f t="shared" si="2"/>
        <v>1</v>
      </c>
      <c r="K198" s="61" t="str">
        <f t="shared" si="3"/>
        <v>2024-Q1</v>
      </c>
      <c r="L198" s="63" t="str">
        <f t="shared" si="4"/>
        <v>2024-01</v>
      </c>
      <c r="M198" s="64" t="str">
        <f t="shared" si="5"/>
        <v>2024-H1</v>
      </c>
      <c r="N198" s="65" t="s">
        <v>85</v>
      </c>
    </row>
    <row r="199">
      <c r="I199" s="61" t="str">
        <f t="shared" si="1"/>
        <v>2024</v>
      </c>
      <c r="J199" s="62">
        <f t="shared" si="2"/>
        <v>1</v>
      </c>
      <c r="K199" s="61" t="str">
        <f t="shared" si="3"/>
        <v>2024-Q1</v>
      </c>
      <c r="L199" s="63" t="str">
        <f t="shared" si="4"/>
        <v>2024-01</v>
      </c>
      <c r="M199" s="64" t="str">
        <f t="shared" si="5"/>
        <v>2024-H1</v>
      </c>
      <c r="N199" s="65" t="s">
        <v>85</v>
      </c>
    </row>
    <row r="200">
      <c r="I200" s="61" t="str">
        <f t="shared" si="1"/>
        <v>2024</v>
      </c>
      <c r="J200" s="62">
        <f t="shared" si="2"/>
        <v>2</v>
      </c>
      <c r="K200" s="61" t="str">
        <f t="shared" si="3"/>
        <v>2024-Q1</v>
      </c>
      <c r="L200" s="63" t="str">
        <f t="shared" si="4"/>
        <v>2024-02</v>
      </c>
      <c r="M200" s="64" t="str">
        <f t="shared" si="5"/>
        <v>2024-H1</v>
      </c>
      <c r="N200" s="65" t="s">
        <v>85</v>
      </c>
    </row>
    <row r="201">
      <c r="I201" s="61" t="str">
        <f t="shared" si="1"/>
        <v>2024</v>
      </c>
      <c r="J201" s="62">
        <f t="shared" si="2"/>
        <v>1</v>
      </c>
      <c r="K201" s="61" t="str">
        <f t="shared" si="3"/>
        <v>2024-Q1</v>
      </c>
      <c r="L201" s="63" t="str">
        <f t="shared" si="4"/>
        <v>2024-01</v>
      </c>
      <c r="M201" s="64" t="str">
        <f t="shared" si="5"/>
        <v>2024-H1</v>
      </c>
      <c r="N201" s="65" t="s">
        <v>85</v>
      </c>
    </row>
    <row r="202">
      <c r="I202" s="61" t="str">
        <f t="shared" si="1"/>
        <v>2024</v>
      </c>
      <c r="J202" s="62">
        <f t="shared" si="2"/>
        <v>1</v>
      </c>
      <c r="K202" s="61" t="str">
        <f t="shared" si="3"/>
        <v>2024-Q1</v>
      </c>
      <c r="L202" s="63" t="str">
        <f t="shared" si="4"/>
        <v>2024-01</v>
      </c>
      <c r="M202" s="64" t="str">
        <f t="shared" si="5"/>
        <v>2024-H1</v>
      </c>
      <c r="N202" s="65" t="s">
        <v>85</v>
      </c>
    </row>
    <row r="203">
      <c r="I203" s="61" t="str">
        <f t="shared" si="1"/>
        <v>2024</v>
      </c>
      <c r="J203" s="62">
        <f t="shared" si="2"/>
        <v>1</v>
      </c>
      <c r="K203" s="61" t="str">
        <f t="shared" si="3"/>
        <v>2024-Q1</v>
      </c>
      <c r="L203" s="63" t="str">
        <f t="shared" si="4"/>
        <v>2024-01</v>
      </c>
      <c r="M203" s="64" t="str">
        <f t="shared" si="5"/>
        <v>2024-H1</v>
      </c>
      <c r="N203" s="65" t="s">
        <v>85</v>
      </c>
    </row>
    <row r="204">
      <c r="I204" s="61" t="str">
        <f t="shared" si="1"/>
        <v>2024</v>
      </c>
      <c r="J204" s="62">
        <f t="shared" si="2"/>
        <v>2</v>
      </c>
      <c r="K204" s="61" t="str">
        <f t="shared" si="3"/>
        <v>2024-Q1</v>
      </c>
      <c r="L204" s="63" t="str">
        <f t="shared" si="4"/>
        <v>2024-02</v>
      </c>
      <c r="M204" s="64" t="str">
        <f t="shared" si="5"/>
        <v>2024-H1</v>
      </c>
      <c r="N204" s="65" t="s">
        <v>85</v>
      </c>
    </row>
    <row r="205">
      <c r="I205" s="61" t="str">
        <f t="shared" si="1"/>
        <v>2024</v>
      </c>
      <c r="J205" s="62">
        <f t="shared" si="2"/>
        <v>2</v>
      </c>
      <c r="K205" s="61" t="str">
        <f t="shared" si="3"/>
        <v>2024-Q1</v>
      </c>
      <c r="L205" s="63" t="str">
        <f t="shared" si="4"/>
        <v>2024-02</v>
      </c>
      <c r="M205" s="64" t="str">
        <f t="shared" si="5"/>
        <v>2024-H1</v>
      </c>
      <c r="N205" s="65" t="s">
        <v>85</v>
      </c>
    </row>
    <row r="206">
      <c r="I206" s="61" t="str">
        <f t="shared" si="1"/>
        <v>2024</v>
      </c>
      <c r="J206" s="62">
        <f t="shared" si="2"/>
        <v>1</v>
      </c>
      <c r="K206" s="61" t="str">
        <f t="shared" si="3"/>
        <v>2024-Q1</v>
      </c>
      <c r="L206" s="63" t="str">
        <f t="shared" si="4"/>
        <v>2024-01</v>
      </c>
      <c r="M206" s="64" t="str">
        <f t="shared" si="5"/>
        <v>2024-H1</v>
      </c>
      <c r="N206" s="65" t="s">
        <v>85</v>
      </c>
    </row>
    <row r="207">
      <c r="I207" s="61" t="str">
        <f t="shared" si="1"/>
        <v>2024</v>
      </c>
      <c r="J207" s="62">
        <f t="shared" si="2"/>
        <v>1</v>
      </c>
      <c r="K207" s="61" t="str">
        <f t="shared" si="3"/>
        <v>2024-Q1</v>
      </c>
      <c r="L207" s="63" t="str">
        <f t="shared" si="4"/>
        <v>2024-01</v>
      </c>
      <c r="M207" s="64" t="str">
        <f t="shared" si="5"/>
        <v>2024-H1</v>
      </c>
      <c r="N207" s="65" t="s">
        <v>85</v>
      </c>
    </row>
    <row r="208">
      <c r="I208" s="61" t="str">
        <f t="shared" si="1"/>
        <v>2024</v>
      </c>
      <c r="J208" s="62">
        <f t="shared" si="2"/>
        <v>1</v>
      </c>
      <c r="K208" s="61" t="str">
        <f t="shared" si="3"/>
        <v>2024-Q1</v>
      </c>
      <c r="L208" s="63" t="str">
        <f t="shared" si="4"/>
        <v>2024-01</v>
      </c>
      <c r="M208" s="64" t="str">
        <f t="shared" si="5"/>
        <v>2024-H1</v>
      </c>
      <c r="N208" s="65" t="s">
        <v>85</v>
      </c>
    </row>
    <row r="209">
      <c r="I209" s="61" t="str">
        <f t="shared" si="1"/>
        <v>2024</v>
      </c>
      <c r="J209" s="62">
        <f t="shared" si="2"/>
        <v>2</v>
      </c>
      <c r="K209" s="61" t="str">
        <f t="shared" si="3"/>
        <v>2024-Q1</v>
      </c>
      <c r="L209" s="63" t="str">
        <f t="shared" si="4"/>
        <v>2024-02</v>
      </c>
      <c r="M209" s="64" t="str">
        <f t="shared" si="5"/>
        <v>2024-H1</v>
      </c>
      <c r="N209" s="65" t="s">
        <v>85</v>
      </c>
    </row>
    <row r="210">
      <c r="I210" s="61" t="str">
        <f t="shared" si="1"/>
        <v>2024</v>
      </c>
      <c r="J210" s="62">
        <f t="shared" si="2"/>
        <v>1</v>
      </c>
      <c r="K210" s="61" t="str">
        <f t="shared" si="3"/>
        <v>2024-Q1</v>
      </c>
      <c r="L210" s="63" t="str">
        <f t="shared" si="4"/>
        <v>2024-01</v>
      </c>
      <c r="M210" s="64" t="str">
        <f t="shared" si="5"/>
        <v>2024-H1</v>
      </c>
      <c r="N210" s="65" t="s">
        <v>85</v>
      </c>
    </row>
    <row r="211">
      <c r="I211" s="61" t="str">
        <f t="shared" si="1"/>
        <v>2024</v>
      </c>
      <c r="J211" s="62">
        <f t="shared" si="2"/>
        <v>2</v>
      </c>
      <c r="K211" s="61" t="str">
        <f t="shared" si="3"/>
        <v>2024-Q1</v>
      </c>
      <c r="L211" s="63" t="str">
        <f t="shared" si="4"/>
        <v>2024-02</v>
      </c>
      <c r="M211" s="64" t="str">
        <f t="shared" si="5"/>
        <v>2024-H1</v>
      </c>
      <c r="N211" s="65" t="s">
        <v>85</v>
      </c>
    </row>
    <row r="212">
      <c r="I212" s="61" t="str">
        <f t="shared" si="1"/>
        <v>2024</v>
      </c>
      <c r="J212" s="62">
        <f t="shared" si="2"/>
        <v>2</v>
      </c>
      <c r="K212" s="61" t="str">
        <f t="shared" si="3"/>
        <v>2024-Q1</v>
      </c>
      <c r="L212" s="63" t="str">
        <f t="shared" si="4"/>
        <v>2024-02</v>
      </c>
      <c r="M212" s="64" t="str">
        <f t="shared" si="5"/>
        <v>2024-H1</v>
      </c>
      <c r="N212" s="65" t="s">
        <v>85</v>
      </c>
    </row>
    <row r="213">
      <c r="I213" s="61" t="str">
        <f t="shared" si="1"/>
        <v>2024</v>
      </c>
      <c r="J213" s="62">
        <f t="shared" si="2"/>
        <v>2</v>
      </c>
      <c r="K213" s="61" t="str">
        <f t="shared" si="3"/>
        <v>2024-Q1</v>
      </c>
      <c r="L213" s="63" t="str">
        <f t="shared" si="4"/>
        <v>2024-02</v>
      </c>
      <c r="M213" s="64" t="str">
        <f t="shared" si="5"/>
        <v>2024-H1</v>
      </c>
      <c r="N213" s="65" t="s">
        <v>85</v>
      </c>
    </row>
    <row r="214">
      <c r="I214" s="61" t="str">
        <f t="shared" si="1"/>
        <v>2024</v>
      </c>
      <c r="J214" s="62">
        <f t="shared" si="2"/>
        <v>2</v>
      </c>
      <c r="K214" s="61" t="str">
        <f t="shared" si="3"/>
        <v>2024-Q1</v>
      </c>
      <c r="L214" s="63" t="str">
        <f t="shared" si="4"/>
        <v>2024-02</v>
      </c>
      <c r="M214" s="64" t="str">
        <f t="shared" si="5"/>
        <v>2024-H1</v>
      </c>
      <c r="N214" s="65" t="s">
        <v>85</v>
      </c>
    </row>
    <row r="215">
      <c r="I215" s="61" t="str">
        <f t="shared" si="1"/>
        <v>2024</v>
      </c>
      <c r="J215" s="62">
        <f t="shared" si="2"/>
        <v>3</v>
      </c>
      <c r="K215" s="61" t="str">
        <f t="shared" si="3"/>
        <v>2024-Q1</v>
      </c>
      <c r="L215" s="63" t="str">
        <f t="shared" si="4"/>
        <v>2024-03</v>
      </c>
      <c r="M215" s="64" t="str">
        <f t="shared" si="5"/>
        <v>2024-H1</v>
      </c>
      <c r="N215" s="65" t="s">
        <v>85</v>
      </c>
    </row>
    <row r="216">
      <c r="I216" s="61" t="str">
        <f t="shared" si="1"/>
        <v>2024</v>
      </c>
      <c r="J216" s="62">
        <f t="shared" si="2"/>
        <v>2</v>
      </c>
      <c r="K216" s="61" t="str">
        <f t="shared" si="3"/>
        <v>2024-Q1</v>
      </c>
      <c r="L216" s="63" t="str">
        <f t="shared" si="4"/>
        <v>2024-02</v>
      </c>
      <c r="M216" s="64" t="str">
        <f t="shared" si="5"/>
        <v>2024-H1</v>
      </c>
      <c r="N216" s="65" t="s">
        <v>85</v>
      </c>
    </row>
    <row r="217">
      <c r="I217" s="61" t="str">
        <f t="shared" si="1"/>
        <v>2024</v>
      </c>
      <c r="J217" s="62">
        <f t="shared" si="2"/>
        <v>2</v>
      </c>
      <c r="K217" s="61" t="str">
        <f t="shared" si="3"/>
        <v>2024-Q1</v>
      </c>
      <c r="L217" s="63" t="str">
        <f t="shared" si="4"/>
        <v>2024-02</v>
      </c>
      <c r="M217" s="64" t="str">
        <f t="shared" si="5"/>
        <v>2024-H1</v>
      </c>
      <c r="N217" s="65" t="s">
        <v>85</v>
      </c>
    </row>
    <row r="218">
      <c r="I218" s="61" t="str">
        <f t="shared" si="1"/>
        <v>2024</v>
      </c>
      <c r="J218" s="62">
        <f t="shared" si="2"/>
        <v>2</v>
      </c>
      <c r="K218" s="61" t="str">
        <f t="shared" si="3"/>
        <v>2024-Q1</v>
      </c>
      <c r="L218" s="63" t="str">
        <f t="shared" si="4"/>
        <v>2024-02</v>
      </c>
      <c r="M218" s="64" t="str">
        <f t="shared" si="5"/>
        <v>2024-H1</v>
      </c>
      <c r="N218" s="65" t="s">
        <v>85</v>
      </c>
    </row>
    <row r="219">
      <c r="I219" s="61" t="str">
        <f t="shared" si="1"/>
        <v>2024</v>
      </c>
      <c r="J219" s="62">
        <f t="shared" si="2"/>
        <v>2</v>
      </c>
      <c r="K219" s="61" t="str">
        <f t="shared" si="3"/>
        <v>2024-Q1</v>
      </c>
      <c r="L219" s="63" t="str">
        <f t="shared" si="4"/>
        <v>2024-02</v>
      </c>
      <c r="M219" s="64" t="str">
        <f t="shared" si="5"/>
        <v>2024-H1</v>
      </c>
      <c r="N219" s="65" t="s">
        <v>85</v>
      </c>
    </row>
    <row r="220">
      <c r="I220" s="61" t="str">
        <f t="shared" si="1"/>
        <v>2024</v>
      </c>
      <c r="J220" s="62">
        <f t="shared" si="2"/>
        <v>3</v>
      </c>
      <c r="K220" s="61" t="str">
        <f t="shared" si="3"/>
        <v>2024-Q1</v>
      </c>
      <c r="L220" s="63" t="str">
        <f t="shared" si="4"/>
        <v>2024-03</v>
      </c>
      <c r="M220" s="64" t="str">
        <f t="shared" si="5"/>
        <v>2024-H1</v>
      </c>
      <c r="N220" s="65" t="s">
        <v>85</v>
      </c>
    </row>
    <row r="221">
      <c r="I221" s="61" t="str">
        <f t="shared" si="1"/>
        <v>2024</v>
      </c>
      <c r="J221" s="62">
        <f t="shared" si="2"/>
        <v>2</v>
      </c>
      <c r="K221" s="61" t="str">
        <f t="shared" si="3"/>
        <v>2024-Q1</v>
      </c>
      <c r="L221" s="63" t="str">
        <f t="shared" si="4"/>
        <v>2024-02</v>
      </c>
      <c r="M221" s="64" t="str">
        <f t="shared" si="5"/>
        <v>2024-H1</v>
      </c>
      <c r="N221" s="65" t="s">
        <v>85</v>
      </c>
    </row>
    <row r="222">
      <c r="I222" s="61" t="str">
        <f t="shared" si="1"/>
        <v>2024</v>
      </c>
      <c r="J222" s="62">
        <f t="shared" si="2"/>
        <v>2</v>
      </c>
      <c r="K222" s="61" t="str">
        <f t="shared" si="3"/>
        <v>2024-Q1</v>
      </c>
      <c r="L222" s="63" t="str">
        <f t="shared" si="4"/>
        <v>2024-02</v>
      </c>
      <c r="M222" s="64" t="str">
        <f t="shared" si="5"/>
        <v>2024-H1</v>
      </c>
      <c r="N222" s="65" t="s">
        <v>85</v>
      </c>
    </row>
    <row r="223">
      <c r="I223" s="61" t="str">
        <f t="shared" si="1"/>
        <v>2024</v>
      </c>
      <c r="J223" s="62">
        <f t="shared" si="2"/>
        <v>2</v>
      </c>
      <c r="K223" s="61" t="str">
        <f t="shared" si="3"/>
        <v>2024-Q1</v>
      </c>
      <c r="L223" s="63" t="str">
        <f t="shared" si="4"/>
        <v>2024-02</v>
      </c>
      <c r="M223" s="64" t="str">
        <f t="shared" si="5"/>
        <v>2024-H1</v>
      </c>
      <c r="N223" s="65" t="s">
        <v>85</v>
      </c>
    </row>
    <row r="224">
      <c r="I224" s="61" t="str">
        <f t="shared" si="1"/>
        <v>2024</v>
      </c>
      <c r="J224" s="62">
        <f t="shared" si="2"/>
        <v>2</v>
      </c>
      <c r="K224" s="61" t="str">
        <f t="shared" si="3"/>
        <v>2024-Q1</v>
      </c>
      <c r="L224" s="63" t="str">
        <f t="shared" si="4"/>
        <v>2024-02</v>
      </c>
      <c r="M224" s="64" t="str">
        <f t="shared" si="5"/>
        <v>2024-H1</v>
      </c>
      <c r="N224" s="65" t="s">
        <v>85</v>
      </c>
    </row>
    <row r="225">
      <c r="I225" s="61" t="str">
        <f t="shared" si="1"/>
        <v>2024</v>
      </c>
      <c r="J225" s="62">
        <f t="shared" si="2"/>
        <v>2</v>
      </c>
      <c r="K225" s="61" t="str">
        <f t="shared" si="3"/>
        <v>2024-Q1</v>
      </c>
      <c r="L225" s="63" t="str">
        <f t="shared" si="4"/>
        <v>2024-02</v>
      </c>
      <c r="M225" s="64" t="str">
        <f t="shared" si="5"/>
        <v>2024-H1</v>
      </c>
      <c r="N225" s="65" t="s">
        <v>85</v>
      </c>
    </row>
    <row r="226">
      <c r="I226" s="61" t="str">
        <f t="shared" si="1"/>
        <v>2024</v>
      </c>
      <c r="J226" s="62">
        <f t="shared" si="2"/>
        <v>2</v>
      </c>
      <c r="K226" s="61" t="str">
        <f t="shared" si="3"/>
        <v>2024-Q1</v>
      </c>
      <c r="L226" s="63" t="str">
        <f t="shared" si="4"/>
        <v>2024-02</v>
      </c>
      <c r="M226" s="64" t="str">
        <f t="shared" si="5"/>
        <v>2024-H1</v>
      </c>
      <c r="N226" s="65" t="s">
        <v>85</v>
      </c>
    </row>
    <row r="227">
      <c r="I227" s="61" t="str">
        <f t="shared" si="1"/>
        <v>2024</v>
      </c>
      <c r="J227" s="62">
        <f t="shared" si="2"/>
        <v>2</v>
      </c>
      <c r="K227" s="61" t="str">
        <f t="shared" si="3"/>
        <v>2024-Q1</v>
      </c>
      <c r="L227" s="63" t="str">
        <f t="shared" si="4"/>
        <v>2024-02</v>
      </c>
      <c r="M227" s="64" t="str">
        <f t="shared" si="5"/>
        <v>2024-H1</v>
      </c>
      <c r="N227" s="65" t="s">
        <v>85</v>
      </c>
    </row>
    <row r="228">
      <c r="I228" s="61" t="str">
        <f t="shared" si="1"/>
        <v>2024</v>
      </c>
      <c r="J228" s="62">
        <f t="shared" si="2"/>
        <v>2</v>
      </c>
      <c r="K228" s="61" t="str">
        <f t="shared" si="3"/>
        <v>2024-Q1</v>
      </c>
      <c r="L228" s="63" t="str">
        <f t="shared" si="4"/>
        <v>2024-02</v>
      </c>
      <c r="M228" s="64" t="str">
        <f t="shared" si="5"/>
        <v>2024-H1</v>
      </c>
      <c r="N228" s="65" t="s">
        <v>85</v>
      </c>
    </row>
    <row r="229">
      <c r="I229" s="61" t="str">
        <f t="shared" si="1"/>
        <v>2024</v>
      </c>
      <c r="J229" s="62">
        <f t="shared" si="2"/>
        <v>3</v>
      </c>
      <c r="K229" s="61" t="str">
        <f t="shared" si="3"/>
        <v>2024-Q1</v>
      </c>
      <c r="L229" s="63" t="str">
        <f t="shared" si="4"/>
        <v>2024-03</v>
      </c>
      <c r="M229" s="64" t="str">
        <f t="shared" si="5"/>
        <v>2024-H1</v>
      </c>
      <c r="N229" s="65" t="s">
        <v>85</v>
      </c>
    </row>
    <row r="230">
      <c r="I230" s="61" t="str">
        <f t="shared" si="1"/>
        <v>2024</v>
      </c>
      <c r="J230" s="62">
        <f t="shared" si="2"/>
        <v>2</v>
      </c>
      <c r="K230" s="61" t="str">
        <f t="shared" si="3"/>
        <v>2024-Q1</v>
      </c>
      <c r="L230" s="63" t="str">
        <f t="shared" si="4"/>
        <v>2024-02</v>
      </c>
      <c r="M230" s="64" t="str">
        <f t="shared" si="5"/>
        <v>2024-H1</v>
      </c>
      <c r="N230" s="65" t="s">
        <v>85</v>
      </c>
    </row>
    <row r="231">
      <c r="I231" s="61" t="str">
        <f t="shared" si="1"/>
        <v>2024</v>
      </c>
      <c r="J231" s="62">
        <f t="shared" si="2"/>
        <v>2</v>
      </c>
      <c r="K231" s="61" t="str">
        <f t="shared" si="3"/>
        <v>2024-Q1</v>
      </c>
      <c r="L231" s="63" t="str">
        <f t="shared" si="4"/>
        <v>2024-02</v>
      </c>
      <c r="M231" s="64" t="str">
        <f t="shared" si="5"/>
        <v>2024-H1</v>
      </c>
      <c r="N231" s="65" t="s">
        <v>85</v>
      </c>
    </row>
    <row r="232">
      <c r="I232" s="61" t="str">
        <f t="shared" si="1"/>
        <v>2024</v>
      </c>
      <c r="J232" s="62">
        <f t="shared" si="2"/>
        <v>3</v>
      </c>
      <c r="K232" s="61" t="str">
        <f t="shared" si="3"/>
        <v>2024-Q1</v>
      </c>
      <c r="L232" s="63" t="str">
        <f t="shared" si="4"/>
        <v>2024-03</v>
      </c>
      <c r="M232" s="64" t="str">
        <f t="shared" si="5"/>
        <v>2024-H1</v>
      </c>
      <c r="N232" s="65" t="s">
        <v>85</v>
      </c>
    </row>
    <row r="233">
      <c r="I233" s="61" t="str">
        <f t="shared" si="1"/>
        <v>2024</v>
      </c>
      <c r="J233" s="62">
        <f t="shared" si="2"/>
        <v>2</v>
      </c>
      <c r="K233" s="61" t="str">
        <f t="shared" si="3"/>
        <v>2024-Q1</v>
      </c>
      <c r="L233" s="63" t="str">
        <f t="shared" si="4"/>
        <v>2024-02</v>
      </c>
      <c r="M233" s="64" t="str">
        <f t="shared" si="5"/>
        <v>2024-H1</v>
      </c>
      <c r="N233" s="65" t="s">
        <v>85</v>
      </c>
    </row>
    <row r="234">
      <c r="I234" s="61" t="str">
        <f t="shared" si="1"/>
        <v>2024</v>
      </c>
      <c r="J234" s="62">
        <f t="shared" si="2"/>
        <v>2</v>
      </c>
      <c r="K234" s="61" t="str">
        <f t="shared" si="3"/>
        <v>2024-Q1</v>
      </c>
      <c r="L234" s="63" t="str">
        <f t="shared" si="4"/>
        <v>2024-02</v>
      </c>
      <c r="M234" s="64" t="str">
        <f t="shared" si="5"/>
        <v>2024-H1</v>
      </c>
      <c r="N234" s="65" t="s">
        <v>85</v>
      </c>
    </row>
    <row r="235">
      <c r="I235" s="61" t="str">
        <f t="shared" si="1"/>
        <v>2024</v>
      </c>
      <c r="J235" s="62">
        <f t="shared" si="2"/>
        <v>3</v>
      </c>
      <c r="K235" s="61" t="str">
        <f t="shared" si="3"/>
        <v>2024-Q1</v>
      </c>
      <c r="L235" s="63" t="str">
        <f t="shared" si="4"/>
        <v>2024-03</v>
      </c>
      <c r="M235" s="64" t="str">
        <f t="shared" si="5"/>
        <v>2024-H1</v>
      </c>
      <c r="N235" s="65" t="s">
        <v>85</v>
      </c>
    </row>
    <row r="236">
      <c r="I236" s="61" t="str">
        <f t="shared" si="1"/>
        <v>2024</v>
      </c>
      <c r="J236" s="62">
        <f t="shared" si="2"/>
        <v>2</v>
      </c>
      <c r="K236" s="61" t="str">
        <f t="shared" si="3"/>
        <v>2024-Q1</v>
      </c>
      <c r="L236" s="63" t="str">
        <f t="shared" si="4"/>
        <v>2024-02</v>
      </c>
      <c r="M236" s="64" t="str">
        <f t="shared" si="5"/>
        <v>2024-H1</v>
      </c>
      <c r="N236" s="65" t="s">
        <v>85</v>
      </c>
    </row>
    <row r="237">
      <c r="I237" s="61" t="str">
        <f t="shared" si="1"/>
        <v>2024</v>
      </c>
      <c r="J237" s="62">
        <f t="shared" si="2"/>
        <v>3</v>
      </c>
      <c r="K237" s="61" t="str">
        <f t="shared" si="3"/>
        <v>2024-Q1</v>
      </c>
      <c r="L237" s="63" t="str">
        <f t="shared" si="4"/>
        <v>2024-03</v>
      </c>
      <c r="M237" s="64" t="str">
        <f t="shared" si="5"/>
        <v>2024-H1</v>
      </c>
      <c r="N237" s="65" t="s">
        <v>85</v>
      </c>
    </row>
    <row r="238">
      <c r="I238" s="61" t="str">
        <f t="shared" si="1"/>
        <v>2024</v>
      </c>
      <c r="J238" s="62">
        <f t="shared" si="2"/>
        <v>3</v>
      </c>
      <c r="K238" s="61" t="str">
        <f t="shared" si="3"/>
        <v>2024-Q1</v>
      </c>
      <c r="L238" s="63" t="str">
        <f t="shared" si="4"/>
        <v>2024-03</v>
      </c>
      <c r="M238" s="64" t="str">
        <f t="shared" si="5"/>
        <v>2024-H1</v>
      </c>
      <c r="N238" s="65" t="s">
        <v>85</v>
      </c>
    </row>
    <row r="239">
      <c r="I239" s="61" t="str">
        <f t="shared" si="1"/>
        <v>2024</v>
      </c>
      <c r="J239" s="62">
        <f t="shared" si="2"/>
        <v>3</v>
      </c>
      <c r="K239" s="61" t="str">
        <f t="shared" si="3"/>
        <v>2024-Q1</v>
      </c>
      <c r="L239" s="63" t="str">
        <f t="shared" si="4"/>
        <v>2024-03</v>
      </c>
      <c r="M239" s="64" t="str">
        <f t="shared" si="5"/>
        <v>2024-H1</v>
      </c>
      <c r="N239" s="65" t="s">
        <v>85</v>
      </c>
    </row>
    <row r="240">
      <c r="I240" s="61" t="str">
        <f t="shared" si="1"/>
        <v>2024</v>
      </c>
      <c r="J240" s="62">
        <f t="shared" si="2"/>
        <v>3</v>
      </c>
      <c r="K240" s="61" t="str">
        <f t="shared" si="3"/>
        <v>2024-Q1</v>
      </c>
      <c r="L240" s="63" t="str">
        <f t="shared" si="4"/>
        <v>2024-03</v>
      </c>
      <c r="M240" s="64" t="str">
        <f t="shared" si="5"/>
        <v>2024-H1</v>
      </c>
      <c r="N240" s="65" t="s">
        <v>85</v>
      </c>
    </row>
    <row r="241">
      <c r="I241" s="61" t="str">
        <f t="shared" si="1"/>
        <v>2024</v>
      </c>
      <c r="J241" s="62">
        <f t="shared" si="2"/>
        <v>3</v>
      </c>
      <c r="K241" s="61" t="str">
        <f t="shared" si="3"/>
        <v>2024-Q1</v>
      </c>
      <c r="L241" s="63" t="str">
        <f t="shared" si="4"/>
        <v>2024-03</v>
      </c>
      <c r="M241" s="64" t="str">
        <f t="shared" si="5"/>
        <v>2024-H1</v>
      </c>
      <c r="N241" s="65" t="s">
        <v>85</v>
      </c>
    </row>
    <row r="242">
      <c r="I242" s="61" t="str">
        <f t="shared" si="1"/>
        <v>2024</v>
      </c>
      <c r="J242" s="62">
        <f t="shared" si="2"/>
        <v>3</v>
      </c>
      <c r="K242" s="61" t="str">
        <f t="shared" si="3"/>
        <v>2024-Q1</v>
      </c>
      <c r="L242" s="63" t="str">
        <f t="shared" si="4"/>
        <v>2024-03</v>
      </c>
      <c r="M242" s="64" t="str">
        <f t="shared" si="5"/>
        <v>2024-H1</v>
      </c>
      <c r="N242" s="65" t="s">
        <v>85</v>
      </c>
    </row>
    <row r="243">
      <c r="I243" s="61" t="str">
        <f t="shared" si="1"/>
        <v>2024</v>
      </c>
      <c r="J243" s="62">
        <f t="shared" si="2"/>
        <v>3</v>
      </c>
      <c r="K243" s="61" t="str">
        <f t="shared" si="3"/>
        <v>2024-Q1</v>
      </c>
      <c r="L243" s="63" t="str">
        <f t="shared" si="4"/>
        <v>2024-03</v>
      </c>
      <c r="M243" s="64" t="str">
        <f t="shared" si="5"/>
        <v>2024-H1</v>
      </c>
      <c r="N243" s="65" t="s">
        <v>85</v>
      </c>
    </row>
    <row r="244">
      <c r="I244" s="61" t="str">
        <f t="shared" si="1"/>
        <v>2024</v>
      </c>
      <c r="J244" s="62">
        <f t="shared" si="2"/>
        <v>2</v>
      </c>
      <c r="K244" s="61" t="str">
        <f t="shared" si="3"/>
        <v>2024-Q1</v>
      </c>
      <c r="L244" s="63" t="str">
        <f t="shared" si="4"/>
        <v>2024-02</v>
      </c>
      <c r="M244" s="64" t="str">
        <f t="shared" si="5"/>
        <v>2024-H1</v>
      </c>
      <c r="N244" s="65" t="s">
        <v>85</v>
      </c>
    </row>
    <row r="245">
      <c r="I245" s="61" t="str">
        <f t="shared" si="1"/>
        <v>2024</v>
      </c>
      <c r="J245" s="62">
        <f t="shared" si="2"/>
        <v>3</v>
      </c>
      <c r="K245" s="61" t="str">
        <f t="shared" si="3"/>
        <v>2024-Q1</v>
      </c>
      <c r="L245" s="63" t="str">
        <f t="shared" si="4"/>
        <v>2024-03</v>
      </c>
      <c r="M245" s="64" t="str">
        <f t="shared" si="5"/>
        <v>2024-H1</v>
      </c>
      <c r="N245" s="65" t="s">
        <v>85</v>
      </c>
    </row>
    <row r="246">
      <c r="I246" s="61" t="str">
        <f t="shared" si="1"/>
        <v>2024</v>
      </c>
      <c r="J246" s="62">
        <f t="shared" si="2"/>
        <v>3</v>
      </c>
      <c r="K246" s="61" t="str">
        <f t="shared" si="3"/>
        <v>2024-Q1</v>
      </c>
      <c r="L246" s="63" t="str">
        <f t="shared" si="4"/>
        <v>2024-03</v>
      </c>
      <c r="M246" s="64" t="str">
        <f t="shared" si="5"/>
        <v>2024-H1</v>
      </c>
      <c r="N246" s="65" t="s">
        <v>85</v>
      </c>
    </row>
    <row r="247">
      <c r="I247" s="61" t="str">
        <f t="shared" si="1"/>
        <v>2024</v>
      </c>
      <c r="J247" s="62">
        <f t="shared" si="2"/>
        <v>2</v>
      </c>
      <c r="K247" s="61" t="str">
        <f t="shared" si="3"/>
        <v>2024-Q1</v>
      </c>
      <c r="L247" s="63" t="str">
        <f t="shared" si="4"/>
        <v>2024-02</v>
      </c>
      <c r="M247" s="64" t="str">
        <f t="shared" si="5"/>
        <v>2024-H1</v>
      </c>
      <c r="N247" s="65" t="s">
        <v>85</v>
      </c>
    </row>
    <row r="248">
      <c r="I248" s="61" t="str">
        <f t="shared" si="1"/>
        <v>2024</v>
      </c>
      <c r="J248" s="62">
        <f t="shared" si="2"/>
        <v>3</v>
      </c>
      <c r="K248" s="61" t="str">
        <f t="shared" si="3"/>
        <v>2024-Q1</v>
      </c>
      <c r="L248" s="63" t="str">
        <f t="shared" si="4"/>
        <v>2024-03</v>
      </c>
      <c r="M248" s="64" t="str">
        <f t="shared" si="5"/>
        <v>2024-H1</v>
      </c>
      <c r="N248" s="65" t="s">
        <v>85</v>
      </c>
    </row>
    <row r="249">
      <c r="I249" s="61" t="str">
        <f t="shared" si="1"/>
        <v>2024</v>
      </c>
      <c r="J249" s="62">
        <f t="shared" si="2"/>
        <v>2</v>
      </c>
      <c r="K249" s="61" t="str">
        <f t="shared" si="3"/>
        <v>2024-Q1</v>
      </c>
      <c r="L249" s="63" t="str">
        <f t="shared" si="4"/>
        <v>2024-02</v>
      </c>
      <c r="M249" s="64" t="str">
        <f t="shared" si="5"/>
        <v>2024-H1</v>
      </c>
      <c r="N249" s="65" t="s">
        <v>85</v>
      </c>
    </row>
    <row r="250">
      <c r="I250" s="61" t="str">
        <f t="shared" si="1"/>
        <v>2024</v>
      </c>
      <c r="J250" s="62">
        <f t="shared" si="2"/>
        <v>2</v>
      </c>
      <c r="K250" s="61" t="str">
        <f t="shared" si="3"/>
        <v>2024-Q1</v>
      </c>
      <c r="L250" s="63" t="str">
        <f t="shared" si="4"/>
        <v>2024-02</v>
      </c>
      <c r="M250" s="64" t="str">
        <f t="shared" si="5"/>
        <v>2024-H1</v>
      </c>
      <c r="N250" s="65" t="s">
        <v>85</v>
      </c>
    </row>
    <row r="251">
      <c r="I251" s="61" t="str">
        <f t="shared" si="1"/>
        <v>2024</v>
      </c>
      <c r="J251" s="62">
        <f t="shared" si="2"/>
        <v>3</v>
      </c>
      <c r="K251" s="61" t="str">
        <f t="shared" si="3"/>
        <v>2024-Q1</v>
      </c>
      <c r="L251" s="63" t="str">
        <f t="shared" si="4"/>
        <v>2024-03</v>
      </c>
      <c r="M251" s="64" t="str">
        <f t="shared" si="5"/>
        <v>2024-H1</v>
      </c>
      <c r="N251" s="65" t="s">
        <v>85</v>
      </c>
    </row>
    <row r="252">
      <c r="I252" s="61" t="str">
        <f t="shared" si="1"/>
        <v>2024</v>
      </c>
      <c r="J252" s="62">
        <f t="shared" si="2"/>
        <v>4</v>
      </c>
      <c r="K252" s="61" t="str">
        <f t="shared" si="3"/>
        <v>2024-Q2</v>
      </c>
      <c r="L252" s="63" t="str">
        <f t="shared" si="4"/>
        <v>2024-04</v>
      </c>
      <c r="M252" s="64" t="str">
        <f t="shared" si="5"/>
        <v>2024-H1</v>
      </c>
      <c r="N252" s="65" t="s">
        <v>85</v>
      </c>
    </row>
    <row r="253">
      <c r="I253" s="61" t="str">
        <f t="shared" si="1"/>
        <v>2024</v>
      </c>
      <c r="J253" s="62">
        <f t="shared" si="2"/>
        <v>3</v>
      </c>
      <c r="K253" s="61" t="str">
        <f t="shared" si="3"/>
        <v>2024-Q1</v>
      </c>
      <c r="L253" s="63" t="str">
        <f t="shared" si="4"/>
        <v>2024-03</v>
      </c>
      <c r="M253" s="64" t="str">
        <f t="shared" si="5"/>
        <v>2024-H1</v>
      </c>
      <c r="N253" s="65" t="s">
        <v>85</v>
      </c>
    </row>
    <row r="254">
      <c r="I254" s="61" t="str">
        <f t="shared" si="1"/>
        <v>2024</v>
      </c>
      <c r="J254" s="62">
        <f t="shared" si="2"/>
        <v>3</v>
      </c>
      <c r="K254" s="61" t="str">
        <f t="shared" si="3"/>
        <v>2024-Q1</v>
      </c>
      <c r="L254" s="63" t="str">
        <f t="shared" si="4"/>
        <v>2024-03</v>
      </c>
      <c r="M254" s="64" t="str">
        <f t="shared" si="5"/>
        <v>2024-H1</v>
      </c>
      <c r="N254" s="65" t="s">
        <v>85</v>
      </c>
    </row>
    <row r="255">
      <c r="I255" s="61" t="str">
        <f t="shared" si="1"/>
        <v>2024</v>
      </c>
      <c r="J255" s="62">
        <f t="shared" si="2"/>
        <v>3</v>
      </c>
      <c r="K255" s="61" t="str">
        <f t="shared" si="3"/>
        <v>2024-Q1</v>
      </c>
      <c r="L255" s="63" t="str">
        <f t="shared" si="4"/>
        <v>2024-03</v>
      </c>
      <c r="M255" s="64" t="str">
        <f t="shared" si="5"/>
        <v>2024-H1</v>
      </c>
      <c r="N255" s="65" t="s">
        <v>85</v>
      </c>
    </row>
    <row r="256">
      <c r="I256" s="61" t="str">
        <f t="shared" si="1"/>
        <v>2024</v>
      </c>
      <c r="J256" s="62">
        <f t="shared" si="2"/>
        <v>4</v>
      </c>
      <c r="K256" s="61" t="str">
        <f t="shared" si="3"/>
        <v>2024-Q2</v>
      </c>
      <c r="L256" s="63" t="str">
        <f t="shared" si="4"/>
        <v>2024-04</v>
      </c>
      <c r="M256" s="64" t="str">
        <f t="shared" si="5"/>
        <v>2024-H1</v>
      </c>
      <c r="N256" s="65" t="s">
        <v>85</v>
      </c>
    </row>
    <row r="257">
      <c r="I257" s="61" t="str">
        <f t="shared" si="1"/>
        <v>2024</v>
      </c>
      <c r="J257" s="62">
        <f t="shared" si="2"/>
        <v>3</v>
      </c>
      <c r="K257" s="61" t="str">
        <f t="shared" si="3"/>
        <v>2024-Q1</v>
      </c>
      <c r="L257" s="63" t="str">
        <f t="shared" si="4"/>
        <v>2024-03</v>
      </c>
      <c r="M257" s="64" t="str">
        <f t="shared" si="5"/>
        <v>2024-H1</v>
      </c>
      <c r="N257" s="65" t="s">
        <v>85</v>
      </c>
    </row>
    <row r="258">
      <c r="I258" s="61" t="str">
        <f t="shared" si="1"/>
        <v>2024</v>
      </c>
      <c r="J258" s="62">
        <f t="shared" si="2"/>
        <v>4</v>
      </c>
      <c r="K258" s="61" t="str">
        <f t="shared" si="3"/>
        <v>2024-Q2</v>
      </c>
      <c r="L258" s="63" t="str">
        <f t="shared" si="4"/>
        <v>2024-04</v>
      </c>
      <c r="M258" s="64" t="str">
        <f t="shared" si="5"/>
        <v>2024-H1</v>
      </c>
      <c r="N258" s="65" t="s">
        <v>85</v>
      </c>
    </row>
    <row r="259">
      <c r="I259" s="61" t="str">
        <f t="shared" si="1"/>
        <v>2024</v>
      </c>
      <c r="J259" s="62">
        <f t="shared" si="2"/>
        <v>3</v>
      </c>
      <c r="K259" s="61" t="str">
        <f t="shared" si="3"/>
        <v>2024-Q1</v>
      </c>
      <c r="L259" s="63" t="str">
        <f t="shared" si="4"/>
        <v>2024-03</v>
      </c>
      <c r="M259" s="64" t="str">
        <f t="shared" si="5"/>
        <v>2024-H1</v>
      </c>
      <c r="N259" s="65" t="s">
        <v>85</v>
      </c>
    </row>
    <row r="260">
      <c r="I260" s="61" t="str">
        <f t="shared" si="1"/>
        <v>2024</v>
      </c>
      <c r="J260" s="62">
        <f t="shared" si="2"/>
        <v>4</v>
      </c>
      <c r="K260" s="61" t="str">
        <f t="shared" si="3"/>
        <v>2024-Q2</v>
      </c>
      <c r="L260" s="63" t="str">
        <f t="shared" si="4"/>
        <v>2024-04</v>
      </c>
      <c r="M260" s="64" t="str">
        <f t="shared" si="5"/>
        <v>2024-H1</v>
      </c>
      <c r="N260" s="65" t="s">
        <v>85</v>
      </c>
    </row>
    <row r="261">
      <c r="I261" s="61" t="str">
        <f t="shared" si="1"/>
        <v>2024</v>
      </c>
      <c r="J261" s="62">
        <f t="shared" si="2"/>
        <v>3</v>
      </c>
      <c r="K261" s="61" t="str">
        <f t="shared" si="3"/>
        <v>2024-Q1</v>
      </c>
      <c r="L261" s="63" t="str">
        <f t="shared" si="4"/>
        <v>2024-03</v>
      </c>
      <c r="M261" s="64" t="str">
        <f t="shared" si="5"/>
        <v>2024-H1</v>
      </c>
      <c r="N261" s="65" t="s">
        <v>85</v>
      </c>
    </row>
    <row r="262">
      <c r="I262" s="61" t="str">
        <f t="shared" si="1"/>
        <v>2024</v>
      </c>
      <c r="J262" s="62">
        <f t="shared" si="2"/>
        <v>4</v>
      </c>
      <c r="K262" s="61" t="str">
        <f t="shared" si="3"/>
        <v>2024-Q2</v>
      </c>
      <c r="L262" s="63" t="str">
        <f t="shared" si="4"/>
        <v>2024-04</v>
      </c>
      <c r="M262" s="64" t="str">
        <f t="shared" si="5"/>
        <v>2024-H1</v>
      </c>
      <c r="N262" s="65" t="s">
        <v>85</v>
      </c>
    </row>
    <row r="263">
      <c r="I263" s="61" t="str">
        <f t="shared" si="1"/>
        <v>2024</v>
      </c>
      <c r="J263" s="62">
        <f t="shared" si="2"/>
        <v>3</v>
      </c>
      <c r="K263" s="61" t="str">
        <f t="shared" si="3"/>
        <v>2024-Q1</v>
      </c>
      <c r="L263" s="63" t="str">
        <f t="shared" si="4"/>
        <v>2024-03</v>
      </c>
      <c r="M263" s="64" t="str">
        <f t="shared" si="5"/>
        <v>2024-H1</v>
      </c>
      <c r="N263" s="65" t="s">
        <v>85</v>
      </c>
    </row>
    <row r="264">
      <c r="I264" s="61" t="str">
        <f t="shared" si="1"/>
        <v>2024</v>
      </c>
      <c r="J264" s="62">
        <f t="shared" si="2"/>
        <v>3</v>
      </c>
      <c r="K264" s="61" t="str">
        <f t="shared" si="3"/>
        <v>2024-Q1</v>
      </c>
      <c r="L264" s="63" t="str">
        <f t="shared" si="4"/>
        <v>2024-03</v>
      </c>
      <c r="M264" s="64" t="str">
        <f t="shared" si="5"/>
        <v>2024-H1</v>
      </c>
      <c r="N264" s="65" t="s">
        <v>85</v>
      </c>
    </row>
    <row r="265">
      <c r="I265" s="61" t="str">
        <f t="shared" si="1"/>
        <v>2024</v>
      </c>
      <c r="J265" s="62">
        <f t="shared" si="2"/>
        <v>4</v>
      </c>
      <c r="K265" s="61" t="str">
        <f t="shared" si="3"/>
        <v>2024-Q2</v>
      </c>
      <c r="L265" s="63" t="str">
        <f t="shared" si="4"/>
        <v>2024-04</v>
      </c>
      <c r="M265" s="64" t="str">
        <f t="shared" si="5"/>
        <v>2024-H1</v>
      </c>
      <c r="N265" s="65" t="s">
        <v>85</v>
      </c>
    </row>
    <row r="266">
      <c r="I266" s="61" t="str">
        <f t="shared" si="1"/>
        <v>2024</v>
      </c>
      <c r="J266" s="62">
        <f t="shared" si="2"/>
        <v>4</v>
      </c>
      <c r="K266" s="61" t="str">
        <f t="shared" si="3"/>
        <v>2024-Q2</v>
      </c>
      <c r="L266" s="63" t="str">
        <f t="shared" si="4"/>
        <v>2024-04</v>
      </c>
      <c r="M266" s="64" t="str">
        <f t="shared" si="5"/>
        <v>2024-H1</v>
      </c>
      <c r="N266" s="65" t="s">
        <v>85</v>
      </c>
    </row>
    <row r="267">
      <c r="I267" s="61" t="str">
        <f t="shared" si="1"/>
        <v>2024</v>
      </c>
      <c r="J267" s="62">
        <f t="shared" si="2"/>
        <v>3</v>
      </c>
      <c r="K267" s="61" t="str">
        <f t="shared" si="3"/>
        <v>2024-Q1</v>
      </c>
      <c r="L267" s="63" t="str">
        <f t="shared" si="4"/>
        <v>2024-03</v>
      </c>
      <c r="M267" s="64" t="str">
        <f t="shared" si="5"/>
        <v>2024-H1</v>
      </c>
      <c r="N267" s="65" t="s">
        <v>85</v>
      </c>
    </row>
    <row r="268">
      <c r="I268" s="61" t="str">
        <f t="shared" si="1"/>
        <v>2024</v>
      </c>
      <c r="J268" s="62">
        <f t="shared" si="2"/>
        <v>3</v>
      </c>
      <c r="K268" s="61" t="str">
        <f t="shared" si="3"/>
        <v>2024-Q1</v>
      </c>
      <c r="L268" s="63" t="str">
        <f t="shared" si="4"/>
        <v>2024-03</v>
      </c>
      <c r="M268" s="64" t="str">
        <f t="shared" si="5"/>
        <v>2024-H1</v>
      </c>
      <c r="N268" s="65" t="s">
        <v>85</v>
      </c>
    </row>
    <row r="269">
      <c r="I269" s="61" t="str">
        <f t="shared" si="1"/>
        <v>2024</v>
      </c>
      <c r="J269" s="62">
        <f t="shared" si="2"/>
        <v>4</v>
      </c>
      <c r="K269" s="61" t="str">
        <f t="shared" si="3"/>
        <v>2024-Q2</v>
      </c>
      <c r="L269" s="63" t="str">
        <f t="shared" si="4"/>
        <v>2024-04</v>
      </c>
      <c r="M269" s="64" t="str">
        <f t="shared" si="5"/>
        <v>2024-H1</v>
      </c>
      <c r="N269" s="65" t="s">
        <v>85</v>
      </c>
    </row>
    <row r="270">
      <c r="I270" s="61" t="str">
        <f t="shared" si="1"/>
        <v>2024</v>
      </c>
      <c r="J270" s="62">
        <f t="shared" si="2"/>
        <v>4</v>
      </c>
      <c r="K270" s="61" t="str">
        <f t="shared" si="3"/>
        <v>2024-Q2</v>
      </c>
      <c r="L270" s="63" t="str">
        <f t="shared" si="4"/>
        <v>2024-04</v>
      </c>
      <c r="M270" s="64" t="str">
        <f t="shared" si="5"/>
        <v>2024-H1</v>
      </c>
      <c r="N270" s="65" t="s">
        <v>85</v>
      </c>
    </row>
    <row r="271">
      <c r="I271" s="61" t="str">
        <f t="shared" si="1"/>
        <v>2024</v>
      </c>
      <c r="J271" s="62">
        <f t="shared" si="2"/>
        <v>4</v>
      </c>
      <c r="K271" s="61" t="str">
        <f t="shared" si="3"/>
        <v>2024-Q2</v>
      </c>
      <c r="L271" s="63" t="str">
        <f t="shared" si="4"/>
        <v>2024-04</v>
      </c>
      <c r="M271" s="64" t="str">
        <f t="shared" si="5"/>
        <v>2024-H1</v>
      </c>
      <c r="N271" s="65" t="s">
        <v>85</v>
      </c>
    </row>
    <row r="272">
      <c r="I272" s="61" t="str">
        <f t="shared" si="1"/>
        <v>2024</v>
      </c>
      <c r="J272" s="62">
        <f t="shared" si="2"/>
        <v>3</v>
      </c>
      <c r="K272" s="61" t="str">
        <f t="shared" si="3"/>
        <v>2024-Q1</v>
      </c>
      <c r="L272" s="63" t="str">
        <f t="shared" si="4"/>
        <v>2024-03</v>
      </c>
      <c r="M272" s="64" t="str">
        <f t="shared" si="5"/>
        <v>2024-H1</v>
      </c>
      <c r="N272" s="65" t="s">
        <v>85</v>
      </c>
    </row>
    <row r="273">
      <c r="I273" s="61" t="str">
        <f t="shared" si="1"/>
        <v>2024</v>
      </c>
      <c r="J273" s="62">
        <f t="shared" si="2"/>
        <v>3</v>
      </c>
      <c r="K273" s="61" t="str">
        <f t="shared" si="3"/>
        <v>2024-Q1</v>
      </c>
      <c r="L273" s="63" t="str">
        <f t="shared" si="4"/>
        <v>2024-03</v>
      </c>
      <c r="M273" s="64" t="str">
        <f t="shared" si="5"/>
        <v>2024-H1</v>
      </c>
      <c r="N273" s="65" t="s">
        <v>85</v>
      </c>
    </row>
    <row r="274">
      <c r="I274" s="61" t="str">
        <f t="shared" si="1"/>
        <v>2024</v>
      </c>
      <c r="J274" s="62">
        <f t="shared" si="2"/>
        <v>3</v>
      </c>
      <c r="K274" s="61" t="str">
        <f t="shared" si="3"/>
        <v>2024-Q1</v>
      </c>
      <c r="L274" s="63" t="str">
        <f t="shared" si="4"/>
        <v>2024-03</v>
      </c>
      <c r="M274" s="64" t="str">
        <f t="shared" si="5"/>
        <v>2024-H1</v>
      </c>
      <c r="N274" s="65" t="s">
        <v>85</v>
      </c>
    </row>
    <row r="275">
      <c r="I275" s="61" t="str">
        <f t="shared" si="1"/>
        <v>2024</v>
      </c>
      <c r="J275" s="62">
        <f t="shared" si="2"/>
        <v>4</v>
      </c>
      <c r="K275" s="61" t="str">
        <f t="shared" si="3"/>
        <v>2024-Q2</v>
      </c>
      <c r="L275" s="63" t="str">
        <f t="shared" si="4"/>
        <v>2024-04</v>
      </c>
      <c r="M275" s="64" t="str">
        <f t="shared" si="5"/>
        <v>2024-H1</v>
      </c>
      <c r="N275" s="65" t="s">
        <v>85</v>
      </c>
    </row>
    <row r="276">
      <c r="I276" s="61" t="str">
        <f t="shared" si="1"/>
        <v>2024</v>
      </c>
      <c r="J276" s="62">
        <f t="shared" si="2"/>
        <v>4</v>
      </c>
      <c r="K276" s="61" t="str">
        <f t="shared" si="3"/>
        <v>2024-Q2</v>
      </c>
      <c r="L276" s="63" t="str">
        <f t="shared" si="4"/>
        <v>2024-04</v>
      </c>
      <c r="M276" s="64" t="str">
        <f t="shared" si="5"/>
        <v>2024-H1</v>
      </c>
      <c r="N276" s="65" t="s">
        <v>85</v>
      </c>
    </row>
    <row r="277">
      <c r="I277" s="61" t="str">
        <f t="shared" si="1"/>
        <v>2024</v>
      </c>
      <c r="J277" s="62">
        <f t="shared" si="2"/>
        <v>4</v>
      </c>
      <c r="K277" s="61" t="str">
        <f t="shared" si="3"/>
        <v>2024-Q2</v>
      </c>
      <c r="L277" s="63" t="str">
        <f t="shared" si="4"/>
        <v>2024-04</v>
      </c>
      <c r="M277" s="64" t="str">
        <f t="shared" si="5"/>
        <v>2024-H1</v>
      </c>
      <c r="N277" s="65" t="s">
        <v>85</v>
      </c>
    </row>
    <row r="278">
      <c r="I278" s="61" t="str">
        <f t="shared" si="1"/>
        <v>2024</v>
      </c>
      <c r="J278" s="62">
        <f t="shared" si="2"/>
        <v>4</v>
      </c>
      <c r="K278" s="61" t="str">
        <f t="shared" si="3"/>
        <v>2024-Q2</v>
      </c>
      <c r="L278" s="63" t="str">
        <f t="shared" si="4"/>
        <v>2024-04</v>
      </c>
      <c r="M278" s="64" t="str">
        <f t="shared" si="5"/>
        <v>2024-H1</v>
      </c>
      <c r="N278" s="65" t="s">
        <v>85</v>
      </c>
    </row>
    <row r="279">
      <c r="I279" s="61" t="str">
        <f t="shared" si="1"/>
        <v>2024</v>
      </c>
      <c r="J279" s="62">
        <f t="shared" si="2"/>
        <v>4</v>
      </c>
      <c r="K279" s="61" t="str">
        <f t="shared" si="3"/>
        <v>2024-Q2</v>
      </c>
      <c r="L279" s="63" t="str">
        <f t="shared" si="4"/>
        <v>2024-04</v>
      </c>
      <c r="M279" s="64" t="str">
        <f t="shared" si="5"/>
        <v>2024-H1</v>
      </c>
      <c r="N279" s="65" t="s">
        <v>85</v>
      </c>
    </row>
    <row r="280">
      <c r="I280" s="61" t="str">
        <f t="shared" si="1"/>
        <v>2024</v>
      </c>
      <c r="J280" s="62">
        <f t="shared" si="2"/>
        <v>3</v>
      </c>
      <c r="K280" s="61" t="str">
        <f t="shared" si="3"/>
        <v>2024-Q1</v>
      </c>
      <c r="L280" s="63" t="str">
        <f t="shared" si="4"/>
        <v>2024-03</v>
      </c>
      <c r="M280" s="64" t="str">
        <f t="shared" si="5"/>
        <v>2024-H1</v>
      </c>
      <c r="N280" s="65" t="s">
        <v>85</v>
      </c>
    </row>
    <row r="281">
      <c r="I281" s="61" t="str">
        <f t="shared" si="1"/>
        <v>2024</v>
      </c>
      <c r="J281" s="62">
        <f t="shared" si="2"/>
        <v>4</v>
      </c>
      <c r="K281" s="61" t="str">
        <f t="shared" si="3"/>
        <v>2024-Q2</v>
      </c>
      <c r="L281" s="63" t="str">
        <f t="shared" si="4"/>
        <v>2024-04</v>
      </c>
      <c r="M281" s="64" t="str">
        <f t="shared" si="5"/>
        <v>2024-H1</v>
      </c>
      <c r="N281" s="65" t="s">
        <v>85</v>
      </c>
    </row>
    <row r="282">
      <c r="I282" s="61" t="str">
        <f t="shared" si="1"/>
        <v>2024</v>
      </c>
      <c r="J282" s="62">
        <f t="shared" si="2"/>
        <v>4</v>
      </c>
      <c r="K282" s="61" t="str">
        <f t="shared" si="3"/>
        <v>2024-Q2</v>
      </c>
      <c r="L282" s="63" t="str">
        <f t="shared" si="4"/>
        <v>2024-04</v>
      </c>
      <c r="M282" s="64" t="str">
        <f t="shared" si="5"/>
        <v>2024-H1</v>
      </c>
      <c r="N282" s="65" t="s">
        <v>85</v>
      </c>
    </row>
    <row r="283">
      <c r="I283" s="61" t="str">
        <f t="shared" si="1"/>
        <v>2024</v>
      </c>
      <c r="J283" s="62">
        <f t="shared" si="2"/>
        <v>4</v>
      </c>
      <c r="K283" s="61" t="str">
        <f t="shared" si="3"/>
        <v>2024-Q2</v>
      </c>
      <c r="L283" s="63" t="str">
        <f t="shared" si="4"/>
        <v>2024-04</v>
      </c>
      <c r="M283" s="64" t="str">
        <f t="shared" si="5"/>
        <v>2024-H1</v>
      </c>
      <c r="N283" s="65" t="s">
        <v>85</v>
      </c>
    </row>
    <row r="284">
      <c r="I284" s="61" t="str">
        <f t="shared" si="1"/>
        <v>2024</v>
      </c>
      <c r="J284" s="62">
        <f t="shared" si="2"/>
        <v>4</v>
      </c>
      <c r="K284" s="61" t="str">
        <f t="shared" si="3"/>
        <v>2024-Q2</v>
      </c>
      <c r="L284" s="63" t="str">
        <f t="shared" si="4"/>
        <v>2024-04</v>
      </c>
      <c r="M284" s="64" t="str">
        <f t="shared" si="5"/>
        <v>2024-H1</v>
      </c>
      <c r="N284" s="65" t="s">
        <v>85</v>
      </c>
    </row>
    <row r="285">
      <c r="I285" s="61" t="str">
        <f t="shared" si="1"/>
        <v>2024</v>
      </c>
      <c r="J285" s="62">
        <f t="shared" si="2"/>
        <v>4</v>
      </c>
      <c r="K285" s="61" t="str">
        <f t="shared" si="3"/>
        <v>2024-Q2</v>
      </c>
      <c r="L285" s="63" t="str">
        <f t="shared" si="4"/>
        <v>2024-04</v>
      </c>
      <c r="M285" s="64" t="str">
        <f t="shared" si="5"/>
        <v>2024-H1</v>
      </c>
      <c r="N285" s="65" t="s">
        <v>85</v>
      </c>
    </row>
    <row r="286">
      <c r="I286" s="61" t="str">
        <f t="shared" si="1"/>
        <v>2024</v>
      </c>
      <c r="J286" s="62">
        <f t="shared" si="2"/>
        <v>4</v>
      </c>
      <c r="K286" s="61" t="str">
        <f t="shared" si="3"/>
        <v>2024-Q2</v>
      </c>
      <c r="L286" s="63" t="str">
        <f t="shared" si="4"/>
        <v>2024-04</v>
      </c>
      <c r="M286" s="64" t="str">
        <f t="shared" si="5"/>
        <v>2024-H1</v>
      </c>
      <c r="N286" s="65" t="s">
        <v>85</v>
      </c>
    </row>
    <row r="287">
      <c r="I287" s="61" t="str">
        <f t="shared" si="1"/>
        <v>2024</v>
      </c>
      <c r="J287" s="62">
        <f t="shared" si="2"/>
        <v>3</v>
      </c>
      <c r="K287" s="61" t="str">
        <f t="shared" si="3"/>
        <v>2024-Q1</v>
      </c>
      <c r="L287" s="63" t="str">
        <f t="shared" si="4"/>
        <v>2024-03</v>
      </c>
      <c r="M287" s="64" t="str">
        <f t="shared" si="5"/>
        <v>2024-H1</v>
      </c>
      <c r="N287" s="65" t="s">
        <v>85</v>
      </c>
    </row>
    <row r="288">
      <c r="I288" s="61" t="str">
        <f t="shared" si="1"/>
        <v>2024</v>
      </c>
      <c r="J288" s="62">
        <f t="shared" si="2"/>
        <v>3</v>
      </c>
      <c r="K288" s="61" t="str">
        <f t="shared" si="3"/>
        <v>2024-Q1</v>
      </c>
      <c r="L288" s="63" t="str">
        <f t="shared" si="4"/>
        <v>2024-03</v>
      </c>
      <c r="M288" s="64" t="str">
        <f t="shared" si="5"/>
        <v>2024-H1</v>
      </c>
      <c r="N288" s="65" t="s">
        <v>85</v>
      </c>
    </row>
    <row r="289">
      <c r="I289" s="61" t="str">
        <f t="shared" si="1"/>
        <v>2024</v>
      </c>
      <c r="J289" s="62">
        <f t="shared" si="2"/>
        <v>4</v>
      </c>
      <c r="K289" s="61" t="str">
        <f t="shared" si="3"/>
        <v>2024-Q2</v>
      </c>
      <c r="L289" s="63" t="str">
        <f t="shared" si="4"/>
        <v>2024-04</v>
      </c>
      <c r="M289" s="64" t="str">
        <f t="shared" si="5"/>
        <v>2024-H1</v>
      </c>
      <c r="N289" s="65" t="s">
        <v>85</v>
      </c>
    </row>
    <row r="290">
      <c r="I290" s="61" t="str">
        <f t="shared" si="1"/>
        <v>2024</v>
      </c>
      <c r="J290" s="62">
        <f t="shared" si="2"/>
        <v>3</v>
      </c>
      <c r="K290" s="61" t="str">
        <f t="shared" si="3"/>
        <v>2024-Q1</v>
      </c>
      <c r="L290" s="63" t="str">
        <f t="shared" si="4"/>
        <v>2024-03</v>
      </c>
      <c r="M290" s="64" t="str">
        <f t="shared" si="5"/>
        <v>2024-H1</v>
      </c>
      <c r="N290" s="65" t="s">
        <v>85</v>
      </c>
    </row>
    <row r="291">
      <c r="I291" s="61" t="str">
        <f t="shared" si="1"/>
        <v>2024</v>
      </c>
      <c r="J291" s="62">
        <f t="shared" si="2"/>
        <v>4</v>
      </c>
      <c r="K291" s="61" t="str">
        <f t="shared" si="3"/>
        <v>2024-Q2</v>
      </c>
      <c r="L291" s="63" t="str">
        <f t="shared" si="4"/>
        <v>2024-04</v>
      </c>
      <c r="M291" s="64" t="str">
        <f t="shared" si="5"/>
        <v>2024-H1</v>
      </c>
      <c r="N291" s="65" t="s">
        <v>85</v>
      </c>
    </row>
    <row r="292">
      <c r="I292" s="61" t="str">
        <f t="shared" si="1"/>
        <v>2024</v>
      </c>
      <c r="J292" s="62">
        <f t="shared" si="2"/>
        <v>4</v>
      </c>
      <c r="K292" s="61" t="str">
        <f t="shared" si="3"/>
        <v>2024-Q2</v>
      </c>
      <c r="L292" s="63" t="str">
        <f t="shared" si="4"/>
        <v>2024-04</v>
      </c>
      <c r="M292" s="64" t="str">
        <f t="shared" si="5"/>
        <v>2024-H1</v>
      </c>
      <c r="N292" s="65" t="s">
        <v>85</v>
      </c>
    </row>
    <row r="293">
      <c r="I293" s="61" t="str">
        <f t="shared" si="1"/>
        <v>2024</v>
      </c>
      <c r="J293" s="62">
        <f t="shared" si="2"/>
        <v>4</v>
      </c>
      <c r="K293" s="61" t="str">
        <f t="shared" si="3"/>
        <v>2024-Q2</v>
      </c>
      <c r="L293" s="63" t="str">
        <f t="shared" si="4"/>
        <v>2024-04</v>
      </c>
      <c r="M293" s="64" t="str">
        <f t="shared" si="5"/>
        <v>2024-H1</v>
      </c>
      <c r="N293" s="65" t="s">
        <v>85</v>
      </c>
    </row>
    <row r="294">
      <c r="I294" s="61" t="str">
        <f t="shared" si="1"/>
        <v>2024</v>
      </c>
      <c r="J294" s="62">
        <f t="shared" si="2"/>
        <v>4</v>
      </c>
      <c r="K294" s="61" t="str">
        <f t="shared" si="3"/>
        <v>2024-Q2</v>
      </c>
      <c r="L294" s="63" t="str">
        <f t="shared" si="4"/>
        <v>2024-04</v>
      </c>
      <c r="M294" s="64" t="str">
        <f t="shared" si="5"/>
        <v>2024-H1</v>
      </c>
      <c r="N294" s="65" t="s">
        <v>85</v>
      </c>
    </row>
    <row r="295">
      <c r="I295" s="61" t="str">
        <f t="shared" si="1"/>
        <v>2024</v>
      </c>
      <c r="J295" s="62">
        <f t="shared" si="2"/>
        <v>4</v>
      </c>
      <c r="K295" s="61" t="str">
        <f t="shared" si="3"/>
        <v>2024-Q2</v>
      </c>
      <c r="L295" s="63" t="str">
        <f t="shared" si="4"/>
        <v>2024-04</v>
      </c>
      <c r="M295" s="64" t="str">
        <f t="shared" si="5"/>
        <v>2024-H1</v>
      </c>
      <c r="N295" s="65" t="s">
        <v>85</v>
      </c>
    </row>
    <row r="296">
      <c r="I296" s="61" t="str">
        <f t="shared" si="1"/>
        <v>2024</v>
      </c>
      <c r="J296" s="62">
        <f t="shared" si="2"/>
        <v>4</v>
      </c>
      <c r="K296" s="61" t="str">
        <f t="shared" si="3"/>
        <v>2024-Q2</v>
      </c>
      <c r="L296" s="63" t="str">
        <f t="shared" si="4"/>
        <v>2024-04</v>
      </c>
      <c r="M296" s="64" t="str">
        <f t="shared" si="5"/>
        <v>2024-H1</v>
      </c>
      <c r="N296" s="65" t="s">
        <v>85</v>
      </c>
    </row>
    <row r="297">
      <c r="I297" s="61" t="str">
        <f t="shared" si="1"/>
        <v>2024</v>
      </c>
      <c r="J297" s="62">
        <f t="shared" si="2"/>
        <v>4</v>
      </c>
      <c r="K297" s="61" t="str">
        <f t="shared" si="3"/>
        <v>2024-Q2</v>
      </c>
      <c r="L297" s="63" t="str">
        <f t="shared" si="4"/>
        <v>2024-04</v>
      </c>
      <c r="M297" s="64" t="str">
        <f t="shared" si="5"/>
        <v>2024-H1</v>
      </c>
      <c r="N297" s="65" t="s">
        <v>85</v>
      </c>
    </row>
    <row r="298">
      <c r="I298" s="61" t="str">
        <f t="shared" si="1"/>
        <v>2024</v>
      </c>
      <c r="J298" s="62">
        <f t="shared" si="2"/>
        <v>4</v>
      </c>
      <c r="K298" s="61" t="str">
        <f t="shared" si="3"/>
        <v>2024-Q2</v>
      </c>
      <c r="L298" s="63" t="str">
        <f t="shared" si="4"/>
        <v>2024-04</v>
      </c>
      <c r="M298" s="64" t="str">
        <f t="shared" si="5"/>
        <v>2024-H1</v>
      </c>
      <c r="N298" s="65" t="s">
        <v>85</v>
      </c>
    </row>
    <row r="299">
      <c r="I299" s="61" t="str">
        <f t="shared" si="1"/>
        <v>2024</v>
      </c>
      <c r="J299" s="62">
        <f t="shared" si="2"/>
        <v>5</v>
      </c>
      <c r="K299" s="61" t="str">
        <f t="shared" si="3"/>
        <v>2024-Q2</v>
      </c>
      <c r="L299" s="63" t="str">
        <f t="shared" si="4"/>
        <v>2024-05</v>
      </c>
      <c r="M299" s="64" t="str">
        <f t="shared" si="5"/>
        <v>2024-H1</v>
      </c>
      <c r="N299" s="65" t="s">
        <v>85</v>
      </c>
    </row>
    <row r="300">
      <c r="I300" s="61" t="str">
        <f t="shared" si="1"/>
        <v>2024</v>
      </c>
      <c r="J300" s="62">
        <f t="shared" si="2"/>
        <v>4</v>
      </c>
      <c r="K300" s="61" t="str">
        <f t="shared" si="3"/>
        <v>2024-Q2</v>
      </c>
      <c r="L300" s="63" t="str">
        <f t="shared" si="4"/>
        <v>2024-04</v>
      </c>
      <c r="M300" s="64" t="str">
        <f t="shared" si="5"/>
        <v>2024-H1</v>
      </c>
      <c r="N300" s="65" t="s">
        <v>85</v>
      </c>
    </row>
    <row r="301">
      <c r="I301" s="61" t="str">
        <f t="shared" si="1"/>
        <v>2024</v>
      </c>
      <c r="J301" s="62">
        <f t="shared" si="2"/>
        <v>5</v>
      </c>
      <c r="K301" s="61" t="str">
        <f t="shared" si="3"/>
        <v>2024-Q2</v>
      </c>
      <c r="L301" s="63" t="str">
        <f t="shared" si="4"/>
        <v>2024-05</v>
      </c>
      <c r="M301" s="64" t="str">
        <f t="shared" si="5"/>
        <v>2024-H1</v>
      </c>
      <c r="N301" s="65" t="s">
        <v>85</v>
      </c>
    </row>
    <row r="302">
      <c r="I302" s="61" t="str">
        <f t="shared" si="1"/>
        <v>2024</v>
      </c>
      <c r="J302" s="62">
        <f t="shared" si="2"/>
        <v>4</v>
      </c>
      <c r="K302" s="61" t="str">
        <f t="shared" si="3"/>
        <v>2024-Q2</v>
      </c>
      <c r="L302" s="63" t="str">
        <f t="shared" si="4"/>
        <v>2024-04</v>
      </c>
      <c r="M302" s="64" t="str">
        <f t="shared" si="5"/>
        <v>2024-H1</v>
      </c>
      <c r="N302" s="65" t="s">
        <v>85</v>
      </c>
    </row>
    <row r="303">
      <c r="I303" s="61" t="str">
        <f t="shared" si="1"/>
        <v>2024</v>
      </c>
      <c r="J303" s="62">
        <f t="shared" si="2"/>
        <v>4</v>
      </c>
      <c r="K303" s="61" t="str">
        <f t="shared" si="3"/>
        <v>2024-Q2</v>
      </c>
      <c r="L303" s="63" t="str">
        <f t="shared" si="4"/>
        <v>2024-04</v>
      </c>
      <c r="M303" s="64" t="str">
        <f t="shared" si="5"/>
        <v>2024-H1</v>
      </c>
      <c r="N303" s="65" t="s">
        <v>85</v>
      </c>
    </row>
    <row r="304">
      <c r="I304" s="61" t="str">
        <f t="shared" si="1"/>
        <v>2024</v>
      </c>
      <c r="J304" s="62">
        <f t="shared" si="2"/>
        <v>4</v>
      </c>
      <c r="K304" s="61" t="str">
        <f t="shared" si="3"/>
        <v>2024-Q2</v>
      </c>
      <c r="L304" s="63" t="str">
        <f t="shared" si="4"/>
        <v>2024-04</v>
      </c>
      <c r="M304" s="64" t="str">
        <f t="shared" si="5"/>
        <v>2024-H1</v>
      </c>
      <c r="N304" s="65" t="s">
        <v>85</v>
      </c>
    </row>
    <row r="305">
      <c r="I305" s="61" t="str">
        <f t="shared" si="1"/>
        <v>2024</v>
      </c>
      <c r="J305" s="62">
        <f t="shared" si="2"/>
        <v>4</v>
      </c>
      <c r="K305" s="61" t="str">
        <f t="shared" si="3"/>
        <v>2024-Q2</v>
      </c>
      <c r="L305" s="63" t="str">
        <f t="shared" si="4"/>
        <v>2024-04</v>
      </c>
      <c r="M305" s="64" t="str">
        <f t="shared" si="5"/>
        <v>2024-H1</v>
      </c>
      <c r="N305" s="65" t="s">
        <v>85</v>
      </c>
    </row>
    <row r="306">
      <c r="I306" s="61" t="str">
        <f t="shared" si="1"/>
        <v>2024</v>
      </c>
      <c r="J306" s="62">
        <f t="shared" si="2"/>
        <v>4</v>
      </c>
      <c r="K306" s="61" t="str">
        <f t="shared" si="3"/>
        <v>2024-Q2</v>
      </c>
      <c r="L306" s="63" t="str">
        <f t="shared" si="4"/>
        <v>2024-04</v>
      </c>
      <c r="M306" s="64" t="str">
        <f t="shared" si="5"/>
        <v>2024-H1</v>
      </c>
      <c r="N306" s="65" t="s">
        <v>85</v>
      </c>
    </row>
    <row r="307">
      <c r="I307" s="61" t="str">
        <f t="shared" si="1"/>
        <v>2024</v>
      </c>
      <c r="J307" s="62">
        <f t="shared" si="2"/>
        <v>5</v>
      </c>
      <c r="K307" s="61" t="str">
        <f t="shared" si="3"/>
        <v>2024-Q2</v>
      </c>
      <c r="L307" s="63" t="str">
        <f t="shared" si="4"/>
        <v>2024-05</v>
      </c>
      <c r="M307" s="64" t="str">
        <f t="shared" si="5"/>
        <v>2024-H1</v>
      </c>
      <c r="N307" s="65" t="s">
        <v>85</v>
      </c>
    </row>
    <row r="308">
      <c r="I308" s="61" t="str">
        <f t="shared" si="1"/>
        <v>2024</v>
      </c>
      <c r="J308" s="62">
        <f t="shared" si="2"/>
        <v>4</v>
      </c>
      <c r="K308" s="61" t="str">
        <f t="shared" si="3"/>
        <v>2024-Q2</v>
      </c>
      <c r="L308" s="63" t="str">
        <f t="shared" si="4"/>
        <v>2024-04</v>
      </c>
      <c r="M308" s="64" t="str">
        <f t="shared" si="5"/>
        <v>2024-H1</v>
      </c>
      <c r="N308" s="65" t="s">
        <v>85</v>
      </c>
    </row>
    <row r="309">
      <c r="I309" s="61" t="str">
        <f t="shared" si="1"/>
        <v>2024</v>
      </c>
      <c r="J309" s="62">
        <f t="shared" si="2"/>
        <v>4</v>
      </c>
      <c r="K309" s="61" t="str">
        <f t="shared" si="3"/>
        <v>2024-Q2</v>
      </c>
      <c r="L309" s="63" t="str">
        <f t="shared" si="4"/>
        <v>2024-04</v>
      </c>
      <c r="M309" s="64" t="str">
        <f t="shared" si="5"/>
        <v>2024-H1</v>
      </c>
      <c r="N309" s="65" t="s">
        <v>85</v>
      </c>
    </row>
    <row r="310">
      <c r="I310" s="61" t="str">
        <f t="shared" si="1"/>
        <v>2024</v>
      </c>
      <c r="J310" s="62">
        <f t="shared" si="2"/>
        <v>5</v>
      </c>
      <c r="K310" s="61" t="str">
        <f t="shared" si="3"/>
        <v>2024-Q2</v>
      </c>
      <c r="L310" s="63" t="str">
        <f t="shared" si="4"/>
        <v>2024-05</v>
      </c>
      <c r="M310" s="64" t="str">
        <f t="shared" si="5"/>
        <v>2024-H1</v>
      </c>
      <c r="N310" s="65" t="s">
        <v>85</v>
      </c>
    </row>
    <row r="311">
      <c r="I311" s="61" t="str">
        <f t="shared" si="1"/>
        <v>2024</v>
      </c>
      <c r="J311" s="62">
        <f t="shared" si="2"/>
        <v>4</v>
      </c>
      <c r="K311" s="61" t="str">
        <f t="shared" si="3"/>
        <v>2024-Q2</v>
      </c>
      <c r="L311" s="63" t="str">
        <f t="shared" si="4"/>
        <v>2024-04</v>
      </c>
      <c r="M311" s="64" t="str">
        <f t="shared" si="5"/>
        <v>2024-H1</v>
      </c>
      <c r="N311" s="65" t="s">
        <v>85</v>
      </c>
    </row>
    <row r="312">
      <c r="I312" s="61" t="str">
        <f t="shared" si="1"/>
        <v>2024</v>
      </c>
      <c r="J312" s="62">
        <f t="shared" si="2"/>
        <v>4</v>
      </c>
      <c r="K312" s="61" t="str">
        <f t="shared" si="3"/>
        <v>2024-Q2</v>
      </c>
      <c r="L312" s="63" t="str">
        <f t="shared" si="4"/>
        <v>2024-04</v>
      </c>
      <c r="M312" s="64" t="str">
        <f t="shared" si="5"/>
        <v>2024-H1</v>
      </c>
      <c r="N312" s="65" t="s">
        <v>85</v>
      </c>
    </row>
    <row r="313">
      <c r="I313" s="61" t="str">
        <f t="shared" si="1"/>
        <v>2024</v>
      </c>
      <c r="J313" s="62">
        <f t="shared" si="2"/>
        <v>5</v>
      </c>
      <c r="K313" s="61" t="str">
        <f t="shared" si="3"/>
        <v>2024-Q2</v>
      </c>
      <c r="L313" s="63" t="str">
        <f t="shared" si="4"/>
        <v>2024-05</v>
      </c>
      <c r="M313" s="64" t="str">
        <f t="shared" si="5"/>
        <v>2024-H1</v>
      </c>
      <c r="N313" s="65" t="s">
        <v>85</v>
      </c>
    </row>
    <row r="314">
      <c r="I314" s="61" t="str">
        <f t="shared" si="1"/>
        <v>2024</v>
      </c>
      <c r="J314" s="62">
        <f t="shared" si="2"/>
        <v>4</v>
      </c>
      <c r="K314" s="61" t="str">
        <f t="shared" si="3"/>
        <v>2024-Q2</v>
      </c>
      <c r="L314" s="63" t="str">
        <f t="shared" si="4"/>
        <v>2024-04</v>
      </c>
      <c r="M314" s="64" t="str">
        <f t="shared" si="5"/>
        <v>2024-H1</v>
      </c>
      <c r="N314" s="65" t="s">
        <v>85</v>
      </c>
    </row>
    <row r="315">
      <c r="I315" s="61" t="str">
        <f t="shared" si="1"/>
        <v>2024</v>
      </c>
      <c r="J315" s="62">
        <f t="shared" si="2"/>
        <v>4</v>
      </c>
      <c r="K315" s="61" t="str">
        <f t="shared" si="3"/>
        <v>2024-Q2</v>
      </c>
      <c r="L315" s="63" t="str">
        <f t="shared" si="4"/>
        <v>2024-04</v>
      </c>
      <c r="M315" s="64" t="str">
        <f t="shared" si="5"/>
        <v>2024-H1</v>
      </c>
      <c r="N315" s="65" t="s">
        <v>85</v>
      </c>
    </row>
    <row r="316">
      <c r="I316" s="61" t="str">
        <f t="shared" si="1"/>
        <v>2024</v>
      </c>
      <c r="J316" s="62">
        <f t="shared" si="2"/>
        <v>5</v>
      </c>
      <c r="K316" s="61" t="str">
        <f t="shared" si="3"/>
        <v>2024-Q2</v>
      </c>
      <c r="L316" s="63" t="str">
        <f t="shared" si="4"/>
        <v>2024-05</v>
      </c>
      <c r="M316" s="64" t="str">
        <f t="shared" si="5"/>
        <v>2024-H1</v>
      </c>
      <c r="N316" s="65" t="s">
        <v>85</v>
      </c>
    </row>
    <row r="317">
      <c r="I317" s="61" t="str">
        <f t="shared" si="1"/>
        <v>2024</v>
      </c>
      <c r="J317" s="62">
        <f t="shared" si="2"/>
        <v>5</v>
      </c>
      <c r="K317" s="61" t="str">
        <f t="shared" si="3"/>
        <v>2024-Q2</v>
      </c>
      <c r="L317" s="63" t="str">
        <f t="shared" si="4"/>
        <v>2024-05</v>
      </c>
      <c r="M317" s="64" t="str">
        <f t="shared" si="5"/>
        <v>2024-H1</v>
      </c>
      <c r="N317" s="65" t="s">
        <v>85</v>
      </c>
    </row>
    <row r="318">
      <c r="I318" s="61" t="str">
        <f t="shared" si="1"/>
        <v>2024</v>
      </c>
      <c r="J318" s="62">
        <f t="shared" si="2"/>
        <v>5</v>
      </c>
      <c r="K318" s="61" t="str">
        <f t="shared" si="3"/>
        <v>2024-Q2</v>
      </c>
      <c r="L318" s="63" t="str">
        <f t="shared" si="4"/>
        <v>2024-05</v>
      </c>
      <c r="M318" s="64" t="str">
        <f t="shared" si="5"/>
        <v>2024-H1</v>
      </c>
      <c r="N318" s="65" t="s">
        <v>85</v>
      </c>
    </row>
    <row r="319">
      <c r="I319" s="61" t="str">
        <f t="shared" si="1"/>
        <v>2024</v>
      </c>
      <c r="J319" s="62">
        <f t="shared" si="2"/>
        <v>4</v>
      </c>
      <c r="K319" s="61" t="str">
        <f t="shared" si="3"/>
        <v>2024-Q2</v>
      </c>
      <c r="L319" s="63" t="str">
        <f t="shared" si="4"/>
        <v>2024-04</v>
      </c>
      <c r="M319" s="64" t="str">
        <f t="shared" si="5"/>
        <v>2024-H1</v>
      </c>
      <c r="N319" s="65" t="s">
        <v>85</v>
      </c>
    </row>
    <row r="320">
      <c r="I320" s="61" t="str">
        <f t="shared" si="1"/>
        <v>2024</v>
      </c>
      <c r="J320" s="62">
        <f t="shared" si="2"/>
        <v>5</v>
      </c>
      <c r="K320" s="61" t="str">
        <f t="shared" si="3"/>
        <v>2024-Q2</v>
      </c>
      <c r="L320" s="63" t="str">
        <f t="shared" si="4"/>
        <v>2024-05</v>
      </c>
      <c r="M320" s="64" t="str">
        <f t="shared" si="5"/>
        <v>2024-H1</v>
      </c>
      <c r="N320" s="65" t="s">
        <v>85</v>
      </c>
    </row>
    <row r="321">
      <c r="I321" s="61" t="str">
        <f t="shared" si="1"/>
        <v>2024</v>
      </c>
      <c r="J321" s="62">
        <f t="shared" si="2"/>
        <v>5</v>
      </c>
      <c r="K321" s="61" t="str">
        <f t="shared" si="3"/>
        <v>2024-Q2</v>
      </c>
      <c r="L321" s="63" t="str">
        <f t="shared" si="4"/>
        <v>2024-05</v>
      </c>
      <c r="M321" s="64" t="str">
        <f t="shared" si="5"/>
        <v>2024-H1</v>
      </c>
      <c r="N321" s="65" t="s">
        <v>85</v>
      </c>
    </row>
    <row r="322">
      <c r="I322" s="61" t="str">
        <f t="shared" si="1"/>
        <v>2024</v>
      </c>
      <c r="J322" s="62">
        <f t="shared" si="2"/>
        <v>5</v>
      </c>
      <c r="K322" s="61" t="str">
        <f t="shared" si="3"/>
        <v>2024-Q2</v>
      </c>
      <c r="L322" s="63" t="str">
        <f t="shared" si="4"/>
        <v>2024-05</v>
      </c>
      <c r="M322" s="64" t="str">
        <f t="shared" si="5"/>
        <v>2024-H1</v>
      </c>
      <c r="N322" s="65" t="s">
        <v>85</v>
      </c>
    </row>
    <row r="323">
      <c r="I323" s="61" t="str">
        <f t="shared" si="1"/>
        <v>2024</v>
      </c>
      <c r="J323" s="62">
        <f t="shared" si="2"/>
        <v>5</v>
      </c>
      <c r="K323" s="61" t="str">
        <f t="shared" si="3"/>
        <v>2024-Q2</v>
      </c>
      <c r="L323" s="63" t="str">
        <f t="shared" si="4"/>
        <v>2024-05</v>
      </c>
      <c r="M323" s="64" t="str">
        <f t="shared" si="5"/>
        <v>2024-H1</v>
      </c>
      <c r="N323" s="65" t="s">
        <v>85</v>
      </c>
    </row>
    <row r="324">
      <c r="I324" s="61" t="str">
        <f t="shared" si="1"/>
        <v>2024</v>
      </c>
      <c r="J324" s="62">
        <f t="shared" si="2"/>
        <v>5</v>
      </c>
      <c r="K324" s="61" t="str">
        <f t="shared" si="3"/>
        <v>2024-Q2</v>
      </c>
      <c r="L324" s="63" t="str">
        <f t="shared" si="4"/>
        <v>2024-05</v>
      </c>
      <c r="M324" s="64" t="str">
        <f t="shared" si="5"/>
        <v>2024-H1</v>
      </c>
      <c r="N324" s="65" t="s">
        <v>85</v>
      </c>
    </row>
    <row r="325">
      <c r="I325" s="61" t="str">
        <f t="shared" si="1"/>
        <v>2024</v>
      </c>
      <c r="J325" s="62">
        <f t="shared" si="2"/>
        <v>5</v>
      </c>
      <c r="K325" s="61" t="str">
        <f t="shared" si="3"/>
        <v>2024-Q2</v>
      </c>
      <c r="L325" s="63" t="str">
        <f t="shared" si="4"/>
        <v>2024-05</v>
      </c>
      <c r="M325" s="64" t="str">
        <f t="shared" si="5"/>
        <v>2024-H1</v>
      </c>
      <c r="N325" s="65" t="s">
        <v>85</v>
      </c>
    </row>
    <row r="326">
      <c r="I326" s="61" t="str">
        <f t="shared" si="1"/>
        <v>2024</v>
      </c>
      <c r="J326" s="62">
        <f t="shared" si="2"/>
        <v>5</v>
      </c>
      <c r="K326" s="61" t="str">
        <f t="shared" si="3"/>
        <v>2024-Q2</v>
      </c>
      <c r="L326" s="63" t="str">
        <f t="shared" si="4"/>
        <v>2024-05</v>
      </c>
      <c r="M326" s="64" t="str">
        <f t="shared" si="5"/>
        <v>2024-H1</v>
      </c>
      <c r="N326" s="65" t="s">
        <v>85</v>
      </c>
    </row>
    <row r="327">
      <c r="I327" s="61" t="str">
        <f t="shared" si="1"/>
        <v>2024</v>
      </c>
      <c r="J327" s="62">
        <f t="shared" si="2"/>
        <v>5</v>
      </c>
      <c r="K327" s="61" t="str">
        <f t="shared" si="3"/>
        <v>2024-Q2</v>
      </c>
      <c r="L327" s="63" t="str">
        <f t="shared" si="4"/>
        <v>2024-05</v>
      </c>
      <c r="M327" s="64" t="str">
        <f t="shared" si="5"/>
        <v>2024-H1</v>
      </c>
      <c r="N327" s="65" t="s">
        <v>85</v>
      </c>
    </row>
    <row r="328">
      <c r="I328" s="61" t="str">
        <f t="shared" si="1"/>
        <v>2024</v>
      </c>
      <c r="J328" s="62">
        <f t="shared" si="2"/>
        <v>5</v>
      </c>
      <c r="K328" s="61" t="str">
        <f t="shared" si="3"/>
        <v>2024-Q2</v>
      </c>
      <c r="L328" s="63" t="str">
        <f t="shared" si="4"/>
        <v>2024-05</v>
      </c>
      <c r="M328" s="64" t="str">
        <f t="shared" si="5"/>
        <v>2024-H1</v>
      </c>
      <c r="N328" s="65" t="s">
        <v>85</v>
      </c>
    </row>
    <row r="329">
      <c r="I329" s="61" t="str">
        <f t="shared" si="1"/>
        <v>2024</v>
      </c>
      <c r="J329" s="62">
        <f t="shared" si="2"/>
        <v>5</v>
      </c>
      <c r="K329" s="61" t="str">
        <f t="shared" si="3"/>
        <v>2024-Q2</v>
      </c>
      <c r="L329" s="63" t="str">
        <f t="shared" si="4"/>
        <v>2024-05</v>
      </c>
      <c r="M329" s="64" t="str">
        <f t="shared" si="5"/>
        <v>2024-H1</v>
      </c>
      <c r="N329" s="65" t="s">
        <v>85</v>
      </c>
    </row>
    <row r="330">
      <c r="I330" s="61" t="str">
        <f t="shared" si="1"/>
        <v>2024</v>
      </c>
      <c r="J330" s="62">
        <f t="shared" si="2"/>
        <v>4</v>
      </c>
      <c r="K330" s="61" t="str">
        <f t="shared" si="3"/>
        <v>2024-Q2</v>
      </c>
      <c r="L330" s="63" t="str">
        <f t="shared" si="4"/>
        <v>2024-04</v>
      </c>
      <c r="M330" s="64" t="str">
        <f t="shared" si="5"/>
        <v>2024-H1</v>
      </c>
      <c r="N330" s="65" t="s">
        <v>85</v>
      </c>
    </row>
    <row r="331">
      <c r="I331" s="61" t="str">
        <f t="shared" si="1"/>
        <v>2024</v>
      </c>
      <c r="J331" s="62">
        <f t="shared" si="2"/>
        <v>4</v>
      </c>
      <c r="K331" s="61" t="str">
        <f t="shared" si="3"/>
        <v>2024-Q2</v>
      </c>
      <c r="L331" s="63" t="str">
        <f t="shared" si="4"/>
        <v>2024-04</v>
      </c>
      <c r="M331" s="64" t="str">
        <f t="shared" si="5"/>
        <v>2024-H1</v>
      </c>
      <c r="N331" s="65" t="s">
        <v>85</v>
      </c>
    </row>
    <row r="332">
      <c r="I332" s="61" t="str">
        <f t="shared" si="1"/>
        <v>2024</v>
      </c>
      <c r="J332" s="62">
        <f t="shared" si="2"/>
        <v>4</v>
      </c>
      <c r="K332" s="61" t="str">
        <f t="shared" si="3"/>
        <v>2024-Q2</v>
      </c>
      <c r="L332" s="63" t="str">
        <f t="shared" si="4"/>
        <v>2024-04</v>
      </c>
      <c r="M332" s="64" t="str">
        <f t="shared" si="5"/>
        <v>2024-H1</v>
      </c>
      <c r="N332" s="65" t="s">
        <v>85</v>
      </c>
    </row>
    <row r="333">
      <c r="I333" s="61" t="str">
        <f t="shared" si="1"/>
        <v>2024</v>
      </c>
      <c r="J333" s="62">
        <f t="shared" si="2"/>
        <v>5</v>
      </c>
      <c r="K333" s="61" t="str">
        <f t="shared" si="3"/>
        <v>2024-Q2</v>
      </c>
      <c r="L333" s="63" t="str">
        <f t="shared" si="4"/>
        <v>2024-05</v>
      </c>
      <c r="M333" s="64" t="str">
        <f t="shared" si="5"/>
        <v>2024-H1</v>
      </c>
      <c r="N333" s="65" t="s">
        <v>85</v>
      </c>
    </row>
    <row r="334">
      <c r="I334" s="61" t="str">
        <f t="shared" si="1"/>
        <v>2024</v>
      </c>
      <c r="J334" s="62">
        <f t="shared" si="2"/>
        <v>5</v>
      </c>
      <c r="K334" s="61" t="str">
        <f t="shared" si="3"/>
        <v>2024-Q2</v>
      </c>
      <c r="L334" s="63" t="str">
        <f t="shared" si="4"/>
        <v>2024-05</v>
      </c>
      <c r="M334" s="64" t="str">
        <f t="shared" si="5"/>
        <v>2024-H1</v>
      </c>
      <c r="N334" s="65" t="s">
        <v>85</v>
      </c>
    </row>
    <row r="335">
      <c r="I335" s="61" t="str">
        <f t="shared" si="1"/>
        <v>2024</v>
      </c>
      <c r="J335" s="62">
        <f t="shared" si="2"/>
        <v>4</v>
      </c>
      <c r="K335" s="61" t="str">
        <f t="shared" si="3"/>
        <v>2024-Q2</v>
      </c>
      <c r="L335" s="63" t="str">
        <f t="shared" si="4"/>
        <v>2024-04</v>
      </c>
      <c r="M335" s="64" t="str">
        <f t="shared" si="5"/>
        <v>2024-H1</v>
      </c>
      <c r="N335" s="65" t="s">
        <v>85</v>
      </c>
    </row>
    <row r="336">
      <c r="I336" s="61" t="str">
        <f t="shared" si="1"/>
        <v>2024</v>
      </c>
      <c r="J336" s="62">
        <f t="shared" si="2"/>
        <v>5</v>
      </c>
      <c r="K336" s="61" t="str">
        <f t="shared" si="3"/>
        <v>2024-Q2</v>
      </c>
      <c r="L336" s="63" t="str">
        <f t="shared" si="4"/>
        <v>2024-05</v>
      </c>
      <c r="M336" s="64" t="str">
        <f t="shared" si="5"/>
        <v>2024-H1</v>
      </c>
      <c r="N336" s="65" t="s">
        <v>85</v>
      </c>
    </row>
    <row r="337">
      <c r="I337" s="61" t="str">
        <f t="shared" si="1"/>
        <v>2024</v>
      </c>
      <c r="J337" s="62">
        <f t="shared" si="2"/>
        <v>5</v>
      </c>
      <c r="K337" s="61" t="str">
        <f t="shared" si="3"/>
        <v>2024-Q2</v>
      </c>
      <c r="L337" s="63" t="str">
        <f t="shared" si="4"/>
        <v>2024-05</v>
      </c>
      <c r="M337" s="64" t="str">
        <f t="shared" si="5"/>
        <v>2024-H1</v>
      </c>
      <c r="N337" s="65" t="s">
        <v>85</v>
      </c>
    </row>
    <row r="338">
      <c r="I338" s="61" t="str">
        <f t="shared" si="1"/>
        <v>2024</v>
      </c>
      <c r="J338" s="62">
        <f t="shared" si="2"/>
        <v>5</v>
      </c>
      <c r="K338" s="61" t="str">
        <f t="shared" si="3"/>
        <v>2024-Q2</v>
      </c>
      <c r="L338" s="63" t="str">
        <f t="shared" si="4"/>
        <v>2024-05</v>
      </c>
      <c r="M338" s="64" t="str">
        <f t="shared" si="5"/>
        <v>2024-H1</v>
      </c>
      <c r="N338" s="65" t="s">
        <v>85</v>
      </c>
    </row>
    <row r="339">
      <c r="I339" s="61" t="str">
        <f t="shared" si="1"/>
        <v>2024</v>
      </c>
      <c r="J339" s="62">
        <f t="shared" si="2"/>
        <v>5</v>
      </c>
      <c r="K339" s="61" t="str">
        <f t="shared" si="3"/>
        <v>2024-Q2</v>
      </c>
      <c r="L339" s="63" t="str">
        <f t="shared" si="4"/>
        <v>2024-05</v>
      </c>
      <c r="M339" s="64" t="str">
        <f t="shared" si="5"/>
        <v>2024-H1</v>
      </c>
      <c r="N339" s="65" t="s">
        <v>85</v>
      </c>
    </row>
    <row r="340">
      <c r="I340" s="61" t="str">
        <f t="shared" si="1"/>
        <v>2024</v>
      </c>
      <c r="J340" s="62">
        <f t="shared" si="2"/>
        <v>6</v>
      </c>
      <c r="K340" s="61" t="str">
        <f t="shared" si="3"/>
        <v>2024-Q2</v>
      </c>
      <c r="L340" s="63" t="str">
        <f t="shared" si="4"/>
        <v>2024-06</v>
      </c>
      <c r="M340" s="64" t="str">
        <f t="shared" si="5"/>
        <v>2024-H1</v>
      </c>
      <c r="N340" s="65" t="s">
        <v>85</v>
      </c>
    </row>
    <row r="341">
      <c r="I341" s="61" t="str">
        <f t="shared" si="1"/>
        <v>2024</v>
      </c>
      <c r="J341" s="62">
        <f t="shared" si="2"/>
        <v>5</v>
      </c>
      <c r="K341" s="61" t="str">
        <f t="shared" si="3"/>
        <v>2024-Q2</v>
      </c>
      <c r="L341" s="63" t="str">
        <f t="shared" si="4"/>
        <v>2024-05</v>
      </c>
      <c r="M341" s="64" t="str">
        <f t="shared" si="5"/>
        <v>2024-H1</v>
      </c>
      <c r="N341" s="65" t="s">
        <v>85</v>
      </c>
    </row>
    <row r="342">
      <c r="I342" s="61" t="str">
        <f t="shared" si="1"/>
        <v>2024</v>
      </c>
      <c r="J342" s="62">
        <f t="shared" si="2"/>
        <v>5</v>
      </c>
      <c r="K342" s="61" t="str">
        <f t="shared" si="3"/>
        <v>2024-Q2</v>
      </c>
      <c r="L342" s="63" t="str">
        <f t="shared" si="4"/>
        <v>2024-05</v>
      </c>
      <c r="M342" s="64" t="str">
        <f t="shared" si="5"/>
        <v>2024-H1</v>
      </c>
      <c r="N342" s="65" t="s">
        <v>85</v>
      </c>
    </row>
    <row r="343">
      <c r="I343" s="61" t="str">
        <f t="shared" si="1"/>
        <v>2024</v>
      </c>
      <c r="J343" s="62">
        <f t="shared" si="2"/>
        <v>5</v>
      </c>
      <c r="K343" s="61" t="str">
        <f t="shared" si="3"/>
        <v>2024-Q2</v>
      </c>
      <c r="L343" s="63" t="str">
        <f t="shared" si="4"/>
        <v>2024-05</v>
      </c>
      <c r="M343" s="64" t="str">
        <f t="shared" si="5"/>
        <v>2024-H1</v>
      </c>
      <c r="N343" s="65" t="s">
        <v>85</v>
      </c>
    </row>
    <row r="344">
      <c r="I344" s="61" t="str">
        <f t="shared" si="1"/>
        <v>2024</v>
      </c>
      <c r="J344" s="62">
        <f t="shared" si="2"/>
        <v>5</v>
      </c>
      <c r="K344" s="61" t="str">
        <f t="shared" si="3"/>
        <v>2024-Q2</v>
      </c>
      <c r="L344" s="63" t="str">
        <f t="shared" si="4"/>
        <v>2024-05</v>
      </c>
      <c r="M344" s="64" t="str">
        <f t="shared" si="5"/>
        <v>2024-H1</v>
      </c>
      <c r="N344" s="65" t="s">
        <v>85</v>
      </c>
    </row>
    <row r="345">
      <c r="I345" s="61" t="str">
        <f t="shared" si="1"/>
        <v>2024</v>
      </c>
      <c r="J345" s="62">
        <f t="shared" si="2"/>
        <v>6</v>
      </c>
      <c r="K345" s="61" t="str">
        <f t="shared" si="3"/>
        <v>2024-Q2</v>
      </c>
      <c r="L345" s="63" t="str">
        <f t="shared" si="4"/>
        <v>2024-06</v>
      </c>
      <c r="M345" s="64" t="str">
        <f t="shared" si="5"/>
        <v>2024-H1</v>
      </c>
      <c r="N345" s="65" t="s">
        <v>85</v>
      </c>
    </row>
    <row r="346">
      <c r="I346" s="61" t="str">
        <f t="shared" si="1"/>
        <v>2024</v>
      </c>
      <c r="J346" s="62">
        <f t="shared" si="2"/>
        <v>6</v>
      </c>
      <c r="K346" s="61" t="str">
        <f t="shared" si="3"/>
        <v>2024-Q2</v>
      </c>
      <c r="L346" s="63" t="str">
        <f t="shared" si="4"/>
        <v>2024-06</v>
      </c>
      <c r="M346" s="64" t="str">
        <f t="shared" si="5"/>
        <v>2024-H1</v>
      </c>
      <c r="N346" s="65" t="s">
        <v>85</v>
      </c>
    </row>
    <row r="347">
      <c r="I347" s="61" t="str">
        <f t="shared" si="1"/>
        <v>2024</v>
      </c>
      <c r="J347" s="62">
        <f t="shared" si="2"/>
        <v>5</v>
      </c>
      <c r="K347" s="61" t="str">
        <f t="shared" si="3"/>
        <v>2024-Q2</v>
      </c>
      <c r="L347" s="63" t="str">
        <f t="shared" si="4"/>
        <v>2024-05</v>
      </c>
      <c r="M347" s="64" t="str">
        <f t="shared" si="5"/>
        <v>2024-H1</v>
      </c>
      <c r="N347" s="65" t="s">
        <v>85</v>
      </c>
    </row>
    <row r="348">
      <c r="I348" s="61" t="str">
        <f t="shared" si="1"/>
        <v>2024</v>
      </c>
      <c r="J348" s="62">
        <f t="shared" si="2"/>
        <v>5</v>
      </c>
      <c r="K348" s="61" t="str">
        <f t="shared" si="3"/>
        <v>2024-Q2</v>
      </c>
      <c r="L348" s="63" t="str">
        <f t="shared" si="4"/>
        <v>2024-05</v>
      </c>
      <c r="M348" s="64" t="str">
        <f t="shared" si="5"/>
        <v>2024-H1</v>
      </c>
      <c r="N348" s="65" t="s">
        <v>85</v>
      </c>
    </row>
    <row r="349">
      <c r="I349" s="61" t="str">
        <f t="shared" si="1"/>
        <v>2024</v>
      </c>
      <c r="J349" s="62">
        <f t="shared" si="2"/>
        <v>5</v>
      </c>
      <c r="K349" s="61" t="str">
        <f t="shared" si="3"/>
        <v>2024-Q2</v>
      </c>
      <c r="L349" s="63" t="str">
        <f t="shared" si="4"/>
        <v>2024-05</v>
      </c>
      <c r="M349" s="64" t="str">
        <f t="shared" si="5"/>
        <v>2024-H1</v>
      </c>
      <c r="N349" s="65" t="s">
        <v>85</v>
      </c>
    </row>
    <row r="350">
      <c r="I350" s="61" t="str">
        <f t="shared" si="1"/>
        <v>2024</v>
      </c>
      <c r="J350" s="62">
        <f t="shared" si="2"/>
        <v>6</v>
      </c>
      <c r="K350" s="61" t="str">
        <f t="shared" si="3"/>
        <v>2024-Q2</v>
      </c>
      <c r="L350" s="63" t="str">
        <f t="shared" si="4"/>
        <v>2024-06</v>
      </c>
      <c r="M350" s="64" t="str">
        <f t="shared" si="5"/>
        <v>2024-H1</v>
      </c>
      <c r="N350" s="65" t="s">
        <v>85</v>
      </c>
    </row>
    <row r="351">
      <c r="I351" s="61" t="str">
        <f t="shared" si="1"/>
        <v>2024</v>
      </c>
      <c r="J351" s="62">
        <f t="shared" si="2"/>
        <v>6</v>
      </c>
      <c r="K351" s="61" t="str">
        <f t="shared" si="3"/>
        <v>2024-Q2</v>
      </c>
      <c r="L351" s="63" t="str">
        <f t="shared" si="4"/>
        <v>2024-06</v>
      </c>
      <c r="M351" s="64" t="str">
        <f t="shared" si="5"/>
        <v>2024-H1</v>
      </c>
      <c r="N351" s="65" t="s">
        <v>85</v>
      </c>
    </row>
    <row r="352">
      <c r="I352" s="61" t="str">
        <f t="shared" si="1"/>
        <v>2024</v>
      </c>
      <c r="J352" s="62">
        <f t="shared" si="2"/>
        <v>6</v>
      </c>
      <c r="K352" s="61" t="str">
        <f t="shared" si="3"/>
        <v>2024-Q2</v>
      </c>
      <c r="L352" s="63" t="str">
        <f t="shared" si="4"/>
        <v>2024-06</v>
      </c>
      <c r="M352" s="64" t="str">
        <f t="shared" si="5"/>
        <v>2024-H1</v>
      </c>
      <c r="N352" s="65" t="s">
        <v>85</v>
      </c>
    </row>
    <row r="353">
      <c r="I353" s="61" t="str">
        <f t="shared" si="1"/>
        <v>2024</v>
      </c>
      <c r="J353" s="62">
        <f t="shared" si="2"/>
        <v>6</v>
      </c>
      <c r="K353" s="61" t="str">
        <f t="shared" si="3"/>
        <v>2024-Q2</v>
      </c>
      <c r="L353" s="63" t="str">
        <f t="shared" si="4"/>
        <v>2024-06</v>
      </c>
      <c r="M353" s="64" t="str">
        <f t="shared" si="5"/>
        <v>2024-H1</v>
      </c>
      <c r="N353" s="65" t="s">
        <v>85</v>
      </c>
    </row>
    <row r="354">
      <c r="I354" s="61" t="str">
        <f t="shared" si="1"/>
        <v>2024</v>
      </c>
      <c r="J354" s="62">
        <f t="shared" si="2"/>
        <v>5</v>
      </c>
      <c r="K354" s="61" t="str">
        <f t="shared" si="3"/>
        <v>2024-Q2</v>
      </c>
      <c r="L354" s="63" t="str">
        <f t="shared" si="4"/>
        <v>2024-05</v>
      </c>
      <c r="M354" s="64" t="str">
        <f t="shared" si="5"/>
        <v>2024-H1</v>
      </c>
      <c r="N354" s="65" t="s">
        <v>85</v>
      </c>
    </row>
    <row r="355">
      <c r="I355" s="61" t="str">
        <f t="shared" si="1"/>
        <v>2024</v>
      </c>
      <c r="J355" s="62">
        <f t="shared" si="2"/>
        <v>5</v>
      </c>
      <c r="K355" s="61" t="str">
        <f t="shared" si="3"/>
        <v>2024-Q2</v>
      </c>
      <c r="L355" s="63" t="str">
        <f t="shared" si="4"/>
        <v>2024-05</v>
      </c>
      <c r="M355" s="64" t="str">
        <f t="shared" si="5"/>
        <v>2024-H1</v>
      </c>
      <c r="N355" s="65" t="s">
        <v>85</v>
      </c>
    </row>
    <row r="356">
      <c r="I356" s="61" t="str">
        <f t="shared" si="1"/>
        <v>2024</v>
      </c>
      <c r="J356" s="62">
        <f t="shared" si="2"/>
        <v>6</v>
      </c>
      <c r="K356" s="61" t="str">
        <f t="shared" si="3"/>
        <v>2024-Q2</v>
      </c>
      <c r="L356" s="63" t="str">
        <f t="shared" si="4"/>
        <v>2024-06</v>
      </c>
      <c r="M356" s="64" t="str">
        <f t="shared" si="5"/>
        <v>2024-H1</v>
      </c>
      <c r="N356" s="65" t="s">
        <v>85</v>
      </c>
    </row>
    <row r="357">
      <c r="I357" s="61" t="str">
        <f t="shared" si="1"/>
        <v>2024</v>
      </c>
      <c r="J357" s="62">
        <f t="shared" si="2"/>
        <v>5</v>
      </c>
      <c r="K357" s="61" t="str">
        <f t="shared" si="3"/>
        <v>2024-Q2</v>
      </c>
      <c r="L357" s="63" t="str">
        <f t="shared" si="4"/>
        <v>2024-05</v>
      </c>
      <c r="M357" s="64" t="str">
        <f t="shared" si="5"/>
        <v>2024-H1</v>
      </c>
      <c r="N357" s="65" t="s">
        <v>85</v>
      </c>
    </row>
    <row r="358">
      <c r="I358" s="61" t="str">
        <f t="shared" si="1"/>
        <v>2024</v>
      </c>
      <c r="J358" s="62">
        <f t="shared" si="2"/>
        <v>6</v>
      </c>
      <c r="K358" s="61" t="str">
        <f t="shared" si="3"/>
        <v>2024-Q2</v>
      </c>
      <c r="L358" s="63" t="str">
        <f t="shared" si="4"/>
        <v>2024-06</v>
      </c>
      <c r="M358" s="64" t="str">
        <f t="shared" si="5"/>
        <v>2024-H1</v>
      </c>
      <c r="N358" s="65" t="s">
        <v>85</v>
      </c>
    </row>
    <row r="359">
      <c r="I359" s="61" t="str">
        <f t="shared" si="1"/>
        <v>2024</v>
      </c>
      <c r="J359" s="62">
        <f t="shared" si="2"/>
        <v>6</v>
      </c>
      <c r="K359" s="61" t="str">
        <f t="shared" si="3"/>
        <v>2024-Q2</v>
      </c>
      <c r="L359" s="63" t="str">
        <f t="shared" si="4"/>
        <v>2024-06</v>
      </c>
      <c r="M359" s="64" t="str">
        <f t="shared" si="5"/>
        <v>2024-H1</v>
      </c>
      <c r="N359" s="65" t="s">
        <v>85</v>
      </c>
    </row>
    <row r="360">
      <c r="I360" s="61" t="str">
        <f t="shared" si="1"/>
        <v>2024</v>
      </c>
      <c r="J360" s="62">
        <f t="shared" si="2"/>
        <v>6</v>
      </c>
      <c r="K360" s="61" t="str">
        <f t="shared" si="3"/>
        <v>2024-Q2</v>
      </c>
      <c r="L360" s="63" t="str">
        <f t="shared" si="4"/>
        <v>2024-06</v>
      </c>
      <c r="M360" s="64" t="str">
        <f t="shared" si="5"/>
        <v>2024-H1</v>
      </c>
      <c r="N360" s="65" t="s">
        <v>85</v>
      </c>
    </row>
    <row r="361">
      <c r="I361" s="61" t="str">
        <f t="shared" si="1"/>
        <v>2024</v>
      </c>
      <c r="J361" s="62">
        <f t="shared" si="2"/>
        <v>6</v>
      </c>
      <c r="K361" s="61" t="str">
        <f t="shared" si="3"/>
        <v>2024-Q2</v>
      </c>
      <c r="L361" s="63" t="str">
        <f t="shared" si="4"/>
        <v>2024-06</v>
      </c>
      <c r="M361" s="64" t="str">
        <f t="shared" si="5"/>
        <v>2024-H1</v>
      </c>
      <c r="N361" s="65" t="s">
        <v>85</v>
      </c>
    </row>
    <row r="362">
      <c r="I362" s="61" t="str">
        <f t="shared" si="1"/>
        <v>2024</v>
      </c>
      <c r="J362" s="62">
        <f t="shared" si="2"/>
        <v>5</v>
      </c>
      <c r="K362" s="61" t="str">
        <f t="shared" si="3"/>
        <v>2024-Q2</v>
      </c>
      <c r="L362" s="63" t="str">
        <f t="shared" si="4"/>
        <v>2024-05</v>
      </c>
      <c r="M362" s="64" t="str">
        <f t="shared" si="5"/>
        <v>2024-H1</v>
      </c>
      <c r="N362" s="65" t="s">
        <v>85</v>
      </c>
    </row>
    <row r="363">
      <c r="I363" s="61" t="str">
        <f t="shared" si="1"/>
        <v>2024</v>
      </c>
      <c r="J363" s="62">
        <f t="shared" si="2"/>
        <v>6</v>
      </c>
      <c r="K363" s="61" t="str">
        <f t="shared" si="3"/>
        <v>2024-Q2</v>
      </c>
      <c r="L363" s="63" t="str">
        <f t="shared" si="4"/>
        <v>2024-06</v>
      </c>
      <c r="M363" s="64" t="str">
        <f t="shared" si="5"/>
        <v>2024-H1</v>
      </c>
      <c r="N363" s="65" t="s">
        <v>85</v>
      </c>
    </row>
    <row r="364">
      <c r="I364" s="61" t="str">
        <f t="shared" si="1"/>
        <v>2024</v>
      </c>
      <c r="J364" s="62">
        <f t="shared" si="2"/>
        <v>6</v>
      </c>
      <c r="K364" s="61" t="str">
        <f t="shared" si="3"/>
        <v>2024-Q2</v>
      </c>
      <c r="L364" s="63" t="str">
        <f t="shared" si="4"/>
        <v>2024-06</v>
      </c>
      <c r="M364" s="64" t="str">
        <f t="shared" si="5"/>
        <v>2024-H1</v>
      </c>
      <c r="N364" s="65" t="s">
        <v>85</v>
      </c>
    </row>
    <row r="365">
      <c r="I365" s="61" t="str">
        <f t="shared" si="1"/>
        <v>2024</v>
      </c>
      <c r="J365" s="62">
        <f t="shared" si="2"/>
        <v>6</v>
      </c>
      <c r="K365" s="61" t="str">
        <f t="shared" si="3"/>
        <v>2024-Q2</v>
      </c>
      <c r="L365" s="63" t="str">
        <f t="shared" si="4"/>
        <v>2024-06</v>
      </c>
      <c r="M365" s="64" t="str">
        <f t="shared" si="5"/>
        <v>2024-H1</v>
      </c>
      <c r="N365" s="65" t="s">
        <v>85</v>
      </c>
    </row>
    <row r="366">
      <c r="I366" s="61" t="str">
        <f t="shared" si="1"/>
        <v>2024</v>
      </c>
      <c r="J366" s="62">
        <f t="shared" si="2"/>
        <v>6</v>
      </c>
      <c r="K366" s="61" t="str">
        <f t="shared" si="3"/>
        <v>2024-Q2</v>
      </c>
      <c r="L366" s="63" t="str">
        <f t="shared" si="4"/>
        <v>2024-06</v>
      </c>
      <c r="M366" s="64" t="str">
        <f t="shared" si="5"/>
        <v>2024-H1</v>
      </c>
      <c r="N366" s="65" t="s">
        <v>85</v>
      </c>
    </row>
    <row r="367">
      <c r="I367" s="61" t="str">
        <f t="shared" si="1"/>
        <v>2024</v>
      </c>
      <c r="J367" s="62">
        <f t="shared" si="2"/>
        <v>5</v>
      </c>
      <c r="K367" s="61" t="str">
        <f t="shared" si="3"/>
        <v>2024-Q2</v>
      </c>
      <c r="L367" s="63" t="str">
        <f t="shared" si="4"/>
        <v>2024-05</v>
      </c>
      <c r="M367" s="64" t="str">
        <f t="shared" si="5"/>
        <v>2024-H1</v>
      </c>
      <c r="N367" s="65" t="s">
        <v>85</v>
      </c>
    </row>
    <row r="368">
      <c r="I368" s="61" t="str">
        <f t="shared" si="1"/>
        <v>2024</v>
      </c>
      <c r="J368" s="62">
        <f t="shared" si="2"/>
        <v>6</v>
      </c>
      <c r="K368" s="61" t="str">
        <f t="shared" si="3"/>
        <v>2024-Q2</v>
      </c>
      <c r="L368" s="63" t="str">
        <f t="shared" si="4"/>
        <v>2024-06</v>
      </c>
      <c r="M368" s="64" t="str">
        <f t="shared" si="5"/>
        <v>2024-H1</v>
      </c>
      <c r="N368" s="65" t="s">
        <v>85</v>
      </c>
    </row>
    <row r="369">
      <c r="I369" s="61" t="str">
        <f t="shared" si="1"/>
        <v>2024</v>
      </c>
      <c r="J369" s="62">
        <f t="shared" si="2"/>
        <v>6</v>
      </c>
      <c r="K369" s="61" t="str">
        <f t="shared" si="3"/>
        <v>2024-Q2</v>
      </c>
      <c r="L369" s="63" t="str">
        <f t="shared" si="4"/>
        <v>2024-06</v>
      </c>
      <c r="M369" s="64" t="str">
        <f t="shared" si="5"/>
        <v>2024-H1</v>
      </c>
      <c r="N369" s="65" t="s">
        <v>85</v>
      </c>
    </row>
    <row r="370">
      <c r="I370" s="61" t="str">
        <f t="shared" si="1"/>
        <v>2024</v>
      </c>
      <c r="J370" s="62">
        <f t="shared" si="2"/>
        <v>6</v>
      </c>
      <c r="K370" s="61" t="str">
        <f t="shared" si="3"/>
        <v>2024-Q2</v>
      </c>
      <c r="L370" s="63" t="str">
        <f t="shared" si="4"/>
        <v>2024-06</v>
      </c>
      <c r="M370" s="64" t="str">
        <f t="shared" si="5"/>
        <v>2024-H1</v>
      </c>
      <c r="N370" s="65" t="s">
        <v>85</v>
      </c>
    </row>
    <row r="371">
      <c r="I371" s="61" t="str">
        <f t="shared" si="1"/>
        <v>2024</v>
      </c>
      <c r="J371" s="62">
        <f t="shared" si="2"/>
        <v>5</v>
      </c>
      <c r="K371" s="61" t="str">
        <f t="shared" si="3"/>
        <v>2024-Q2</v>
      </c>
      <c r="L371" s="63" t="str">
        <f t="shared" si="4"/>
        <v>2024-05</v>
      </c>
      <c r="M371" s="64" t="str">
        <f t="shared" si="5"/>
        <v>2024-H1</v>
      </c>
      <c r="N371" s="65" t="s">
        <v>85</v>
      </c>
    </row>
    <row r="372">
      <c r="I372" s="61" t="str">
        <f t="shared" si="1"/>
        <v>2024</v>
      </c>
      <c r="J372" s="62">
        <f t="shared" si="2"/>
        <v>6</v>
      </c>
      <c r="K372" s="61" t="str">
        <f t="shared" si="3"/>
        <v>2024-Q2</v>
      </c>
      <c r="L372" s="63" t="str">
        <f t="shared" si="4"/>
        <v>2024-06</v>
      </c>
      <c r="M372" s="64" t="str">
        <f t="shared" si="5"/>
        <v>2024-H1</v>
      </c>
      <c r="N372" s="65" t="s">
        <v>85</v>
      </c>
    </row>
    <row r="373">
      <c r="I373" s="61" t="str">
        <f t="shared" si="1"/>
        <v>2024</v>
      </c>
      <c r="J373" s="62">
        <f t="shared" si="2"/>
        <v>6</v>
      </c>
      <c r="K373" s="61" t="str">
        <f t="shared" si="3"/>
        <v>2024-Q2</v>
      </c>
      <c r="L373" s="63" t="str">
        <f t="shared" si="4"/>
        <v>2024-06</v>
      </c>
      <c r="M373" s="64" t="str">
        <f t="shared" si="5"/>
        <v>2024-H1</v>
      </c>
      <c r="N373" s="65" t="s">
        <v>85</v>
      </c>
    </row>
    <row r="374">
      <c r="I374" s="61" t="str">
        <f t="shared" si="1"/>
        <v>2024</v>
      </c>
      <c r="J374" s="62">
        <f t="shared" si="2"/>
        <v>6</v>
      </c>
      <c r="K374" s="61" t="str">
        <f t="shared" si="3"/>
        <v>2024-Q2</v>
      </c>
      <c r="L374" s="63" t="str">
        <f t="shared" si="4"/>
        <v>2024-06</v>
      </c>
      <c r="M374" s="64" t="str">
        <f t="shared" si="5"/>
        <v>2024-H1</v>
      </c>
      <c r="N374" s="65" t="s">
        <v>85</v>
      </c>
    </row>
    <row r="375">
      <c r="I375" s="61" t="str">
        <f t="shared" si="1"/>
        <v>2024</v>
      </c>
      <c r="J375" s="62">
        <f t="shared" si="2"/>
        <v>5</v>
      </c>
      <c r="K375" s="61" t="str">
        <f t="shared" si="3"/>
        <v>2024-Q2</v>
      </c>
      <c r="L375" s="63" t="str">
        <f t="shared" si="4"/>
        <v>2024-05</v>
      </c>
      <c r="M375" s="64" t="str">
        <f t="shared" si="5"/>
        <v>2024-H1</v>
      </c>
      <c r="N375" s="65" t="s">
        <v>85</v>
      </c>
    </row>
    <row r="376">
      <c r="I376" s="61" t="str">
        <f t="shared" si="1"/>
        <v>2024</v>
      </c>
      <c r="J376" s="62">
        <f t="shared" si="2"/>
        <v>6</v>
      </c>
      <c r="K376" s="61" t="str">
        <f t="shared" si="3"/>
        <v>2024-Q2</v>
      </c>
      <c r="L376" s="63" t="str">
        <f t="shared" si="4"/>
        <v>2024-06</v>
      </c>
      <c r="M376" s="64" t="str">
        <f t="shared" si="5"/>
        <v>2024-H1</v>
      </c>
      <c r="N376" s="65" t="s">
        <v>85</v>
      </c>
    </row>
    <row r="377">
      <c r="I377" s="61" t="str">
        <f t="shared" si="1"/>
        <v>2024</v>
      </c>
      <c r="J377" s="62">
        <f t="shared" si="2"/>
        <v>6</v>
      </c>
      <c r="K377" s="61" t="str">
        <f t="shared" si="3"/>
        <v>2024-Q2</v>
      </c>
      <c r="L377" s="63" t="str">
        <f t="shared" si="4"/>
        <v>2024-06</v>
      </c>
      <c r="M377" s="64" t="str">
        <f t="shared" si="5"/>
        <v>2024-H1</v>
      </c>
      <c r="N377" s="65" t="s">
        <v>85</v>
      </c>
    </row>
    <row r="378">
      <c r="I378" s="61" t="str">
        <f t="shared" si="1"/>
        <v>2024</v>
      </c>
      <c r="J378" s="62">
        <f t="shared" si="2"/>
        <v>6</v>
      </c>
      <c r="K378" s="61" t="str">
        <f t="shared" si="3"/>
        <v>2024-Q2</v>
      </c>
      <c r="L378" s="63" t="str">
        <f t="shared" si="4"/>
        <v>2024-06</v>
      </c>
      <c r="M378" s="64" t="str">
        <f t="shared" si="5"/>
        <v>2024-H1</v>
      </c>
      <c r="N378" s="65" t="s">
        <v>85</v>
      </c>
    </row>
    <row r="379">
      <c r="I379" s="61" t="str">
        <f t="shared" si="1"/>
        <v>2024</v>
      </c>
      <c r="J379" s="62">
        <f t="shared" si="2"/>
        <v>6</v>
      </c>
      <c r="K379" s="61" t="str">
        <f t="shared" si="3"/>
        <v>2024-Q2</v>
      </c>
      <c r="L379" s="63" t="str">
        <f t="shared" si="4"/>
        <v>2024-06</v>
      </c>
      <c r="M379" s="64" t="str">
        <f t="shared" si="5"/>
        <v>2024-H1</v>
      </c>
      <c r="N379" s="65" t="s">
        <v>85</v>
      </c>
    </row>
    <row r="380">
      <c r="I380" s="61" t="str">
        <f t="shared" si="1"/>
        <v>2024</v>
      </c>
      <c r="J380" s="62">
        <f t="shared" si="2"/>
        <v>6</v>
      </c>
      <c r="K380" s="61" t="str">
        <f t="shared" si="3"/>
        <v>2024-Q2</v>
      </c>
      <c r="L380" s="63" t="str">
        <f t="shared" si="4"/>
        <v>2024-06</v>
      </c>
      <c r="M380" s="64" t="str">
        <f t="shared" si="5"/>
        <v>2024-H1</v>
      </c>
      <c r="N380" s="65" t="s">
        <v>85</v>
      </c>
    </row>
    <row r="381">
      <c r="I381" s="61" t="str">
        <f t="shared" si="1"/>
        <v>2024</v>
      </c>
      <c r="J381" s="62">
        <f t="shared" si="2"/>
        <v>6</v>
      </c>
      <c r="K381" s="61" t="str">
        <f t="shared" si="3"/>
        <v>2024-Q2</v>
      </c>
      <c r="L381" s="63" t="str">
        <f t="shared" si="4"/>
        <v>2024-06</v>
      </c>
      <c r="M381" s="64" t="str">
        <f t="shared" si="5"/>
        <v>2024-H1</v>
      </c>
      <c r="N381" s="65" t="s">
        <v>85</v>
      </c>
    </row>
    <row r="382">
      <c r="I382" s="61" t="str">
        <f t="shared" si="1"/>
        <v>2024</v>
      </c>
      <c r="J382" s="62">
        <f t="shared" si="2"/>
        <v>6</v>
      </c>
      <c r="K382" s="61" t="str">
        <f t="shared" si="3"/>
        <v>2024-Q2</v>
      </c>
      <c r="L382" s="63" t="str">
        <f t="shared" si="4"/>
        <v>2024-06</v>
      </c>
      <c r="M382" s="64" t="str">
        <f t="shared" si="5"/>
        <v>2024-H1</v>
      </c>
      <c r="N382" s="65" t="s">
        <v>85</v>
      </c>
    </row>
    <row r="383">
      <c r="I383" s="61" t="str">
        <f t="shared" si="1"/>
        <v>2024</v>
      </c>
      <c r="J383" s="62">
        <f t="shared" si="2"/>
        <v>6</v>
      </c>
      <c r="K383" s="61" t="str">
        <f t="shared" si="3"/>
        <v>2024-Q2</v>
      </c>
      <c r="L383" s="63" t="str">
        <f t="shared" si="4"/>
        <v>2024-06</v>
      </c>
      <c r="M383" s="64" t="str">
        <f t="shared" si="5"/>
        <v>2024-H1</v>
      </c>
      <c r="N383" s="65" t="s">
        <v>85</v>
      </c>
    </row>
    <row r="384">
      <c r="H384" s="61"/>
      <c r="I384" s="61" t="str">
        <f t="shared" si="1"/>
        <v/>
      </c>
      <c r="J384" s="62">
        <f t="shared" si="2"/>
        <v>0</v>
      </c>
      <c r="K384" s="61" t="str">
        <f t="shared" si="3"/>
        <v>#NUM!</v>
      </c>
      <c r="L384" s="63" t="str">
        <f t="shared" si="4"/>
        <v>-00</v>
      </c>
      <c r="M384" s="64" t="str">
        <f t="shared" si="5"/>
        <v>#NUM!</v>
      </c>
      <c r="N384" s="65" t="s">
        <v>85</v>
      </c>
    </row>
    <row r="385">
      <c r="H385" s="61"/>
      <c r="I385" s="61" t="str">
        <f t="shared" si="1"/>
        <v/>
      </c>
      <c r="J385" s="62">
        <f t="shared" si="2"/>
        <v>0</v>
      </c>
      <c r="K385" s="61" t="str">
        <f t="shared" si="3"/>
        <v>#NUM!</v>
      </c>
      <c r="L385" s="63" t="str">
        <f t="shared" si="4"/>
        <v>-00</v>
      </c>
      <c r="M385" s="64" t="str">
        <f t="shared" si="5"/>
        <v>#NUM!</v>
      </c>
      <c r="N385" s="65" t="s">
        <v>85</v>
      </c>
    </row>
    <row r="386">
      <c r="H386" s="61"/>
      <c r="I386" s="61" t="str">
        <f t="shared" si="1"/>
        <v/>
      </c>
      <c r="J386" s="62">
        <f t="shared" si="2"/>
        <v>0</v>
      </c>
      <c r="K386" s="61" t="str">
        <f t="shared" si="3"/>
        <v>#NUM!</v>
      </c>
      <c r="L386" s="63" t="str">
        <f t="shared" si="4"/>
        <v>-00</v>
      </c>
      <c r="M386" s="64" t="str">
        <f t="shared" si="5"/>
        <v>#NUM!</v>
      </c>
      <c r="N386" s="65" t="s">
        <v>85</v>
      </c>
    </row>
    <row r="387">
      <c r="H387" s="61"/>
      <c r="I387" s="61" t="str">
        <f t="shared" si="1"/>
        <v/>
      </c>
      <c r="J387" s="62"/>
      <c r="K387" s="61"/>
      <c r="L387" s="63"/>
      <c r="M387" s="64"/>
      <c r="N387" s="65"/>
    </row>
    <row r="388">
      <c r="H388" s="61"/>
      <c r="I388" s="61" t="str">
        <f t="shared" si="1"/>
        <v/>
      </c>
      <c r="J388" s="62"/>
      <c r="K388" s="61"/>
      <c r="L388" s="63"/>
      <c r="M388" s="64"/>
      <c r="N388" s="65"/>
    </row>
    <row r="389">
      <c r="H389" s="61"/>
      <c r="I389" s="61" t="str">
        <f t="shared" si="1"/>
        <v/>
      </c>
      <c r="J389" s="62"/>
      <c r="K389" s="61"/>
      <c r="L389" s="63"/>
      <c r="M389" s="64"/>
      <c r="N389" s="65"/>
    </row>
    <row r="390">
      <c r="H390" s="61"/>
      <c r="I390" s="61" t="str">
        <f t="shared" si="1"/>
        <v/>
      </c>
      <c r="J390" s="62"/>
      <c r="K390" s="61"/>
      <c r="L390" s="63"/>
      <c r="M390" s="64"/>
      <c r="N390" s="65"/>
    </row>
    <row r="391">
      <c r="H391" s="61"/>
      <c r="I391" s="61" t="str">
        <f t="shared" si="1"/>
        <v/>
      </c>
      <c r="J391" s="62"/>
      <c r="K391" s="61"/>
      <c r="L391" s="63"/>
      <c r="M391" s="64"/>
      <c r="N391" s="65"/>
    </row>
    <row r="392">
      <c r="H392" s="61"/>
      <c r="I392" s="61" t="str">
        <f t="shared" si="1"/>
        <v/>
      </c>
      <c r="J392" s="62"/>
      <c r="K392" s="61"/>
      <c r="L392" s="63"/>
      <c r="M392" s="64"/>
      <c r="N392" s="65"/>
    </row>
    <row r="393">
      <c r="H393" s="61"/>
      <c r="I393" s="61" t="str">
        <f t="shared" si="1"/>
        <v/>
      </c>
      <c r="J393" s="62"/>
      <c r="K393" s="61"/>
      <c r="L393" s="63"/>
      <c r="M393" s="64"/>
      <c r="N393" s="65"/>
    </row>
    <row r="394">
      <c r="H394" s="61"/>
      <c r="I394" s="61" t="str">
        <f t="shared" si="1"/>
        <v/>
      </c>
      <c r="J394" s="62"/>
      <c r="K394" s="61"/>
      <c r="L394" s="63"/>
      <c r="M394" s="64"/>
      <c r="N394" s="65"/>
    </row>
    <row r="395">
      <c r="H395" s="61"/>
      <c r="I395" s="61" t="str">
        <f t="shared" si="1"/>
        <v/>
      </c>
      <c r="J395" s="62"/>
      <c r="K395" s="61"/>
      <c r="L395" s="63"/>
      <c r="M395" s="64"/>
      <c r="N395" s="65"/>
    </row>
    <row r="396">
      <c r="H396" s="61"/>
      <c r="I396" s="61" t="str">
        <f t="shared" si="1"/>
        <v/>
      </c>
      <c r="J396" s="62"/>
      <c r="K396" s="61"/>
      <c r="L396" s="63"/>
      <c r="M396" s="64"/>
      <c r="N396" s="65"/>
    </row>
    <row r="397">
      <c r="H397" s="61"/>
      <c r="I397" s="61" t="str">
        <f t="shared" si="1"/>
        <v/>
      </c>
      <c r="J397" s="62"/>
      <c r="K397" s="61"/>
      <c r="L397" s="63"/>
      <c r="M397" s="64"/>
      <c r="N397" s="65"/>
    </row>
    <row r="398">
      <c r="H398" s="61"/>
      <c r="I398" s="61" t="str">
        <f t="shared" si="1"/>
        <v/>
      </c>
      <c r="J398" s="62"/>
      <c r="K398" s="61"/>
      <c r="L398" s="63"/>
      <c r="M398" s="64"/>
      <c r="N398" s="61"/>
    </row>
    <row r="399">
      <c r="H399" s="61"/>
      <c r="I399" s="61" t="str">
        <f t="shared" si="1"/>
        <v/>
      </c>
      <c r="J399" s="62"/>
      <c r="K399" s="61"/>
      <c r="L399" s="63"/>
      <c r="M399" s="64"/>
      <c r="N399" s="61"/>
    </row>
    <row r="400">
      <c r="H400" s="61"/>
      <c r="I400" s="61" t="str">
        <f t="shared" si="1"/>
        <v/>
      </c>
      <c r="J400" s="62"/>
      <c r="K400" s="61"/>
      <c r="L400" s="63"/>
      <c r="M400" s="64"/>
      <c r="N400" s="61"/>
    </row>
    <row r="401">
      <c r="H401" s="61"/>
      <c r="I401" s="61" t="str">
        <f t="shared" si="1"/>
        <v/>
      </c>
      <c r="J401" s="62"/>
      <c r="K401" s="61"/>
      <c r="L401" s="63"/>
      <c r="M401" s="64"/>
      <c r="N401" s="61"/>
    </row>
    <row r="402">
      <c r="H402" s="61"/>
      <c r="I402" s="61" t="str">
        <f t="shared" si="1"/>
        <v/>
      </c>
      <c r="J402" s="62"/>
      <c r="K402" s="61"/>
      <c r="L402" s="63"/>
      <c r="M402" s="64"/>
      <c r="N402" s="61"/>
    </row>
    <row r="403">
      <c r="H403" s="61"/>
      <c r="I403" s="61" t="str">
        <f t="shared" si="1"/>
        <v/>
      </c>
      <c r="J403" s="62"/>
      <c r="K403" s="61"/>
      <c r="L403" s="63"/>
      <c r="M403" s="64"/>
      <c r="N403" s="61"/>
    </row>
    <row r="404">
      <c r="H404" s="61"/>
      <c r="I404" s="61" t="str">
        <f t="shared" si="1"/>
        <v/>
      </c>
      <c r="J404" s="62"/>
      <c r="K404" s="61"/>
      <c r="L404" s="63"/>
      <c r="M404" s="64"/>
      <c r="N404" s="61"/>
    </row>
    <row r="405">
      <c r="H405" s="61"/>
      <c r="I405" s="61" t="str">
        <f t="shared" si="1"/>
        <v/>
      </c>
      <c r="J405" s="62"/>
      <c r="K405" s="61"/>
      <c r="L405" s="63"/>
      <c r="M405" s="64"/>
      <c r="N405" s="61"/>
    </row>
    <row r="406">
      <c r="H406" s="61"/>
      <c r="I406" s="61" t="str">
        <f t="shared" si="1"/>
        <v/>
      </c>
      <c r="J406" s="62"/>
      <c r="K406" s="61"/>
      <c r="L406" s="63"/>
      <c r="M406" s="64"/>
      <c r="N406" s="61"/>
    </row>
    <row r="407">
      <c r="H407" s="61"/>
      <c r="I407" s="61" t="str">
        <f t="shared" si="1"/>
        <v/>
      </c>
      <c r="J407" s="62"/>
      <c r="K407" s="61"/>
      <c r="L407" s="63"/>
      <c r="M407" s="64"/>
      <c r="N407" s="61"/>
    </row>
    <row r="408">
      <c r="H408" s="61"/>
      <c r="I408" s="61" t="str">
        <f t="shared" si="1"/>
        <v/>
      </c>
      <c r="J408" s="62"/>
      <c r="K408" s="61"/>
      <c r="L408" s="63"/>
      <c r="M408" s="64"/>
      <c r="N408" s="61"/>
    </row>
    <row r="409">
      <c r="H409" s="61"/>
      <c r="I409" s="61" t="str">
        <f t="shared" si="1"/>
        <v/>
      </c>
      <c r="J409" s="62"/>
      <c r="K409" s="61"/>
      <c r="L409" s="63"/>
      <c r="M409" s="64"/>
      <c r="N409" s="61"/>
    </row>
    <row r="410">
      <c r="H410" s="61"/>
      <c r="I410" s="61" t="str">
        <f t="shared" si="1"/>
        <v/>
      </c>
      <c r="J410" s="62"/>
      <c r="K410" s="61"/>
      <c r="L410" s="63"/>
      <c r="M410" s="64"/>
      <c r="N410" s="61"/>
    </row>
    <row r="411">
      <c r="H411" s="61"/>
      <c r="I411" s="61" t="str">
        <f t="shared" si="1"/>
        <v/>
      </c>
      <c r="J411" s="62"/>
      <c r="K411" s="61"/>
      <c r="L411" s="63"/>
      <c r="M411" s="64"/>
      <c r="N411" s="61"/>
    </row>
    <row r="412">
      <c r="H412" s="61"/>
      <c r="I412" s="61" t="str">
        <f t="shared" si="1"/>
        <v/>
      </c>
      <c r="J412" s="62"/>
      <c r="K412" s="61"/>
      <c r="L412" s="63"/>
      <c r="M412" s="64"/>
      <c r="N412" s="61"/>
    </row>
    <row r="413">
      <c r="H413" s="61"/>
      <c r="I413" s="61" t="str">
        <f t="shared" si="1"/>
        <v/>
      </c>
      <c r="J413" s="62"/>
      <c r="K413" s="61"/>
      <c r="L413" s="63"/>
      <c r="M413" s="64"/>
      <c r="N413" s="61"/>
    </row>
    <row r="414">
      <c r="H414" s="61"/>
      <c r="I414" s="61" t="str">
        <f t="shared" si="1"/>
        <v/>
      </c>
      <c r="J414" s="62"/>
      <c r="K414" s="61"/>
      <c r="L414" s="63"/>
      <c r="M414" s="64"/>
      <c r="N414" s="61"/>
    </row>
    <row r="415">
      <c r="H415" s="61"/>
      <c r="I415" s="61" t="str">
        <f t="shared" si="1"/>
        <v/>
      </c>
      <c r="J415" s="62"/>
      <c r="K415" s="61"/>
      <c r="L415" s="63"/>
      <c r="M415" s="64"/>
      <c r="N415" s="61"/>
    </row>
    <row r="416">
      <c r="H416" s="61"/>
      <c r="I416" s="61" t="str">
        <f t="shared" si="1"/>
        <v/>
      </c>
      <c r="J416" s="62"/>
      <c r="K416" s="61"/>
      <c r="L416" s="63"/>
      <c r="M416" s="64"/>
      <c r="N416" s="61"/>
    </row>
    <row r="417">
      <c r="H417" s="61"/>
      <c r="I417" s="61" t="str">
        <f t="shared" si="1"/>
        <v/>
      </c>
      <c r="J417" s="62"/>
      <c r="K417" s="61"/>
      <c r="L417" s="63"/>
      <c r="M417" s="64"/>
      <c r="N417" s="61"/>
    </row>
    <row r="418">
      <c r="H418" s="61"/>
      <c r="I418" s="61" t="str">
        <f t="shared" si="1"/>
        <v/>
      </c>
      <c r="J418" s="62"/>
      <c r="K418" s="61"/>
      <c r="L418" s="63"/>
      <c r="M418" s="64"/>
      <c r="N418" s="61"/>
    </row>
    <row r="419">
      <c r="H419" s="61"/>
      <c r="I419" s="61" t="str">
        <f t="shared" si="1"/>
        <v/>
      </c>
      <c r="J419" s="62"/>
      <c r="K419" s="61"/>
      <c r="L419" s="63"/>
      <c r="M419" s="64"/>
      <c r="N419" s="61"/>
    </row>
    <row r="420">
      <c r="H420" s="61"/>
      <c r="I420" s="61" t="str">
        <f t="shared" si="1"/>
        <v/>
      </c>
      <c r="J420" s="62"/>
      <c r="K420" s="61"/>
      <c r="L420" s="63"/>
      <c r="M420" s="64"/>
      <c r="N420" s="61"/>
    </row>
    <row r="421">
      <c r="H421" s="61"/>
      <c r="I421" s="61" t="str">
        <f t="shared" si="1"/>
        <v/>
      </c>
      <c r="J421" s="62"/>
      <c r="K421" s="61"/>
      <c r="L421" s="63"/>
      <c r="M421" s="64"/>
      <c r="N421" s="61"/>
    </row>
    <row r="422">
      <c r="H422" s="61"/>
      <c r="I422" s="61" t="str">
        <f t="shared" si="1"/>
        <v/>
      </c>
      <c r="J422" s="62"/>
      <c r="K422" s="61"/>
      <c r="L422" s="63"/>
      <c r="M422" s="64"/>
      <c r="N422" s="61"/>
    </row>
    <row r="423">
      <c r="H423" s="61"/>
      <c r="I423" s="61" t="str">
        <f t="shared" si="1"/>
        <v/>
      </c>
      <c r="J423" s="62"/>
      <c r="K423" s="61"/>
      <c r="L423" s="63"/>
      <c r="M423" s="64"/>
      <c r="N423" s="61"/>
    </row>
    <row r="424">
      <c r="H424" s="61"/>
      <c r="I424" s="61" t="str">
        <f t="shared" si="1"/>
        <v/>
      </c>
      <c r="J424" s="62"/>
      <c r="K424" s="61"/>
      <c r="L424" s="63"/>
      <c r="M424" s="64"/>
      <c r="N424" s="61"/>
    </row>
    <row r="425">
      <c r="H425" s="61"/>
      <c r="I425" s="61" t="str">
        <f t="shared" si="1"/>
        <v/>
      </c>
      <c r="J425" s="62"/>
      <c r="K425" s="61"/>
      <c r="L425" s="63"/>
      <c r="M425" s="64"/>
      <c r="N425" s="61"/>
    </row>
    <row r="426">
      <c r="H426" s="61"/>
      <c r="I426" s="61" t="str">
        <f t="shared" si="1"/>
        <v/>
      </c>
      <c r="J426" s="62"/>
      <c r="K426" s="61"/>
      <c r="L426" s="63"/>
      <c r="M426" s="64"/>
      <c r="N426" s="61"/>
    </row>
    <row r="427">
      <c r="H427" s="61"/>
      <c r="I427" s="61" t="str">
        <f t="shared" si="1"/>
        <v/>
      </c>
      <c r="J427" s="62"/>
      <c r="K427" s="61"/>
      <c r="L427" s="63"/>
      <c r="M427" s="64"/>
      <c r="N427" s="61"/>
    </row>
    <row r="428">
      <c r="H428" s="61"/>
      <c r="I428" s="61" t="str">
        <f t="shared" si="1"/>
        <v/>
      </c>
      <c r="J428" s="62"/>
      <c r="K428" s="61"/>
      <c r="L428" s="63"/>
      <c r="M428" s="64"/>
      <c r="N428" s="61"/>
    </row>
    <row r="429">
      <c r="H429" s="61"/>
      <c r="I429" s="61" t="str">
        <f t="shared" si="1"/>
        <v/>
      </c>
      <c r="J429" s="62"/>
      <c r="K429" s="61"/>
      <c r="L429" s="63"/>
      <c r="M429" s="64"/>
      <c r="N429" s="61"/>
    </row>
    <row r="430">
      <c r="H430" s="61"/>
      <c r="I430" s="61" t="str">
        <f t="shared" si="1"/>
        <v/>
      </c>
      <c r="J430" s="62"/>
      <c r="K430" s="61"/>
      <c r="L430" s="63"/>
      <c r="M430" s="64"/>
      <c r="N430" s="61"/>
    </row>
    <row r="431">
      <c r="H431" s="61"/>
      <c r="I431" s="61" t="str">
        <f t="shared" si="1"/>
        <v/>
      </c>
      <c r="J431" s="62"/>
      <c r="K431" s="61"/>
      <c r="L431" s="63"/>
      <c r="M431" s="64"/>
      <c r="N431" s="61"/>
    </row>
    <row r="432">
      <c r="H432" s="61"/>
      <c r="I432" s="61" t="str">
        <f t="shared" si="1"/>
        <v/>
      </c>
      <c r="J432" s="62"/>
      <c r="K432" s="61"/>
      <c r="L432" s="63"/>
      <c r="M432" s="64"/>
      <c r="N432" s="61"/>
    </row>
    <row r="433">
      <c r="H433" s="61"/>
      <c r="I433" s="61" t="str">
        <f t="shared" si="1"/>
        <v/>
      </c>
      <c r="J433" s="62"/>
      <c r="K433" s="61"/>
      <c r="L433" s="63"/>
      <c r="M433" s="64"/>
      <c r="N433" s="61"/>
    </row>
    <row r="434">
      <c r="H434" s="61"/>
      <c r="I434" s="61" t="str">
        <f t="shared" si="1"/>
        <v/>
      </c>
      <c r="J434" s="62"/>
      <c r="K434" s="61"/>
      <c r="L434" s="63"/>
      <c r="M434" s="64"/>
      <c r="N434" s="61"/>
    </row>
    <row r="435">
      <c r="H435" s="61"/>
      <c r="I435" s="61" t="str">
        <f t="shared" si="1"/>
        <v/>
      </c>
      <c r="J435" s="62"/>
      <c r="K435" s="61"/>
      <c r="L435" s="63"/>
      <c r="M435" s="64"/>
      <c r="N435" s="61"/>
    </row>
    <row r="436">
      <c r="H436" s="61"/>
      <c r="I436" s="61" t="str">
        <f t="shared" si="1"/>
        <v/>
      </c>
      <c r="J436" s="62"/>
      <c r="K436" s="61"/>
      <c r="L436" s="63"/>
      <c r="M436" s="64"/>
      <c r="N436" s="61"/>
    </row>
    <row r="437">
      <c r="H437" s="61"/>
      <c r="I437" s="61" t="str">
        <f t="shared" si="1"/>
        <v/>
      </c>
      <c r="J437" s="62"/>
      <c r="K437" s="61"/>
      <c r="L437" s="63"/>
      <c r="M437" s="64"/>
      <c r="N437" s="61"/>
    </row>
    <row r="438">
      <c r="H438" s="61"/>
      <c r="I438" s="61" t="str">
        <f t="shared" si="1"/>
        <v/>
      </c>
      <c r="J438" s="62"/>
      <c r="K438" s="61"/>
      <c r="L438" s="63"/>
      <c r="M438" s="64"/>
      <c r="N438" s="61"/>
    </row>
    <row r="439">
      <c r="H439" s="61"/>
      <c r="I439" s="61" t="str">
        <f t="shared" si="1"/>
        <v/>
      </c>
      <c r="J439" s="62"/>
      <c r="K439" s="61"/>
      <c r="L439" s="63"/>
      <c r="M439" s="64"/>
      <c r="N439" s="61"/>
    </row>
    <row r="440">
      <c r="H440" s="61"/>
      <c r="I440" s="61" t="str">
        <f t="shared" si="1"/>
        <v/>
      </c>
      <c r="J440" s="62"/>
      <c r="K440" s="61"/>
      <c r="L440" s="63"/>
      <c r="M440" s="64"/>
      <c r="N440" s="61"/>
    </row>
    <row r="441">
      <c r="H441" s="61"/>
      <c r="I441" s="61" t="str">
        <f t="shared" si="1"/>
        <v/>
      </c>
      <c r="J441" s="62"/>
      <c r="K441" s="61"/>
      <c r="L441" s="63"/>
      <c r="M441" s="64"/>
      <c r="N441" s="61"/>
    </row>
    <row r="442">
      <c r="H442" s="61"/>
      <c r="I442" s="61" t="str">
        <f t="shared" si="1"/>
        <v/>
      </c>
      <c r="J442" s="62"/>
      <c r="K442" s="61"/>
      <c r="L442" s="63"/>
      <c r="M442" s="64"/>
      <c r="N442" s="61"/>
    </row>
    <row r="443">
      <c r="H443" s="61"/>
      <c r="I443" s="61" t="str">
        <f t="shared" si="1"/>
        <v/>
      </c>
      <c r="J443" s="62"/>
      <c r="K443" s="61"/>
      <c r="L443" s="63"/>
      <c r="M443" s="64"/>
      <c r="N443" s="61"/>
    </row>
    <row r="444">
      <c r="H444" s="61"/>
      <c r="I444" s="61" t="str">
        <f t="shared" si="1"/>
        <v/>
      </c>
      <c r="J444" s="62"/>
      <c r="K444" s="61"/>
      <c r="L444" s="63"/>
      <c r="M444" s="64"/>
      <c r="N444" s="61"/>
    </row>
    <row r="445">
      <c r="H445" s="61"/>
      <c r="I445" s="61" t="str">
        <f t="shared" si="1"/>
        <v/>
      </c>
      <c r="J445" s="62"/>
      <c r="K445" s="61"/>
      <c r="L445" s="63"/>
      <c r="M445" s="64"/>
      <c r="N445" s="61"/>
    </row>
    <row r="446">
      <c r="H446" s="61"/>
      <c r="I446" s="61" t="str">
        <f t="shared" si="1"/>
        <v/>
      </c>
      <c r="J446" s="62"/>
      <c r="K446" s="61"/>
      <c r="L446" s="63"/>
      <c r="M446" s="64"/>
      <c r="N446" s="61"/>
    </row>
    <row r="447">
      <c r="H447" s="61"/>
      <c r="I447" s="61" t="str">
        <f t="shared" si="1"/>
        <v/>
      </c>
      <c r="J447" s="62"/>
      <c r="K447" s="61"/>
      <c r="L447" s="63"/>
      <c r="M447" s="64"/>
      <c r="N447" s="61"/>
    </row>
    <row r="448">
      <c r="H448" s="61"/>
      <c r="I448" s="61" t="str">
        <f t="shared" si="1"/>
        <v/>
      </c>
      <c r="J448" s="62"/>
      <c r="K448" s="61"/>
      <c r="L448" s="63"/>
      <c r="M448" s="64"/>
      <c r="N448" s="61"/>
    </row>
    <row r="449">
      <c r="H449" s="61"/>
      <c r="I449" s="61" t="str">
        <f t="shared" si="1"/>
        <v/>
      </c>
      <c r="J449" s="62"/>
      <c r="K449" s="61"/>
      <c r="L449" s="63"/>
      <c r="M449" s="64"/>
      <c r="N449" s="61"/>
    </row>
    <row r="450">
      <c r="H450" s="61"/>
      <c r="I450" s="61" t="str">
        <f t="shared" si="1"/>
        <v/>
      </c>
      <c r="J450" s="62"/>
      <c r="K450" s="61"/>
      <c r="L450" s="63"/>
      <c r="M450" s="64"/>
      <c r="N450" s="61"/>
    </row>
    <row r="451">
      <c r="H451" s="61"/>
      <c r="I451" s="61" t="str">
        <f t="shared" si="1"/>
        <v/>
      </c>
      <c r="J451" s="62"/>
      <c r="K451" s="61"/>
      <c r="L451" s="63"/>
      <c r="M451" s="64"/>
      <c r="N451" s="61"/>
    </row>
    <row r="452">
      <c r="H452" s="61"/>
      <c r="I452" s="61" t="str">
        <f t="shared" si="1"/>
        <v/>
      </c>
      <c r="J452" s="62"/>
      <c r="K452" s="61"/>
      <c r="L452" s="63"/>
      <c r="M452" s="64"/>
      <c r="N452" s="61"/>
    </row>
    <row r="453">
      <c r="H453" s="61"/>
      <c r="I453" s="61" t="str">
        <f t="shared" si="1"/>
        <v/>
      </c>
      <c r="J453" s="62"/>
      <c r="K453" s="61"/>
      <c r="L453" s="63"/>
      <c r="M453" s="64"/>
      <c r="N453" s="61"/>
    </row>
    <row r="454">
      <c r="H454" s="61"/>
      <c r="I454" s="61" t="str">
        <f t="shared" si="1"/>
        <v/>
      </c>
      <c r="J454" s="62"/>
      <c r="K454" s="61"/>
      <c r="L454" s="63"/>
      <c r="M454" s="64"/>
      <c r="N454" s="61"/>
    </row>
    <row r="455">
      <c r="H455" s="61"/>
      <c r="I455" s="61" t="str">
        <f t="shared" si="1"/>
        <v/>
      </c>
      <c r="J455" s="62"/>
      <c r="K455" s="61"/>
      <c r="L455" s="63"/>
      <c r="M455" s="64"/>
      <c r="N455" s="61"/>
    </row>
    <row r="456">
      <c r="H456" s="61"/>
      <c r="I456" s="61" t="str">
        <f t="shared" si="1"/>
        <v/>
      </c>
      <c r="J456" s="62"/>
      <c r="K456" s="61"/>
      <c r="L456" s="63"/>
      <c r="M456" s="64"/>
      <c r="N456" s="61"/>
    </row>
    <row r="457">
      <c r="H457" s="61"/>
      <c r="I457" s="61" t="str">
        <f t="shared" si="1"/>
        <v/>
      </c>
      <c r="J457" s="62"/>
      <c r="K457" s="61"/>
      <c r="L457" s="63"/>
      <c r="M457" s="64"/>
      <c r="N457" s="61"/>
    </row>
    <row r="458">
      <c r="H458" s="61"/>
      <c r="I458" s="61" t="str">
        <f t="shared" si="1"/>
        <v/>
      </c>
      <c r="J458" s="62"/>
      <c r="K458" s="61"/>
      <c r="L458" s="63"/>
      <c r="M458" s="64"/>
      <c r="N458" s="61"/>
    </row>
    <row r="459">
      <c r="H459" s="61"/>
      <c r="I459" s="61" t="str">
        <f t="shared" si="1"/>
        <v/>
      </c>
      <c r="J459" s="62"/>
      <c r="K459" s="61"/>
      <c r="L459" s="63"/>
      <c r="M459" s="64"/>
      <c r="N459" s="61"/>
    </row>
    <row r="460">
      <c r="H460" s="61"/>
      <c r="I460" s="61" t="str">
        <f t="shared" si="1"/>
        <v/>
      </c>
      <c r="J460" s="62"/>
      <c r="K460" s="61"/>
      <c r="L460" s="63"/>
      <c r="M460" s="64"/>
      <c r="N460" s="61"/>
    </row>
    <row r="461">
      <c r="H461" s="61"/>
      <c r="I461" s="61" t="str">
        <f t="shared" si="1"/>
        <v/>
      </c>
      <c r="J461" s="62"/>
      <c r="K461" s="61"/>
      <c r="L461" s="63"/>
      <c r="M461" s="64"/>
      <c r="N461" s="61"/>
    </row>
    <row r="462">
      <c r="H462" s="61"/>
      <c r="I462" s="61" t="str">
        <f t="shared" si="1"/>
        <v/>
      </c>
      <c r="J462" s="62"/>
      <c r="K462" s="61"/>
      <c r="L462" s="63"/>
      <c r="M462" s="64"/>
      <c r="N462" s="61"/>
    </row>
    <row r="463">
      <c r="H463" s="61"/>
      <c r="I463" s="61" t="str">
        <f t="shared" si="1"/>
        <v/>
      </c>
      <c r="J463" s="62"/>
      <c r="K463" s="61"/>
      <c r="L463" s="63"/>
      <c r="M463" s="64"/>
      <c r="N463" s="61"/>
    </row>
    <row r="464">
      <c r="H464" s="61"/>
      <c r="I464" s="61" t="str">
        <f t="shared" si="1"/>
        <v/>
      </c>
      <c r="J464" s="62"/>
      <c r="K464" s="61"/>
      <c r="L464" s="63"/>
      <c r="M464" s="64"/>
      <c r="N464" s="61"/>
    </row>
    <row r="465">
      <c r="H465" s="61"/>
      <c r="I465" s="61" t="str">
        <f t="shared" si="1"/>
        <v/>
      </c>
      <c r="J465" s="62"/>
      <c r="K465" s="61"/>
      <c r="L465" s="63"/>
      <c r="M465" s="64"/>
      <c r="N465" s="61"/>
    </row>
    <row r="466">
      <c r="H466" s="61"/>
      <c r="I466" s="61" t="str">
        <f t="shared" si="1"/>
        <v/>
      </c>
      <c r="J466" s="62"/>
      <c r="K466" s="61"/>
      <c r="L466" s="63"/>
      <c r="M466" s="64"/>
      <c r="N466" s="61"/>
    </row>
    <row r="467">
      <c r="H467" s="61"/>
      <c r="I467" s="61" t="str">
        <f t="shared" si="1"/>
        <v/>
      </c>
      <c r="J467" s="62"/>
      <c r="K467" s="61"/>
      <c r="L467" s="63"/>
      <c r="M467" s="64"/>
      <c r="N467" s="61"/>
    </row>
    <row r="468">
      <c r="H468" s="61"/>
      <c r="I468" s="61" t="str">
        <f t="shared" si="1"/>
        <v/>
      </c>
      <c r="J468" s="62"/>
      <c r="K468" s="61"/>
      <c r="L468" s="63"/>
      <c r="M468" s="64"/>
      <c r="N468" s="61"/>
    </row>
    <row r="469">
      <c r="H469" s="61"/>
      <c r="I469" s="61" t="str">
        <f t="shared" si="1"/>
        <v/>
      </c>
      <c r="J469" s="62"/>
      <c r="K469" s="61"/>
      <c r="L469" s="63"/>
      <c r="M469" s="64"/>
      <c r="N469" s="61"/>
    </row>
    <row r="470">
      <c r="H470" s="61"/>
      <c r="I470" s="61" t="str">
        <f t="shared" si="1"/>
        <v/>
      </c>
      <c r="J470" s="62"/>
      <c r="K470" s="61"/>
      <c r="L470" s="63"/>
      <c r="M470" s="64"/>
      <c r="N470" s="61"/>
    </row>
    <row r="471">
      <c r="H471" s="61"/>
      <c r="I471" s="61" t="str">
        <f t="shared" si="1"/>
        <v/>
      </c>
      <c r="J471" s="62"/>
      <c r="K471" s="61"/>
      <c r="L471" s="63"/>
      <c r="M471" s="64"/>
      <c r="N471" s="61"/>
    </row>
    <row r="472">
      <c r="H472" s="61"/>
      <c r="I472" s="61" t="str">
        <f t="shared" si="1"/>
        <v/>
      </c>
      <c r="J472" s="62"/>
      <c r="K472" s="61"/>
      <c r="L472" s="63"/>
      <c r="M472" s="64"/>
      <c r="N472" s="61"/>
    </row>
    <row r="473">
      <c r="H473" s="61"/>
      <c r="I473" s="61" t="str">
        <f t="shared" si="1"/>
        <v/>
      </c>
      <c r="J473" s="62"/>
      <c r="K473" s="61"/>
      <c r="L473" s="63"/>
      <c r="M473" s="64"/>
      <c r="N473" s="61"/>
    </row>
    <row r="474">
      <c r="H474" s="61"/>
      <c r="I474" s="61" t="str">
        <f t="shared" si="1"/>
        <v/>
      </c>
      <c r="J474" s="62"/>
      <c r="K474" s="61"/>
      <c r="L474" s="63"/>
      <c r="M474" s="64"/>
      <c r="N474" s="61"/>
    </row>
    <row r="475">
      <c r="H475" s="61"/>
      <c r="I475" s="61" t="str">
        <f t="shared" si="1"/>
        <v/>
      </c>
      <c r="J475" s="62"/>
      <c r="K475" s="61"/>
      <c r="L475" s="63"/>
      <c r="M475" s="64"/>
      <c r="N475" s="61"/>
    </row>
    <row r="476">
      <c r="H476" s="61"/>
      <c r="I476" s="61" t="str">
        <f t="shared" si="1"/>
        <v/>
      </c>
      <c r="J476" s="62"/>
      <c r="K476" s="61"/>
      <c r="L476" s="63"/>
      <c r="M476" s="64"/>
      <c r="N476" s="61"/>
    </row>
    <row r="477">
      <c r="H477" s="61"/>
      <c r="I477" s="61" t="str">
        <f t="shared" si="1"/>
        <v/>
      </c>
      <c r="J477" s="62"/>
      <c r="K477" s="61"/>
      <c r="L477" s="63"/>
      <c r="M477" s="64"/>
      <c r="N477" s="61"/>
    </row>
    <row r="478">
      <c r="H478" s="61"/>
      <c r="I478" s="61" t="str">
        <f t="shared" si="1"/>
        <v/>
      </c>
      <c r="J478" s="62"/>
      <c r="K478" s="61"/>
      <c r="L478" s="63"/>
      <c r="M478" s="64"/>
      <c r="N478" s="61"/>
    </row>
    <row r="479">
      <c r="H479" s="61"/>
      <c r="I479" s="61" t="str">
        <f t="shared" si="1"/>
        <v/>
      </c>
      <c r="J479" s="62"/>
      <c r="K479" s="61"/>
      <c r="L479" s="63"/>
      <c r="M479" s="64"/>
      <c r="N479" s="61"/>
    </row>
    <row r="480">
      <c r="H480" s="61"/>
      <c r="I480" s="61" t="str">
        <f t="shared" si="1"/>
        <v/>
      </c>
      <c r="J480" s="62"/>
      <c r="K480" s="61"/>
      <c r="L480" s="63"/>
      <c r="M480" s="64"/>
      <c r="N480" s="61"/>
    </row>
    <row r="481">
      <c r="H481" s="61"/>
      <c r="I481" s="61" t="str">
        <f t="shared" si="1"/>
        <v/>
      </c>
      <c r="J481" s="62"/>
      <c r="K481" s="61"/>
      <c r="L481" s="63"/>
      <c r="M481" s="64"/>
      <c r="N481" s="61"/>
    </row>
    <row r="482">
      <c r="H482" s="61"/>
      <c r="I482" s="61" t="str">
        <f t="shared" si="1"/>
        <v/>
      </c>
      <c r="J482" s="62"/>
      <c r="K482" s="61"/>
      <c r="L482" s="63"/>
      <c r="M482" s="64"/>
      <c r="N482" s="61"/>
    </row>
    <row r="483">
      <c r="H483" s="61"/>
      <c r="I483" s="61" t="str">
        <f t="shared" si="1"/>
        <v/>
      </c>
      <c r="J483" s="62"/>
      <c r="K483" s="61"/>
      <c r="L483" s="63"/>
      <c r="M483" s="64"/>
      <c r="N483" s="61"/>
    </row>
    <row r="484">
      <c r="H484" s="61"/>
      <c r="I484" s="61" t="str">
        <f t="shared" si="1"/>
        <v/>
      </c>
      <c r="J484" s="62"/>
      <c r="K484" s="61"/>
      <c r="L484" s="63"/>
      <c r="M484" s="64"/>
      <c r="N484" s="61"/>
    </row>
    <row r="485">
      <c r="H485" s="61"/>
      <c r="I485" s="61" t="str">
        <f t="shared" si="1"/>
        <v/>
      </c>
      <c r="J485" s="62"/>
      <c r="K485" s="61"/>
      <c r="L485" s="63"/>
      <c r="M485" s="64"/>
      <c r="N485" s="61"/>
    </row>
    <row r="486">
      <c r="H486" s="61"/>
      <c r="I486" s="61" t="str">
        <f t="shared" si="1"/>
        <v/>
      </c>
      <c r="J486" s="62"/>
      <c r="K486" s="61"/>
      <c r="L486" s="63"/>
      <c r="M486" s="64"/>
      <c r="N486" s="61"/>
    </row>
    <row r="487">
      <c r="H487" s="61"/>
      <c r="I487" s="61" t="str">
        <f t="shared" si="1"/>
        <v/>
      </c>
      <c r="J487" s="62"/>
      <c r="K487" s="61"/>
      <c r="L487" s="63"/>
      <c r="M487" s="64"/>
      <c r="N487" s="61"/>
    </row>
    <row r="488">
      <c r="H488" s="61"/>
      <c r="I488" s="61" t="str">
        <f t="shared" si="1"/>
        <v/>
      </c>
      <c r="J488" s="62"/>
      <c r="K488" s="61"/>
      <c r="L488" s="63"/>
      <c r="M488" s="64"/>
      <c r="N488" s="61"/>
    </row>
    <row r="489">
      <c r="H489" s="61"/>
      <c r="I489" s="61" t="str">
        <f t="shared" si="1"/>
        <v/>
      </c>
      <c r="J489" s="62"/>
      <c r="K489" s="61"/>
      <c r="L489" s="63"/>
      <c r="M489" s="64"/>
      <c r="N489" s="61"/>
    </row>
    <row r="490">
      <c r="H490" s="61"/>
      <c r="I490" s="61" t="str">
        <f t="shared" si="1"/>
        <v/>
      </c>
      <c r="J490" s="62"/>
      <c r="K490" s="61"/>
      <c r="L490" s="63"/>
      <c r="M490" s="64"/>
      <c r="N490" s="61"/>
    </row>
    <row r="491">
      <c r="H491" s="61"/>
      <c r="I491" s="61" t="str">
        <f t="shared" si="1"/>
        <v/>
      </c>
      <c r="J491" s="62"/>
      <c r="K491" s="61"/>
      <c r="L491" s="63"/>
      <c r="M491" s="64"/>
      <c r="N491" s="61"/>
    </row>
    <row r="492">
      <c r="H492" s="61"/>
      <c r="I492" s="61" t="str">
        <f t="shared" si="1"/>
        <v/>
      </c>
      <c r="J492" s="62"/>
      <c r="K492" s="61"/>
      <c r="L492" s="63"/>
      <c r="M492" s="64"/>
      <c r="N492" s="61"/>
    </row>
    <row r="493">
      <c r="H493" s="61"/>
      <c r="I493" s="61" t="str">
        <f t="shared" si="1"/>
        <v/>
      </c>
      <c r="J493" s="62"/>
      <c r="K493" s="61"/>
      <c r="L493" s="63"/>
      <c r="M493" s="64"/>
      <c r="N493" s="61"/>
    </row>
    <row r="494">
      <c r="H494" s="61"/>
      <c r="I494" s="61" t="str">
        <f t="shared" si="1"/>
        <v/>
      </c>
      <c r="J494" s="62"/>
      <c r="K494" s="61"/>
      <c r="L494" s="63"/>
      <c r="M494" s="64"/>
      <c r="N494" s="61"/>
    </row>
    <row r="495">
      <c r="H495" s="61"/>
      <c r="I495" s="61" t="str">
        <f t="shared" si="1"/>
        <v/>
      </c>
      <c r="J495" s="62"/>
      <c r="K495" s="61"/>
      <c r="L495" s="63"/>
      <c r="M495" s="64"/>
      <c r="N495" s="61"/>
    </row>
    <row r="496">
      <c r="H496" s="61"/>
      <c r="I496" s="61" t="str">
        <f t="shared" si="1"/>
        <v/>
      </c>
      <c r="J496" s="62"/>
      <c r="K496" s="61"/>
      <c r="L496" s="63"/>
      <c r="M496" s="64"/>
      <c r="N496" s="61"/>
    </row>
    <row r="497">
      <c r="H497" s="61"/>
      <c r="I497" s="61" t="str">
        <f t="shared" si="1"/>
        <v/>
      </c>
      <c r="J497" s="62"/>
      <c r="K497" s="61"/>
      <c r="L497" s="63"/>
      <c r="M497" s="64"/>
      <c r="N497" s="61"/>
    </row>
    <row r="498">
      <c r="H498" s="61"/>
      <c r="I498" s="61" t="str">
        <f t="shared" si="1"/>
        <v/>
      </c>
      <c r="J498" s="62"/>
      <c r="K498" s="61"/>
      <c r="L498" s="63"/>
      <c r="M498" s="64"/>
      <c r="N498" s="61"/>
    </row>
    <row r="499">
      <c r="H499" s="61"/>
      <c r="I499" s="61" t="str">
        <f t="shared" si="1"/>
        <v/>
      </c>
      <c r="J499" s="62"/>
      <c r="K499" s="61"/>
      <c r="L499" s="63"/>
      <c r="M499" s="64"/>
      <c r="N499" s="61"/>
    </row>
    <row r="500">
      <c r="H500" s="61"/>
      <c r="I500" s="61" t="str">
        <f t="shared" si="1"/>
        <v/>
      </c>
      <c r="J500" s="62"/>
      <c r="K500" s="61"/>
      <c r="L500" s="63"/>
      <c r="M500" s="64"/>
      <c r="N500" s="61"/>
    </row>
    <row r="501">
      <c r="H501" s="61"/>
      <c r="I501" s="61" t="str">
        <f t="shared" si="1"/>
        <v/>
      </c>
      <c r="J501" s="62"/>
      <c r="K501" s="61"/>
      <c r="L501" s="63"/>
      <c r="M501" s="64"/>
      <c r="N501" s="61"/>
    </row>
    <row r="502">
      <c r="H502" s="61"/>
      <c r="I502" s="61" t="str">
        <f t="shared" si="1"/>
        <v/>
      </c>
      <c r="J502" s="62"/>
      <c r="K502" s="61"/>
      <c r="L502" s="63"/>
      <c r="M502" s="64"/>
      <c r="N502" s="61"/>
    </row>
    <row r="503">
      <c r="H503" s="61"/>
      <c r="I503" s="61" t="str">
        <f t="shared" si="1"/>
        <v/>
      </c>
      <c r="J503" s="62"/>
      <c r="K503" s="61"/>
      <c r="L503" s="63"/>
      <c r="M503" s="64"/>
      <c r="N503" s="61"/>
    </row>
    <row r="504">
      <c r="H504" s="61"/>
      <c r="I504" s="61" t="str">
        <f t="shared" si="1"/>
        <v/>
      </c>
      <c r="J504" s="62"/>
      <c r="K504" s="61"/>
      <c r="L504" s="63"/>
      <c r="M504" s="64"/>
      <c r="N504" s="61"/>
    </row>
    <row r="505">
      <c r="H505" s="61"/>
      <c r="I505" s="61" t="str">
        <f t="shared" si="1"/>
        <v/>
      </c>
      <c r="J505" s="62"/>
      <c r="K505" s="61"/>
      <c r="L505" s="63"/>
      <c r="M505" s="64"/>
      <c r="N505" s="61"/>
    </row>
    <row r="506">
      <c r="H506" s="61"/>
      <c r="I506" s="61" t="str">
        <f t="shared" si="1"/>
        <v/>
      </c>
      <c r="J506" s="62"/>
      <c r="K506" s="61"/>
      <c r="L506" s="63"/>
      <c r="M506" s="64"/>
      <c r="N506" s="61"/>
    </row>
    <row r="507">
      <c r="H507" s="61"/>
      <c r="I507" s="61" t="str">
        <f t="shared" si="1"/>
        <v/>
      </c>
      <c r="J507" s="62"/>
      <c r="K507" s="61"/>
      <c r="L507" s="63"/>
      <c r="M507" s="64"/>
      <c r="N507" s="61"/>
    </row>
    <row r="508">
      <c r="H508" s="61"/>
      <c r="I508" s="61" t="str">
        <f t="shared" si="1"/>
        <v/>
      </c>
      <c r="J508" s="62"/>
      <c r="K508" s="61"/>
      <c r="L508" s="63"/>
      <c r="M508" s="64"/>
      <c r="N508" s="61"/>
    </row>
    <row r="509">
      <c r="H509" s="61"/>
      <c r="I509" s="61" t="str">
        <f t="shared" si="1"/>
        <v/>
      </c>
      <c r="J509" s="62"/>
      <c r="K509" s="61"/>
      <c r="L509" s="63"/>
      <c r="M509" s="64"/>
      <c r="N509" s="61"/>
    </row>
    <row r="510">
      <c r="H510" s="61"/>
      <c r="I510" s="61" t="str">
        <f t="shared" si="1"/>
        <v/>
      </c>
      <c r="J510" s="62"/>
      <c r="K510" s="61"/>
      <c r="L510" s="63"/>
      <c r="M510" s="64"/>
      <c r="N510" s="61"/>
    </row>
    <row r="511">
      <c r="H511" s="61"/>
      <c r="I511" s="61" t="str">
        <f t="shared" si="1"/>
        <v/>
      </c>
      <c r="J511" s="62"/>
      <c r="K511" s="61"/>
      <c r="L511" s="63"/>
      <c r="M511" s="64"/>
      <c r="N511" s="61"/>
    </row>
    <row r="512">
      <c r="H512" s="61"/>
      <c r="I512" s="61" t="str">
        <f t="shared" si="1"/>
        <v/>
      </c>
      <c r="J512" s="62"/>
      <c r="K512" s="61"/>
      <c r="L512" s="63"/>
      <c r="M512" s="64"/>
      <c r="N512" s="61"/>
    </row>
    <row r="513">
      <c r="H513" s="61"/>
      <c r="I513" s="61" t="str">
        <f t="shared" si="1"/>
        <v/>
      </c>
      <c r="J513" s="62"/>
      <c r="K513" s="61"/>
      <c r="L513" s="63"/>
      <c r="M513" s="64"/>
      <c r="N513" s="61"/>
    </row>
    <row r="514">
      <c r="H514" s="61"/>
      <c r="I514" s="61" t="str">
        <f t="shared" si="1"/>
        <v/>
      </c>
      <c r="J514" s="62"/>
      <c r="K514" s="61"/>
      <c r="L514" s="63"/>
      <c r="M514" s="64"/>
      <c r="N514" s="61"/>
    </row>
    <row r="515">
      <c r="H515" s="61"/>
      <c r="I515" s="61" t="str">
        <f t="shared" si="1"/>
        <v/>
      </c>
      <c r="J515" s="62"/>
      <c r="K515" s="61"/>
      <c r="L515" s="63"/>
      <c r="M515" s="64"/>
      <c r="N515" s="61"/>
    </row>
    <row r="516">
      <c r="H516" s="61"/>
      <c r="I516" s="61" t="str">
        <f t="shared" si="1"/>
        <v/>
      </c>
      <c r="J516" s="62"/>
      <c r="K516" s="61"/>
      <c r="L516" s="63"/>
      <c r="M516" s="64"/>
      <c r="N516" s="61"/>
    </row>
    <row r="517">
      <c r="H517" s="61"/>
      <c r="I517" s="61" t="str">
        <f t="shared" si="1"/>
        <v/>
      </c>
      <c r="J517" s="62"/>
      <c r="K517" s="61"/>
      <c r="L517" s="63"/>
      <c r="M517" s="64"/>
      <c r="N517" s="61"/>
    </row>
    <row r="518">
      <c r="H518" s="61"/>
      <c r="I518" s="61" t="str">
        <f t="shared" si="1"/>
        <v/>
      </c>
      <c r="J518" s="62"/>
      <c r="K518" s="61"/>
      <c r="L518" s="63"/>
      <c r="M518" s="64"/>
      <c r="N518" s="61"/>
    </row>
    <row r="519">
      <c r="H519" s="61"/>
      <c r="I519" s="61" t="str">
        <f t="shared" si="1"/>
        <v/>
      </c>
      <c r="J519" s="62"/>
      <c r="K519" s="61"/>
      <c r="L519" s="63"/>
      <c r="M519" s="64"/>
      <c r="N519" s="61"/>
    </row>
    <row r="520">
      <c r="H520" s="61"/>
      <c r="I520" s="61" t="str">
        <f t="shared" si="1"/>
        <v/>
      </c>
      <c r="J520" s="62"/>
      <c r="K520" s="61"/>
      <c r="L520" s="63"/>
      <c r="M520" s="64"/>
      <c r="N520" s="61"/>
    </row>
    <row r="521">
      <c r="H521" s="61"/>
      <c r="I521" s="61" t="str">
        <f t="shared" si="1"/>
        <v/>
      </c>
      <c r="J521" s="62"/>
      <c r="K521" s="61"/>
      <c r="L521" s="63"/>
      <c r="M521" s="64"/>
      <c r="N521" s="61"/>
    </row>
    <row r="522">
      <c r="H522" s="61"/>
      <c r="I522" s="61" t="str">
        <f t="shared" si="1"/>
        <v/>
      </c>
      <c r="J522" s="62"/>
      <c r="K522" s="61"/>
      <c r="L522" s="63"/>
      <c r="M522" s="64"/>
      <c r="N522" s="61"/>
    </row>
    <row r="523">
      <c r="H523" s="61"/>
      <c r="I523" s="61" t="str">
        <f t="shared" si="1"/>
        <v/>
      </c>
      <c r="J523" s="62"/>
      <c r="K523" s="61"/>
      <c r="L523" s="63"/>
      <c r="M523" s="64"/>
      <c r="N523" s="61"/>
    </row>
    <row r="524">
      <c r="H524" s="61"/>
      <c r="I524" s="61" t="str">
        <f t="shared" si="1"/>
        <v/>
      </c>
      <c r="J524" s="62"/>
      <c r="K524" s="61"/>
      <c r="L524" s="63"/>
      <c r="M524" s="64"/>
      <c r="N524" s="61"/>
    </row>
    <row r="525">
      <c r="H525" s="61"/>
      <c r="I525" s="61" t="str">
        <f t="shared" si="1"/>
        <v/>
      </c>
      <c r="J525" s="62"/>
      <c r="K525" s="61"/>
      <c r="L525" s="63"/>
      <c r="M525" s="64"/>
      <c r="N525" s="61"/>
    </row>
    <row r="526">
      <c r="H526" s="61"/>
      <c r="I526" s="61" t="str">
        <f t="shared" si="1"/>
        <v/>
      </c>
      <c r="J526" s="62"/>
      <c r="K526" s="61"/>
      <c r="L526" s="63"/>
      <c r="M526" s="64"/>
      <c r="N526" s="61"/>
    </row>
    <row r="527">
      <c r="H527" s="61"/>
      <c r="I527" s="61" t="str">
        <f t="shared" si="1"/>
        <v/>
      </c>
      <c r="J527" s="62"/>
      <c r="K527" s="61"/>
      <c r="L527" s="63"/>
      <c r="M527" s="64"/>
      <c r="N527" s="61"/>
    </row>
    <row r="528">
      <c r="H528" s="61"/>
      <c r="I528" s="61" t="str">
        <f t="shared" si="1"/>
        <v/>
      </c>
      <c r="J528" s="62"/>
      <c r="K528" s="61"/>
      <c r="L528" s="63"/>
      <c r="M528" s="64"/>
      <c r="N528" s="61"/>
    </row>
    <row r="529">
      <c r="H529" s="61"/>
      <c r="I529" s="61" t="str">
        <f t="shared" si="1"/>
        <v/>
      </c>
      <c r="J529" s="62"/>
      <c r="K529" s="61"/>
      <c r="L529" s="63"/>
      <c r="M529" s="64"/>
      <c r="N529" s="61"/>
    </row>
    <row r="530">
      <c r="H530" s="61"/>
      <c r="I530" s="61" t="str">
        <f t="shared" si="1"/>
        <v/>
      </c>
      <c r="J530" s="62"/>
      <c r="K530" s="61"/>
      <c r="L530" s="63"/>
      <c r="M530" s="64"/>
      <c r="N530" s="61"/>
    </row>
    <row r="531">
      <c r="H531" s="61"/>
      <c r="I531" s="61" t="str">
        <f t="shared" si="1"/>
        <v/>
      </c>
      <c r="J531" s="62"/>
      <c r="K531" s="61"/>
      <c r="L531" s="63"/>
      <c r="M531" s="64"/>
      <c r="N531" s="61"/>
    </row>
    <row r="532">
      <c r="H532" s="61"/>
      <c r="I532" s="61" t="str">
        <f t="shared" si="1"/>
        <v/>
      </c>
      <c r="J532" s="62"/>
      <c r="K532" s="61"/>
      <c r="L532" s="63"/>
      <c r="M532" s="64"/>
      <c r="N532" s="61"/>
    </row>
    <row r="533">
      <c r="H533" s="61"/>
      <c r="I533" s="61" t="str">
        <f t="shared" si="1"/>
        <v/>
      </c>
      <c r="J533" s="62"/>
      <c r="K533" s="61"/>
      <c r="L533" s="63"/>
      <c r="M533" s="64"/>
      <c r="N533" s="61"/>
    </row>
    <row r="534">
      <c r="H534" s="61"/>
      <c r="I534" s="61" t="str">
        <f t="shared" si="1"/>
        <v/>
      </c>
      <c r="J534" s="62"/>
      <c r="K534" s="61"/>
      <c r="L534" s="63"/>
      <c r="M534" s="64"/>
      <c r="N534" s="61"/>
    </row>
    <row r="535">
      <c r="H535" s="61"/>
      <c r="I535" s="61" t="str">
        <f t="shared" si="1"/>
        <v/>
      </c>
      <c r="J535" s="62"/>
      <c r="K535" s="61"/>
      <c r="L535" s="63"/>
      <c r="M535" s="64"/>
      <c r="N535" s="61"/>
    </row>
    <row r="536">
      <c r="H536" s="61"/>
      <c r="I536" s="61" t="str">
        <f t="shared" si="1"/>
        <v/>
      </c>
      <c r="J536" s="62"/>
      <c r="K536" s="61"/>
      <c r="L536" s="63"/>
      <c r="M536" s="64"/>
      <c r="N536" s="61"/>
    </row>
    <row r="537">
      <c r="H537" s="61"/>
      <c r="I537" s="61" t="str">
        <f t="shared" si="1"/>
        <v/>
      </c>
      <c r="J537" s="62"/>
      <c r="K537" s="61"/>
      <c r="L537" s="63"/>
      <c r="M537" s="64"/>
      <c r="N537" s="61"/>
    </row>
    <row r="538">
      <c r="H538" s="61"/>
      <c r="I538" s="61" t="str">
        <f t="shared" si="1"/>
        <v/>
      </c>
      <c r="J538" s="62"/>
      <c r="K538" s="61"/>
      <c r="L538" s="63"/>
      <c r="M538" s="64"/>
      <c r="N538" s="61"/>
    </row>
    <row r="539">
      <c r="H539" s="61"/>
      <c r="I539" s="61" t="str">
        <f t="shared" si="1"/>
        <v/>
      </c>
      <c r="J539" s="62"/>
      <c r="K539" s="61"/>
      <c r="L539" s="63"/>
      <c r="M539" s="64"/>
      <c r="N539" s="61"/>
    </row>
    <row r="540">
      <c r="H540" s="61"/>
      <c r="I540" s="61" t="str">
        <f t="shared" si="1"/>
        <v/>
      </c>
      <c r="J540" s="62"/>
      <c r="K540" s="61"/>
      <c r="L540" s="63"/>
      <c r="M540" s="64"/>
      <c r="N540" s="61"/>
    </row>
    <row r="541">
      <c r="H541" s="61"/>
      <c r="I541" s="61" t="str">
        <f t="shared" si="1"/>
        <v/>
      </c>
      <c r="J541" s="62"/>
      <c r="K541" s="61"/>
      <c r="L541" s="63"/>
      <c r="M541" s="64"/>
      <c r="N541" s="61"/>
    </row>
    <row r="542">
      <c r="H542" s="61"/>
      <c r="I542" s="61" t="str">
        <f t="shared" si="1"/>
        <v/>
      </c>
      <c r="J542" s="62"/>
      <c r="K542" s="61"/>
      <c r="L542" s="63"/>
      <c r="M542" s="64"/>
      <c r="N542" s="61"/>
    </row>
    <row r="543">
      <c r="H543" s="61"/>
      <c r="I543" s="61" t="str">
        <f t="shared" si="1"/>
        <v/>
      </c>
      <c r="J543" s="62"/>
      <c r="K543" s="61"/>
      <c r="L543" s="63"/>
      <c r="M543" s="64"/>
      <c r="N543" s="61"/>
    </row>
    <row r="544">
      <c r="H544" s="61"/>
      <c r="I544" s="61" t="str">
        <f t="shared" si="1"/>
        <v/>
      </c>
      <c r="J544" s="62"/>
      <c r="K544" s="61"/>
      <c r="L544" s="63"/>
      <c r="M544" s="64"/>
      <c r="N544" s="61"/>
    </row>
    <row r="545">
      <c r="H545" s="61"/>
      <c r="I545" s="61" t="str">
        <f t="shared" si="1"/>
        <v/>
      </c>
      <c r="J545" s="62"/>
      <c r="K545" s="61"/>
      <c r="L545" s="63"/>
      <c r="M545" s="64"/>
      <c r="N545" s="61"/>
    </row>
    <row r="546">
      <c r="H546" s="61"/>
      <c r="I546" s="61" t="str">
        <f t="shared" si="1"/>
        <v/>
      </c>
      <c r="J546" s="62"/>
      <c r="K546" s="61"/>
      <c r="L546" s="63"/>
      <c r="M546" s="64"/>
      <c r="N546" s="61"/>
    </row>
    <row r="547">
      <c r="H547" s="61"/>
      <c r="I547" s="61" t="str">
        <f t="shared" si="1"/>
        <v/>
      </c>
      <c r="J547" s="62"/>
      <c r="K547" s="61"/>
      <c r="L547" s="63"/>
      <c r="M547" s="64"/>
      <c r="N547" s="61"/>
    </row>
    <row r="548">
      <c r="H548" s="61"/>
      <c r="I548" s="61" t="str">
        <f t="shared" si="1"/>
        <v/>
      </c>
      <c r="J548" s="62"/>
      <c r="K548" s="61"/>
      <c r="L548" s="63"/>
      <c r="M548" s="64"/>
      <c r="N548" s="61"/>
    </row>
    <row r="549">
      <c r="H549" s="61"/>
      <c r="I549" s="61" t="str">
        <f t="shared" si="1"/>
        <v/>
      </c>
      <c r="J549" s="62"/>
      <c r="K549" s="61"/>
      <c r="L549" s="63"/>
      <c r="M549" s="64"/>
      <c r="N549" s="61"/>
    </row>
    <row r="550">
      <c r="H550" s="61"/>
      <c r="I550" s="61" t="str">
        <f t="shared" si="1"/>
        <v/>
      </c>
      <c r="J550" s="62"/>
      <c r="K550" s="61"/>
      <c r="L550" s="63"/>
      <c r="M550" s="64"/>
      <c r="N550" s="61"/>
    </row>
    <row r="551">
      <c r="H551" s="61"/>
      <c r="I551" s="61" t="str">
        <f t="shared" si="1"/>
        <v/>
      </c>
      <c r="J551" s="62"/>
      <c r="K551" s="61"/>
      <c r="L551" s="63"/>
      <c r="M551" s="64"/>
      <c r="N551" s="61"/>
    </row>
    <row r="552">
      <c r="H552" s="61"/>
      <c r="I552" s="61" t="str">
        <f t="shared" si="1"/>
        <v/>
      </c>
      <c r="J552" s="62"/>
      <c r="K552" s="61"/>
      <c r="L552" s="63"/>
      <c r="M552" s="64"/>
      <c r="N552" s="61"/>
    </row>
    <row r="553">
      <c r="H553" s="61"/>
      <c r="I553" s="61" t="str">
        <f t="shared" si="1"/>
        <v/>
      </c>
      <c r="J553" s="62"/>
      <c r="K553" s="61"/>
      <c r="L553" s="63"/>
      <c r="M553" s="64"/>
      <c r="N553" s="61"/>
    </row>
    <row r="554">
      <c r="H554" s="61"/>
      <c r="I554" s="61" t="str">
        <f t="shared" si="1"/>
        <v/>
      </c>
      <c r="J554" s="62"/>
      <c r="K554" s="61"/>
      <c r="L554" s="63"/>
      <c r="M554" s="64"/>
      <c r="N554" s="61"/>
    </row>
    <row r="555">
      <c r="H555" s="61"/>
      <c r="I555" s="61" t="str">
        <f t="shared" si="1"/>
        <v/>
      </c>
      <c r="J555" s="62"/>
      <c r="K555" s="61"/>
      <c r="L555" s="63"/>
      <c r="M555" s="64"/>
      <c r="N555" s="61"/>
    </row>
    <row r="556">
      <c r="H556" s="61"/>
      <c r="I556" s="61" t="str">
        <f t="shared" si="1"/>
        <v/>
      </c>
      <c r="J556" s="62"/>
      <c r="K556" s="61"/>
      <c r="L556" s="63"/>
      <c r="M556" s="64"/>
      <c r="N556" s="61"/>
    </row>
    <row r="557">
      <c r="H557" s="61"/>
      <c r="I557" s="61" t="str">
        <f t="shared" si="1"/>
        <v/>
      </c>
      <c r="J557" s="62"/>
      <c r="K557" s="61"/>
      <c r="L557" s="63"/>
      <c r="M557" s="64"/>
      <c r="N557" s="61"/>
    </row>
    <row r="558">
      <c r="H558" s="61"/>
      <c r="I558" s="61" t="str">
        <f t="shared" si="1"/>
        <v/>
      </c>
      <c r="J558" s="62"/>
      <c r="K558" s="61"/>
      <c r="L558" s="63"/>
      <c r="M558" s="64"/>
      <c r="N558" s="61"/>
    </row>
    <row r="559">
      <c r="H559" s="61"/>
      <c r="I559" s="61" t="str">
        <f t="shared" si="1"/>
        <v/>
      </c>
      <c r="J559" s="62"/>
      <c r="K559" s="61"/>
      <c r="L559" s="63"/>
      <c r="M559" s="64"/>
      <c r="N559" s="61"/>
    </row>
    <row r="560">
      <c r="H560" s="61"/>
      <c r="I560" s="61" t="str">
        <f t="shared" si="1"/>
        <v/>
      </c>
      <c r="J560" s="62"/>
      <c r="K560" s="61"/>
      <c r="L560" s="63"/>
      <c r="M560" s="64"/>
      <c r="N560" s="61"/>
    </row>
    <row r="561">
      <c r="H561" s="61"/>
      <c r="I561" s="61" t="str">
        <f t="shared" si="1"/>
        <v/>
      </c>
      <c r="J561" s="62"/>
      <c r="K561" s="61"/>
      <c r="L561" s="63"/>
      <c r="M561" s="64"/>
      <c r="N561" s="61"/>
    </row>
    <row r="562">
      <c r="H562" s="61"/>
      <c r="I562" s="61" t="str">
        <f t="shared" si="1"/>
        <v/>
      </c>
      <c r="J562" s="62"/>
      <c r="K562" s="61"/>
      <c r="L562" s="63"/>
      <c r="M562" s="64"/>
      <c r="N562" s="61"/>
    </row>
    <row r="563">
      <c r="H563" s="61"/>
      <c r="I563" s="61" t="str">
        <f t="shared" si="1"/>
        <v/>
      </c>
      <c r="J563" s="62"/>
      <c r="K563" s="61"/>
      <c r="L563" s="63"/>
      <c r="M563" s="64"/>
      <c r="N563" s="61"/>
    </row>
    <row r="564">
      <c r="H564" s="61"/>
      <c r="I564" s="61" t="str">
        <f t="shared" si="1"/>
        <v/>
      </c>
      <c r="J564" s="62"/>
      <c r="K564" s="61"/>
      <c r="L564" s="63"/>
      <c r="M564" s="64"/>
      <c r="N564" s="61"/>
    </row>
    <row r="565">
      <c r="H565" s="61"/>
      <c r="I565" s="61" t="str">
        <f t="shared" si="1"/>
        <v/>
      </c>
      <c r="J565" s="62"/>
      <c r="K565" s="61"/>
      <c r="L565" s="63"/>
      <c r="M565" s="64"/>
      <c r="N565" s="61"/>
    </row>
    <row r="566">
      <c r="H566" s="61"/>
      <c r="I566" s="61" t="str">
        <f t="shared" si="1"/>
        <v/>
      </c>
      <c r="J566" s="62"/>
      <c r="K566" s="61"/>
      <c r="L566" s="63"/>
      <c r="M566" s="64"/>
      <c r="N566" s="61"/>
    </row>
    <row r="567">
      <c r="H567" s="61"/>
      <c r="I567" s="61" t="str">
        <f t="shared" si="1"/>
        <v/>
      </c>
      <c r="J567" s="62"/>
      <c r="K567" s="61"/>
      <c r="L567" s="63"/>
      <c r="M567" s="64"/>
      <c r="N567" s="61"/>
    </row>
    <row r="568">
      <c r="H568" s="61"/>
      <c r="I568" s="61" t="str">
        <f t="shared" si="1"/>
        <v/>
      </c>
      <c r="J568" s="62"/>
      <c r="K568" s="61"/>
      <c r="L568" s="63"/>
      <c r="M568" s="64"/>
      <c r="N568" s="61"/>
    </row>
    <row r="569">
      <c r="H569" s="61"/>
      <c r="I569" s="61" t="str">
        <f t="shared" si="1"/>
        <v/>
      </c>
      <c r="J569" s="62"/>
      <c r="K569" s="61"/>
      <c r="L569" s="63"/>
      <c r="M569" s="64"/>
      <c r="N569" s="61"/>
    </row>
    <row r="570">
      <c r="H570" s="61"/>
      <c r="I570" s="61" t="str">
        <f t="shared" si="1"/>
        <v/>
      </c>
      <c r="J570" s="62"/>
      <c r="K570" s="61"/>
      <c r="L570" s="63"/>
      <c r="M570" s="64"/>
      <c r="N570" s="61"/>
    </row>
    <row r="571">
      <c r="H571" s="61"/>
      <c r="I571" s="61" t="str">
        <f t="shared" si="1"/>
        <v/>
      </c>
      <c r="J571" s="62"/>
      <c r="K571" s="61"/>
      <c r="L571" s="63"/>
      <c r="M571" s="64"/>
      <c r="N571" s="61"/>
    </row>
    <row r="572">
      <c r="H572" s="61"/>
      <c r="I572" s="61" t="str">
        <f t="shared" si="1"/>
        <v/>
      </c>
      <c r="J572" s="62"/>
      <c r="K572" s="61"/>
      <c r="L572" s="63"/>
      <c r="M572" s="64"/>
      <c r="N572" s="61"/>
    </row>
    <row r="573">
      <c r="H573" s="61"/>
      <c r="I573" s="61" t="str">
        <f t="shared" si="1"/>
        <v/>
      </c>
      <c r="J573" s="62"/>
      <c r="K573" s="61"/>
      <c r="L573" s="63"/>
      <c r="M573" s="64"/>
      <c r="N573" s="61"/>
    </row>
    <row r="574">
      <c r="H574" s="61"/>
      <c r="I574" s="61" t="str">
        <f t="shared" si="1"/>
        <v/>
      </c>
      <c r="J574" s="62"/>
      <c r="K574" s="61"/>
      <c r="L574" s="63"/>
      <c r="M574" s="64"/>
      <c r="N574" s="61"/>
    </row>
    <row r="575">
      <c r="H575" s="61"/>
      <c r="I575" s="61" t="str">
        <f t="shared" si="1"/>
        <v/>
      </c>
      <c r="J575" s="62"/>
      <c r="K575" s="61"/>
      <c r="L575" s="63"/>
      <c r="M575" s="64"/>
      <c r="N575" s="61"/>
    </row>
    <row r="576">
      <c r="H576" s="61"/>
      <c r="I576" s="61" t="str">
        <f t="shared" si="1"/>
        <v/>
      </c>
      <c r="J576" s="62"/>
      <c r="K576" s="61"/>
      <c r="L576" s="63"/>
      <c r="M576" s="64"/>
      <c r="N576" s="61"/>
    </row>
    <row r="577">
      <c r="H577" s="61"/>
      <c r="I577" s="61" t="str">
        <f t="shared" si="1"/>
        <v/>
      </c>
      <c r="J577" s="62"/>
      <c r="K577" s="61"/>
      <c r="L577" s="63"/>
      <c r="M577" s="64"/>
      <c r="N577" s="61"/>
    </row>
    <row r="578">
      <c r="H578" s="61"/>
      <c r="I578" s="61" t="str">
        <f t="shared" si="1"/>
        <v/>
      </c>
      <c r="J578" s="62"/>
      <c r="K578" s="61"/>
      <c r="L578" s="63"/>
      <c r="M578" s="64"/>
      <c r="N578" s="61"/>
    </row>
    <row r="579">
      <c r="H579" s="61"/>
      <c r="I579" s="61" t="str">
        <f t="shared" si="1"/>
        <v/>
      </c>
      <c r="J579" s="62"/>
      <c r="K579" s="61"/>
      <c r="L579" s="63"/>
      <c r="M579" s="64"/>
      <c r="N579" s="61"/>
    </row>
    <row r="580">
      <c r="H580" s="61"/>
      <c r="I580" s="61" t="str">
        <f t="shared" si="1"/>
        <v/>
      </c>
      <c r="J580" s="62"/>
      <c r="K580" s="61"/>
      <c r="L580" s="63"/>
      <c r="M580" s="64"/>
      <c r="N580" s="61"/>
    </row>
    <row r="581">
      <c r="H581" s="61"/>
      <c r="I581" s="61" t="str">
        <f t="shared" si="1"/>
        <v/>
      </c>
      <c r="J581" s="62"/>
      <c r="K581" s="61"/>
      <c r="L581" s="63"/>
      <c r="M581" s="64"/>
      <c r="N581" s="61"/>
    </row>
    <row r="582">
      <c r="H582" s="61"/>
      <c r="I582" s="61" t="str">
        <f t="shared" si="1"/>
        <v/>
      </c>
      <c r="J582" s="62"/>
      <c r="K582" s="61"/>
      <c r="L582" s="63"/>
      <c r="M582" s="64"/>
      <c r="N582" s="61"/>
    </row>
    <row r="583">
      <c r="H583" s="61"/>
      <c r="I583" s="61" t="str">
        <f t="shared" si="1"/>
        <v/>
      </c>
      <c r="J583" s="62"/>
      <c r="K583" s="61"/>
      <c r="L583" s="63"/>
      <c r="M583" s="64"/>
      <c r="N583" s="61"/>
    </row>
    <row r="584">
      <c r="H584" s="61"/>
      <c r="I584" s="61" t="str">
        <f t="shared" si="1"/>
        <v/>
      </c>
      <c r="J584" s="62"/>
      <c r="K584" s="61"/>
      <c r="L584" s="63"/>
      <c r="M584" s="64"/>
      <c r="N584" s="61"/>
    </row>
    <row r="585">
      <c r="H585" s="61"/>
      <c r="I585" s="61" t="str">
        <f t="shared" si="1"/>
        <v/>
      </c>
      <c r="J585" s="62"/>
      <c r="K585" s="61"/>
      <c r="L585" s="63"/>
      <c r="M585" s="64"/>
      <c r="N585" s="61"/>
    </row>
    <row r="586">
      <c r="H586" s="61"/>
      <c r="I586" s="61" t="str">
        <f t="shared" si="1"/>
        <v/>
      </c>
      <c r="J586" s="62"/>
      <c r="K586" s="61"/>
      <c r="L586" s="63"/>
      <c r="M586" s="64"/>
      <c r="N586" s="61"/>
    </row>
    <row r="587">
      <c r="H587" s="61"/>
      <c r="I587" s="61" t="str">
        <f t="shared" si="1"/>
        <v/>
      </c>
      <c r="J587" s="62"/>
      <c r="K587" s="61"/>
      <c r="L587" s="63"/>
      <c r="M587" s="64"/>
      <c r="N587" s="61"/>
    </row>
    <row r="588">
      <c r="H588" s="61"/>
      <c r="I588" s="61" t="str">
        <f t="shared" si="1"/>
        <v/>
      </c>
      <c r="J588" s="62"/>
      <c r="K588" s="61"/>
      <c r="L588" s="63"/>
      <c r="M588" s="64"/>
      <c r="N588" s="61"/>
    </row>
    <row r="589">
      <c r="H589" s="61"/>
      <c r="I589" s="61" t="str">
        <f t="shared" si="1"/>
        <v/>
      </c>
      <c r="J589" s="62"/>
      <c r="K589" s="61"/>
      <c r="L589" s="63"/>
      <c r="M589" s="64"/>
      <c r="N589" s="61"/>
    </row>
    <row r="590">
      <c r="H590" s="61"/>
      <c r="I590" s="61" t="str">
        <f t="shared" si="1"/>
        <v/>
      </c>
      <c r="J590" s="62"/>
      <c r="K590" s="61"/>
      <c r="L590" s="63"/>
      <c r="M590" s="64"/>
      <c r="N590" s="61"/>
    </row>
    <row r="591">
      <c r="H591" s="61"/>
      <c r="I591" s="61" t="str">
        <f t="shared" si="1"/>
        <v/>
      </c>
      <c r="J591" s="62"/>
      <c r="K591" s="61"/>
      <c r="L591" s="63"/>
      <c r="M591" s="64"/>
      <c r="N591" s="61"/>
    </row>
    <row r="592">
      <c r="H592" s="61"/>
      <c r="I592" s="61" t="str">
        <f t="shared" si="1"/>
        <v/>
      </c>
      <c r="J592" s="62"/>
      <c r="K592" s="61"/>
      <c r="L592" s="63"/>
      <c r="M592" s="64"/>
      <c r="N592" s="61"/>
    </row>
    <row r="593">
      <c r="H593" s="61"/>
      <c r="I593" s="61" t="str">
        <f t="shared" si="1"/>
        <v/>
      </c>
      <c r="J593" s="62"/>
      <c r="K593" s="61"/>
      <c r="L593" s="63"/>
      <c r="M593" s="64"/>
      <c r="N593" s="61"/>
    </row>
    <row r="594">
      <c r="H594" s="61"/>
      <c r="I594" s="61" t="str">
        <f t="shared" si="1"/>
        <v/>
      </c>
      <c r="J594" s="62"/>
      <c r="K594" s="61"/>
      <c r="L594" s="63"/>
      <c r="M594" s="64"/>
      <c r="N594" s="61"/>
    </row>
    <row r="595">
      <c r="H595" s="61"/>
      <c r="I595" s="61" t="str">
        <f t="shared" si="1"/>
        <v/>
      </c>
      <c r="J595" s="62"/>
      <c r="K595" s="61"/>
      <c r="L595" s="63"/>
      <c r="M595" s="64"/>
      <c r="N595" s="61"/>
    </row>
    <row r="596">
      <c r="H596" s="61"/>
      <c r="I596" s="61" t="str">
        <f t="shared" si="1"/>
        <v/>
      </c>
      <c r="J596" s="62"/>
      <c r="K596" s="61"/>
      <c r="L596" s="63"/>
      <c r="M596" s="64"/>
      <c r="N596" s="61"/>
    </row>
    <row r="597">
      <c r="H597" s="61"/>
      <c r="I597" s="61" t="str">
        <f t="shared" si="1"/>
        <v/>
      </c>
      <c r="J597" s="62"/>
      <c r="K597" s="61"/>
      <c r="L597" s="63"/>
      <c r="M597" s="64"/>
      <c r="N597" s="61"/>
    </row>
    <row r="598">
      <c r="H598" s="61"/>
      <c r="I598" s="61" t="str">
        <f t="shared" si="1"/>
        <v/>
      </c>
      <c r="J598" s="62"/>
      <c r="K598" s="61"/>
      <c r="L598" s="63"/>
      <c r="M598" s="64"/>
      <c r="N598" s="61"/>
    </row>
    <row r="599">
      <c r="H599" s="61"/>
      <c r="I599" s="61" t="str">
        <f t="shared" si="1"/>
        <v/>
      </c>
      <c r="J599" s="62"/>
      <c r="K599" s="61"/>
      <c r="L599" s="63"/>
      <c r="M599" s="64"/>
      <c r="N599" s="61"/>
    </row>
    <row r="600">
      <c r="H600" s="61"/>
      <c r="I600" s="61" t="str">
        <f t="shared" si="1"/>
        <v/>
      </c>
      <c r="J600" s="62"/>
      <c r="K600" s="61"/>
      <c r="L600" s="63"/>
      <c r="M600" s="64"/>
      <c r="N600" s="61"/>
    </row>
    <row r="601">
      <c r="H601" s="61"/>
      <c r="I601" s="61" t="str">
        <f t="shared" si="1"/>
        <v/>
      </c>
      <c r="J601" s="62"/>
      <c r="K601" s="61"/>
      <c r="L601" s="63"/>
      <c r="M601" s="64"/>
      <c r="N601" s="61"/>
    </row>
    <row r="602">
      <c r="H602" s="61"/>
      <c r="I602" s="61" t="str">
        <f t="shared" si="1"/>
        <v/>
      </c>
      <c r="J602" s="62"/>
      <c r="K602" s="61"/>
      <c r="L602" s="63"/>
      <c r="M602" s="64"/>
      <c r="N602" s="61"/>
    </row>
    <row r="603">
      <c r="H603" s="61"/>
      <c r="I603" s="61" t="str">
        <f t="shared" si="1"/>
        <v/>
      </c>
      <c r="J603" s="62"/>
      <c r="K603" s="61"/>
      <c r="L603" s="63"/>
      <c r="M603" s="64"/>
      <c r="N603" s="61"/>
    </row>
    <row r="604">
      <c r="H604" s="61"/>
      <c r="I604" s="61" t="str">
        <f t="shared" si="1"/>
        <v/>
      </c>
      <c r="J604" s="62"/>
      <c r="K604" s="61"/>
      <c r="L604" s="63"/>
      <c r="M604" s="64"/>
      <c r="N604" s="61"/>
    </row>
    <row r="605">
      <c r="H605" s="61"/>
      <c r="I605" s="61" t="str">
        <f t="shared" si="1"/>
        <v/>
      </c>
      <c r="J605" s="62"/>
      <c r="K605" s="61"/>
      <c r="L605" s="63"/>
      <c r="M605" s="64"/>
      <c r="N605" s="61"/>
    </row>
    <row r="606">
      <c r="H606" s="61"/>
      <c r="I606" s="61" t="str">
        <f t="shared" si="1"/>
        <v/>
      </c>
      <c r="J606" s="62"/>
      <c r="K606" s="61"/>
      <c r="L606" s="63"/>
      <c r="M606" s="64"/>
      <c r="N606" s="61"/>
    </row>
    <row r="607">
      <c r="H607" s="61"/>
      <c r="I607" s="61" t="str">
        <f t="shared" si="1"/>
        <v/>
      </c>
      <c r="J607" s="62"/>
      <c r="K607" s="61"/>
      <c r="L607" s="63"/>
      <c r="M607" s="64"/>
      <c r="N607" s="61"/>
    </row>
    <row r="608">
      <c r="H608" s="61"/>
      <c r="I608" s="61" t="str">
        <f t="shared" si="1"/>
        <v/>
      </c>
      <c r="J608" s="62"/>
      <c r="K608" s="61"/>
      <c r="L608" s="63"/>
      <c r="M608" s="64"/>
      <c r="N608" s="61"/>
    </row>
    <row r="609">
      <c r="H609" s="61"/>
      <c r="I609" s="61" t="str">
        <f t="shared" si="1"/>
        <v/>
      </c>
      <c r="J609" s="62"/>
      <c r="K609" s="61"/>
      <c r="L609" s="63"/>
      <c r="M609" s="64"/>
      <c r="N609" s="61"/>
    </row>
    <row r="610">
      <c r="H610" s="61"/>
      <c r="I610" s="61" t="str">
        <f t="shared" si="1"/>
        <v/>
      </c>
      <c r="J610" s="62"/>
      <c r="K610" s="61"/>
      <c r="L610" s="63"/>
      <c r="M610" s="64"/>
      <c r="N610" s="61"/>
    </row>
    <row r="611">
      <c r="H611" s="61"/>
      <c r="I611" s="61" t="str">
        <f t="shared" si="1"/>
        <v/>
      </c>
      <c r="J611" s="62"/>
      <c r="K611" s="61"/>
      <c r="L611" s="63"/>
      <c r="M611" s="64"/>
      <c r="N611" s="61"/>
    </row>
    <row r="612">
      <c r="H612" s="61"/>
      <c r="I612" s="61" t="str">
        <f t="shared" si="1"/>
        <v/>
      </c>
      <c r="J612" s="62"/>
      <c r="K612" s="61"/>
      <c r="L612" s="63"/>
      <c r="M612" s="64"/>
      <c r="N612" s="61"/>
    </row>
    <row r="613">
      <c r="H613" s="61"/>
      <c r="I613" s="61" t="str">
        <f t="shared" si="1"/>
        <v/>
      </c>
      <c r="J613" s="62"/>
      <c r="K613" s="61"/>
      <c r="L613" s="63"/>
      <c r="M613" s="64"/>
      <c r="N613" s="61"/>
    </row>
    <row r="614">
      <c r="H614" s="61"/>
      <c r="I614" s="61" t="str">
        <f t="shared" si="1"/>
        <v/>
      </c>
      <c r="J614" s="62"/>
      <c r="K614" s="61"/>
      <c r="L614" s="63"/>
      <c r="M614" s="64"/>
      <c r="N614" s="61"/>
    </row>
    <row r="615">
      <c r="H615" s="61"/>
      <c r="I615" s="61" t="str">
        <f t="shared" si="1"/>
        <v/>
      </c>
      <c r="J615" s="62"/>
      <c r="K615" s="61"/>
      <c r="L615" s="63"/>
      <c r="M615" s="64"/>
      <c r="N615" s="61"/>
    </row>
    <row r="616">
      <c r="H616" s="61"/>
      <c r="I616" s="61" t="str">
        <f t="shared" si="1"/>
        <v/>
      </c>
      <c r="J616" s="62"/>
      <c r="K616" s="61"/>
      <c r="L616" s="63"/>
      <c r="M616" s="64"/>
      <c r="N616" s="61"/>
    </row>
    <row r="617">
      <c r="H617" s="61"/>
      <c r="I617" s="61" t="str">
        <f t="shared" si="1"/>
        <v/>
      </c>
      <c r="J617" s="62"/>
      <c r="K617" s="61"/>
      <c r="L617" s="63"/>
      <c r="M617" s="64"/>
      <c r="N617" s="61"/>
    </row>
    <row r="618">
      <c r="H618" s="61"/>
      <c r="I618" s="61" t="str">
        <f t="shared" si="1"/>
        <v/>
      </c>
      <c r="J618" s="62"/>
      <c r="K618" s="61"/>
      <c r="L618" s="63"/>
      <c r="M618" s="64"/>
      <c r="N618" s="61"/>
    </row>
    <row r="619">
      <c r="H619" s="61"/>
      <c r="I619" s="61" t="str">
        <f t="shared" si="1"/>
        <v/>
      </c>
      <c r="J619" s="62"/>
      <c r="K619" s="61"/>
      <c r="L619" s="63"/>
      <c r="M619" s="64"/>
      <c r="N619" s="61"/>
    </row>
    <row r="620">
      <c r="H620" s="61"/>
      <c r="I620" s="61" t="str">
        <f t="shared" si="1"/>
        <v/>
      </c>
      <c r="J620" s="62"/>
      <c r="K620" s="61"/>
      <c r="L620" s="63"/>
      <c r="M620" s="64"/>
      <c r="N620" s="61"/>
    </row>
    <row r="621">
      <c r="H621" s="61"/>
      <c r="I621" s="61" t="str">
        <f t="shared" si="1"/>
        <v/>
      </c>
      <c r="J621" s="62"/>
      <c r="K621" s="61"/>
      <c r="L621" s="63"/>
      <c r="M621" s="64"/>
      <c r="N621" s="61"/>
    </row>
    <row r="622">
      <c r="H622" s="61"/>
      <c r="I622" s="61" t="str">
        <f t="shared" si="1"/>
        <v/>
      </c>
      <c r="J622" s="62"/>
      <c r="K622" s="61"/>
      <c r="L622" s="63"/>
      <c r="M622" s="64"/>
      <c r="N622" s="61"/>
    </row>
    <row r="623">
      <c r="H623" s="61"/>
      <c r="I623" s="61" t="str">
        <f t="shared" si="1"/>
        <v/>
      </c>
      <c r="J623" s="62"/>
      <c r="K623" s="61"/>
      <c r="L623" s="63"/>
      <c r="M623" s="64"/>
      <c r="N623" s="61"/>
    </row>
    <row r="624">
      <c r="H624" s="61"/>
      <c r="I624" s="61" t="str">
        <f t="shared" si="1"/>
        <v/>
      </c>
      <c r="J624" s="62"/>
      <c r="K624" s="61"/>
      <c r="L624" s="63"/>
      <c r="M624" s="64"/>
      <c r="N624" s="61"/>
    </row>
    <row r="625">
      <c r="H625" s="61"/>
      <c r="I625" s="61" t="str">
        <f t="shared" si="1"/>
        <v/>
      </c>
      <c r="J625" s="62"/>
      <c r="K625" s="61"/>
      <c r="L625" s="63"/>
      <c r="M625" s="64"/>
      <c r="N625" s="61"/>
    </row>
    <row r="626">
      <c r="H626" s="61"/>
      <c r="I626" s="61" t="str">
        <f t="shared" si="1"/>
        <v/>
      </c>
      <c r="J626" s="62"/>
      <c r="K626" s="61"/>
      <c r="L626" s="63"/>
      <c r="M626" s="64"/>
      <c r="N626" s="61"/>
    </row>
    <row r="627">
      <c r="H627" s="61"/>
      <c r="I627" s="61" t="str">
        <f t="shared" si="1"/>
        <v/>
      </c>
      <c r="J627" s="62"/>
      <c r="K627" s="61"/>
      <c r="L627" s="63"/>
      <c r="M627" s="64"/>
      <c r="N627" s="61"/>
    </row>
    <row r="628">
      <c r="H628" s="61"/>
      <c r="I628" s="61" t="str">
        <f t="shared" si="1"/>
        <v/>
      </c>
      <c r="J628" s="62"/>
      <c r="K628" s="61"/>
      <c r="L628" s="63"/>
      <c r="M628" s="64"/>
      <c r="N628" s="61"/>
    </row>
    <row r="629">
      <c r="H629" s="61"/>
      <c r="I629" s="61" t="str">
        <f t="shared" si="1"/>
        <v/>
      </c>
      <c r="J629" s="62"/>
      <c r="K629" s="61"/>
      <c r="L629" s="63"/>
      <c r="M629" s="64"/>
      <c r="N629" s="61"/>
    </row>
    <row r="630">
      <c r="H630" s="61"/>
      <c r="I630" s="61" t="str">
        <f t="shared" si="1"/>
        <v/>
      </c>
      <c r="J630" s="62"/>
      <c r="K630" s="61"/>
      <c r="L630" s="63"/>
      <c r="M630" s="64"/>
      <c r="N630" s="61"/>
    </row>
    <row r="631">
      <c r="H631" s="61"/>
      <c r="I631" s="61" t="str">
        <f t="shared" si="1"/>
        <v/>
      </c>
      <c r="J631" s="62"/>
      <c r="K631" s="61"/>
      <c r="L631" s="63"/>
      <c r="M631" s="64"/>
      <c r="N631" s="61"/>
    </row>
    <row r="632">
      <c r="H632" s="61"/>
      <c r="I632" s="61" t="str">
        <f t="shared" si="1"/>
        <v/>
      </c>
      <c r="J632" s="62"/>
      <c r="K632" s="61"/>
      <c r="L632" s="63"/>
      <c r="M632" s="64"/>
      <c r="N632" s="61"/>
    </row>
    <row r="633">
      <c r="H633" s="61"/>
      <c r="I633" s="61" t="str">
        <f t="shared" si="1"/>
        <v/>
      </c>
      <c r="J633" s="62"/>
      <c r="K633" s="61"/>
      <c r="L633" s="63"/>
      <c r="M633" s="64"/>
      <c r="N633" s="61"/>
    </row>
    <row r="634">
      <c r="H634" s="61"/>
      <c r="I634" s="61" t="str">
        <f t="shared" si="1"/>
        <v/>
      </c>
      <c r="J634" s="62"/>
      <c r="K634" s="61"/>
      <c r="L634" s="63"/>
      <c r="M634" s="64"/>
      <c r="N634" s="61"/>
    </row>
    <row r="635">
      <c r="H635" s="61"/>
      <c r="I635" s="61" t="str">
        <f t="shared" si="1"/>
        <v/>
      </c>
      <c r="J635" s="62"/>
      <c r="K635" s="61"/>
      <c r="L635" s="63"/>
      <c r="M635" s="64"/>
      <c r="N635" s="61"/>
    </row>
    <row r="636">
      <c r="H636" s="61"/>
      <c r="I636" s="61" t="str">
        <f t="shared" si="1"/>
        <v/>
      </c>
      <c r="J636" s="62"/>
      <c r="K636" s="61"/>
      <c r="L636" s="63"/>
      <c r="M636" s="64"/>
      <c r="N636" s="61"/>
    </row>
    <row r="637">
      <c r="H637" s="61"/>
      <c r="I637" s="61" t="str">
        <f t="shared" si="1"/>
        <v/>
      </c>
      <c r="J637" s="62"/>
      <c r="K637" s="61"/>
      <c r="L637" s="63"/>
      <c r="M637" s="64"/>
      <c r="N637" s="61"/>
    </row>
    <row r="638">
      <c r="H638" s="61"/>
      <c r="I638" s="61" t="str">
        <f t="shared" si="1"/>
        <v/>
      </c>
      <c r="J638" s="62"/>
      <c r="K638" s="61"/>
      <c r="L638" s="63"/>
      <c r="M638" s="64"/>
      <c r="N638" s="61"/>
    </row>
    <row r="639">
      <c r="H639" s="61"/>
      <c r="I639" s="61" t="str">
        <f t="shared" si="1"/>
        <v/>
      </c>
      <c r="J639" s="62"/>
      <c r="K639" s="61"/>
      <c r="L639" s="63"/>
      <c r="M639" s="64"/>
      <c r="N639" s="61"/>
    </row>
    <row r="640">
      <c r="H640" s="61"/>
      <c r="I640" s="61" t="str">
        <f t="shared" si="1"/>
        <v/>
      </c>
      <c r="J640" s="62"/>
      <c r="K640" s="61"/>
      <c r="L640" s="63"/>
      <c r="M640" s="64"/>
      <c r="N640" s="61"/>
    </row>
    <row r="641">
      <c r="H641" s="61"/>
      <c r="I641" s="61" t="str">
        <f t="shared" si="1"/>
        <v/>
      </c>
      <c r="J641" s="62"/>
      <c r="K641" s="61"/>
      <c r="L641" s="63"/>
      <c r="M641" s="64"/>
      <c r="N641" s="61"/>
    </row>
    <row r="642">
      <c r="H642" s="61"/>
      <c r="I642" s="61" t="str">
        <f t="shared" si="1"/>
        <v/>
      </c>
      <c r="J642" s="62"/>
      <c r="K642" s="61"/>
      <c r="L642" s="63"/>
      <c r="M642" s="64"/>
      <c r="N642" s="61"/>
    </row>
    <row r="643">
      <c r="H643" s="61"/>
      <c r="I643" s="61" t="str">
        <f t="shared" si="1"/>
        <v/>
      </c>
      <c r="J643" s="62"/>
      <c r="K643" s="61"/>
      <c r="L643" s="63"/>
      <c r="M643" s="64"/>
      <c r="N643" s="61"/>
    </row>
    <row r="644">
      <c r="H644" s="61"/>
      <c r="I644" s="61" t="str">
        <f t="shared" si="1"/>
        <v/>
      </c>
      <c r="J644" s="62"/>
      <c r="K644" s="61"/>
      <c r="L644" s="63"/>
      <c r="M644" s="64"/>
      <c r="N644" s="61"/>
    </row>
    <row r="645">
      <c r="H645" s="61"/>
      <c r="I645" s="61" t="str">
        <f t="shared" si="1"/>
        <v/>
      </c>
      <c r="J645" s="62"/>
      <c r="K645" s="61"/>
      <c r="L645" s="63"/>
      <c r="M645" s="64"/>
      <c r="N645" s="61"/>
    </row>
    <row r="646">
      <c r="H646" s="61"/>
      <c r="I646" s="61" t="str">
        <f t="shared" si="1"/>
        <v/>
      </c>
      <c r="J646" s="62"/>
      <c r="K646" s="61"/>
      <c r="L646" s="63"/>
      <c r="M646" s="64"/>
      <c r="N646" s="61"/>
    </row>
    <row r="647">
      <c r="H647" s="61"/>
      <c r="I647" s="61" t="str">
        <f t="shared" si="1"/>
        <v/>
      </c>
      <c r="J647" s="62"/>
      <c r="K647" s="61"/>
      <c r="L647" s="63"/>
      <c r="M647" s="64"/>
      <c r="N647" s="61"/>
    </row>
    <row r="648">
      <c r="H648" s="61"/>
      <c r="I648" s="61" t="str">
        <f t="shared" si="1"/>
        <v/>
      </c>
      <c r="J648" s="62"/>
      <c r="K648" s="61"/>
      <c r="L648" s="63"/>
      <c r="M648" s="64"/>
      <c r="N648" s="61"/>
    </row>
    <row r="649">
      <c r="H649" s="61"/>
      <c r="I649" s="61" t="str">
        <f t="shared" si="1"/>
        <v/>
      </c>
      <c r="J649" s="62"/>
      <c r="K649" s="61"/>
      <c r="L649" s="63"/>
      <c r="M649" s="64"/>
      <c r="N649" s="61"/>
    </row>
    <row r="650">
      <c r="H650" s="61"/>
      <c r="I650" s="61" t="str">
        <f t="shared" si="1"/>
        <v/>
      </c>
      <c r="J650" s="62"/>
      <c r="K650" s="61"/>
      <c r="L650" s="63"/>
      <c r="M650" s="64"/>
      <c r="N650" s="61"/>
    </row>
    <row r="651">
      <c r="H651" s="61"/>
      <c r="I651" s="61" t="str">
        <f t="shared" si="1"/>
        <v/>
      </c>
      <c r="J651" s="62"/>
      <c r="K651" s="61"/>
      <c r="L651" s="63"/>
      <c r="M651" s="64"/>
      <c r="N651" s="61"/>
    </row>
    <row r="652">
      <c r="H652" s="61"/>
      <c r="I652" s="61" t="str">
        <f t="shared" si="1"/>
        <v/>
      </c>
      <c r="J652" s="62"/>
      <c r="K652" s="61"/>
      <c r="L652" s="63"/>
      <c r="M652" s="64"/>
      <c r="N652" s="61"/>
    </row>
    <row r="653">
      <c r="H653" s="61"/>
      <c r="I653" s="61" t="str">
        <f t="shared" si="1"/>
        <v/>
      </c>
      <c r="J653" s="62"/>
      <c r="K653" s="61"/>
      <c r="L653" s="63"/>
      <c r="M653" s="64"/>
      <c r="N653" s="61"/>
    </row>
    <row r="654">
      <c r="H654" s="61"/>
      <c r="I654" s="61" t="str">
        <f t="shared" si="1"/>
        <v/>
      </c>
      <c r="J654" s="62"/>
      <c r="K654" s="61"/>
      <c r="L654" s="63"/>
      <c r="M654" s="64"/>
      <c r="N654" s="61"/>
    </row>
    <row r="655">
      <c r="H655" s="61"/>
      <c r="I655" s="61" t="str">
        <f t="shared" si="1"/>
        <v/>
      </c>
      <c r="J655" s="62"/>
      <c r="K655" s="61"/>
      <c r="L655" s="63"/>
      <c r="M655" s="64"/>
      <c r="N655" s="61"/>
    </row>
    <row r="656">
      <c r="H656" s="61"/>
      <c r="I656" s="61" t="str">
        <f t="shared" si="1"/>
        <v/>
      </c>
      <c r="J656" s="62"/>
      <c r="K656" s="61"/>
      <c r="L656" s="63"/>
      <c r="M656" s="64"/>
      <c r="N656" s="61"/>
    </row>
    <row r="657">
      <c r="H657" s="61"/>
      <c r="I657" s="61" t="str">
        <f t="shared" si="1"/>
        <v/>
      </c>
      <c r="J657" s="62"/>
      <c r="K657" s="61"/>
      <c r="L657" s="63"/>
      <c r="M657" s="64"/>
      <c r="N657" s="61"/>
    </row>
    <row r="658">
      <c r="H658" s="61"/>
      <c r="I658" s="61" t="str">
        <f t="shared" si="1"/>
        <v/>
      </c>
      <c r="J658" s="62"/>
      <c r="K658" s="61"/>
      <c r="L658" s="63"/>
      <c r="M658" s="64"/>
      <c r="N658" s="61"/>
    </row>
    <row r="659">
      <c r="H659" s="61"/>
      <c r="I659" s="61" t="str">
        <f t="shared" si="1"/>
        <v/>
      </c>
      <c r="J659" s="62"/>
      <c r="K659" s="61"/>
      <c r="L659" s="63"/>
      <c r="M659" s="64"/>
      <c r="N659" s="61"/>
    </row>
    <row r="660">
      <c r="H660" s="61"/>
      <c r="I660" s="61" t="str">
        <f t="shared" si="1"/>
        <v/>
      </c>
      <c r="J660" s="62"/>
      <c r="K660" s="61"/>
      <c r="L660" s="63"/>
      <c r="M660" s="64"/>
      <c r="N660" s="61"/>
    </row>
    <row r="661">
      <c r="H661" s="61"/>
      <c r="I661" s="61" t="str">
        <f t="shared" si="1"/>
        <v/>
      </c>
      <c r="J661" s="62"/>
      <c r="K661" s="61"/>
      <c r="L661" s="63"/>
      <c r="M661" s="64"/>
      <c r="N661" s="61"/>
    </row>
    <row r="662">
      <c r="H662" s="61"/>
      <c r="I662" s="61" t="str">
        <f t="shared" si="1"/>
        <v/>
      </c>
      <c r="J662" s="62"/>
      <c r="K662" s="61"/>
      <c r="L662" s="63"/>
      <c r="M662" s="64"/>
      <c r="N662" s="61"/>
    </row>
    <row r="663">
      <c r="H663" s="61"/>
      <c r="I663" s="61" t="str">
        <f t="shared" si="1"/>
        <v/>
      </c>
      <c r="J663" s="62"/>
      <c r="K663" s="61"/>
      <c r="L663" s="63"/>
      <c r="M663" s="64"/>
      <c r="N663" s="61"/>
    </row>
    <row r="664">
      <c r="H664" s="61"/>
      <c r="I664" s="61" t="str">
        <f t="shared" si="1"/>
        <v/>
      </c>
      <c r="J664" s="62"/>
      <c r="K664" s="61"/>
      <c r="L664" s="63"/>
      <c r="M664" s="64"/>
      <c r="N664" s="61"/>
    </row>
    <row r="665">
      <c r="H665" s="61"/>
      <c r="I665" s="61" t="str">
        <f t="shared" si="1"/>
        <v/>
      </c>
      <c r="J665" s="62"/>
      <c r="K665" s="61"/>
      <c r="L665" s="63"/>
      <c r="M665" s="64"/>
      <c r="N665" s="61"/>
    </row>
    <row r="666">
      <c r="H666" s="61"/>
      <c r="I666" s="61" t="str">
        <f t="shared" si="1"/>
        <v/>
      </c>
      <c r="J666" s="62"/>
      <c r="K666" s="61"/>
      <c r="L666" s="63"/>
      <c r="M666" s="64"/>
      <c r="N666" s="61"/>
    </row>
    <row r="667">
      <c r="H667" s="61"/>
      <c r="I667" s="61" t="str">
        <f t="shared" si="1"/>
        <v/>
      </c>
      <c r="J667" s="62"/>
      <c r="K667" s="61"/>
      <c r="L667" s="63"/>
      <c r="M667" s="64"/>
      <c r="N667" s="61"/>
    </row>
    <row r="668">
      <c r="H668" s="61"/>
      <c r="I668" s="61" t="str">
        <f t="shared" si="1"/>
        <v/>
      </c>
      <c r="J668" s="62"/>
      <c r="K668" s="61"/>
      <c r="L668" s="63"/>
      <c r="M668" s="64"/>
      <c r="N668" s="61"/>
    </row>
    <row r="669">
      <c r="H669" s="61"/>
      <c r="I669" s="61" t="str">
        <f t="shared" si="1"/>
        <v/>
      </c>
      <c r="J669" s="62"/>
      <c r="K669" s="61"/>
      <c r="L669" s="63"/>
      <c r="M669" s="64"/>
      <c r="N669" s="61"/>
    </row>
    <row r="670">
      <c r="H670" s="61"/>
      <c r="I670" s="61" t="str">
        <f t="shared" si="1"/>
        <v/>
      </c>
      <c r="J670" s="62"/>
      <c r="K670" s="61"/>
      <c r="L670" s="63"/>
      <c r="M670" s="64"/>
      <c r="N670" s="61"/>
    </row>
    <row r="671">
      <c r="H671" s="61"/>
      <c r="I671" s="61" t="str">
        <f t="shared" si="1"/>
        <v/>
      </c>
      <c r="J671" s="62"/>
      <c r="K671" s="61"/>
      <c r="L671" s="63"/>
      <c r="M671" s="64"/>
      <c r="N671" s="61"/>
    </row>
    <row r="672">
      <c r="H672" s="61"/>
      <c r="I672" s="61" t="str">
        <f t="shared" si="1"/>
        <v/>
      </c>
      <c r="J672" s="62"/>
      <c r="K672" s="61"/>
      <c r="L672" s="63"/>
      <c r="M672" s="64"/>
      <c r="N672" s="61"/>
    </row>
    <row r="673">
      <c r="H673" s="61"/>
      <c r="I673" s="61" t="str">
        <f t="shared" si="1"/>
        <v/>
      </c>
      <c r="J673" s="62"/>
      <c r="K673" s="61"/>
      <c r="L673" s="63"/>
      <c r="M673" s="64"/>
      <c r="N673" s="61"/>
    </row>
    <row r="674">
      <c r="H674" s="61"/>
      <c r="I674" s="61" t="str">
        <f t="shared" si="1"/>
        <v/>
      </c>
      <c r="J674" s="62"/>
      <c r="K674" s="61"/>
      <c r="L674" s="63"/>
      <c r="M674" s="64"/>
      <c r="N674" s="61"/>
    </row>
    <row r="675">
      <c r="H675" s="61"/>
      <c r="I675" s="61" t="str">
        <f t="shared" si="1"/>
        <v/>
      </c>
      <c r="J675" s="62"/>
      <c r="K675" s="61"/>
      <c r="L675" s="63"/>
      <c r="M675" s="64"/>
      <c r="N675" s="61"/>
    </row>
    <row r="676">
      <c r="H676" s="61"/>
      <c r="I676" s="61" t="str">
        <f t="shared" si="1"/>
        <v/>
      </c>
      <c r="J676" s="62"/>
      <c r="K676" s="61"/>
      <c r="L676" s="63"/>
      <c r="M676" s="64"/>
      <c r="N676" s="61"/>
    </row>
    <row r="677">
      <c r="H677" s="61"/>
      <c r="I677" s="61" t="str">
        <f t="shared" si="1"/>
        <v/>
      </c>
      <c r="J677" s="62"/>
      <c r="K677" s="61"/>
      <c r="L677" s="63"/>
      <c r="M677" s="64"/>
      <c r="N677" s="61"/>
    </row>
    <row r="678">
      <c r="H678" s="61"/>
      <c r="I678" s="61" t="str">
        <f t="shared" si="1"/>
        <v/>
      </c>
      <c r="J678" s="62"/>
      <c r="K678" s="61"/>
      <c r="L678" s="63"/>
      <c r="M678" s="64"/>
      <c r="N678" s="61"/>
    </row>
    <row r="679">
      <c r="H679" s="61"/>
      <c r="I679" s="61" t="str">
        <f t="shared" si="1"/>
        <v/>
      </c>
      <c r="J679" s="62"/>
      <c r="K679" s="61"/>
      <c r="L679" s="63"/>
      <c r="M679" s="64"/>
      <c r="N679" s="61"/>
    </row>
    <row r="680">
      <c r="H680" s="61"/>
      <c r="I680" s="61" t="str">
        <f t="shared" si="1"/>
        <v/>
      </c>
      <c r="J680" s="62"/>
      <c r="K680" s="61"/>
      <c r="L680" s="63"/>
      <c r="M680" s="64"/>
      <c r="N680" s="61"/>
    </row>
    <row r="681">
      <c r="H681" s="61"/>
      <c r="I681" s="61" t="str">
        <f t="shared" si="1"/>
        <v/>
      </c>
      <c r="J681" s="62"/>
      <c r="K681" s="61"/>
      <c r="L681" s="63"/>
      <c r="M681" s="64"/>
      <c r="N681" s="61"/>
    </row>
    <row r="682">
      <c r="H682" s="61"/>
      <c r="I682" s="61" t="str">
        <f t="shared" si="1"/>
        <v/>
      </c>
      <c r="J682" s="62"/>
      <c r="K682" s="61"/>
      <c r="L682" s="63"/>
      <c r="M682" s="64"/>
      <c r="N682" s="61"/>
    </row>
    <row r="683">
      <c r="H683" s="61"/>
      <c r="I683" s="61" t="str">
        <f t="shared" si="1"/>
        <v/>
      </c>
      <c r="J683" s="62"/>
      <c r="K683" s="61"/>
      <c r="L683" s="63"/>
      <c r="M683" s="64"/>
      <c r="N683" s="61"/>
    </row>
    <row r="684">
      <c r="H684" s="61"/>
      <c r="I684" s="61" t="str">
        <f t="shared" si="1"/>
        <v/>
      </c>
      <c r="J684" s="62"/>
      <c r="K684" s="61"/>
      <c r="L684" s="63"/>
      <c r="M684" s="64"/>
      <c r="N684" s="61"/>
    </row>
    <row r="685">
      <c r="H685" s="61"/>
      <c r="I685" s="61" t="str">
        <f t="shared" si="1"/>
        <v/>
      </c>
      <c r="J685" s="62"/>
      <c r="K685" s="61"/>
      <c r="L685" s="63"/>
      <c r="M685" s="64"/>
      <c r="N685" s="61"/>
    </row>
    <row r="686">
      <c r="H686" s="61"/>
      <c r="I686" s="61" t="str">
        <f t="shared" si="1"/>
        <v/>
      </c>
      <c r="J686" s="62"/>
      <c r="K686" s="61"/>
      <c r="L686" s="63"/>
      <c r="M686" s="64"/>
      <c r="N686" s="61"/>
    </row>
    <row r="687">
      <c r="H687" s="61"/>
      <c r="I687" s="61" t="str">
        <f t="shared" si="1"/>
        <v/>
      </c>
      <c r="J687" s="62"/>
      <c r="K687" s="61"/>
      <c r="L687" s="63"/>
      <c r="M687" s="64"/>
      <c r="N687" s="61"/>
    </row>
    <row r="688">
      <c r="H688" s="61"/>
      <c r="I688" s="61" t="str">
        <f t="shared" si="1"/>
        <v/>
      </c>
      <c r="J688" s="62"/>
      <c r="K688" s="61"/>
      <c r="L688" s="63"/>
      <c r="M688" s="64"/>
      <c r="N688" s="61"/>
    </row>
    <row r="689">
      <c r="H689" s="61"/>
      <c r="I689" s="61" t="str">
        <f t="shared" si="1"/>
        <v/>
      </c>
      <c r="J689" s="62"/>
      <c r="K689" s="61"/>
      <c r="L689" s="63"/>
      <c r="M689" s="64"/>
      <c r="N689" s="61"/>
    </row>
    <row r="690">
      <c r="H690" s="61"/>
      <c r="I690" s="61" t="str">
        <f t="shared" si="1"/>
        <v/>
      </c>
      <c r="J690" s="62"/>
      <c r="K690" s="61"/>
      <c r="L690" s="63"/>
      <c r="M690" s="64"/>
      <c r="N690" s="61"/>
    </row>
    <row r="691">
      <c r="H691" s="61"/>
      <c r="I691" s="61" t="str">
        <f t="shared" si="1"/>
        <v/>
      </c>
      <c r="J691" s="62"/>
      <c r="K691" s="61"/>
      <c r="L691" s="63"/>
      <c r="M691" s="64"/>
      <c r="N691" s="61"/>
    </row>
    <row r="692">
      <c r="H692" s="61"/>
      <c r="I692" s="61" t="str">
        <f t="shared" si="1"/>
        <v/>
      </c>
      <c r="J692" s="62"/>
      <c r="K692" s="61"/>
      <c r="L692" s="63"/>
      <c r="M692" s="64"/>
      <c r="N692" s="61"/>
    </row>
    <row r="693">
      <c r="H693" s="61"/>
      <c r="I693" s="61" t="str">
        <f t="shared" si="1"/>
        <v/>
      </c>
      <c r="J693" s="62"/>
      <c r="K693" s="61"/>
      <c r="L693" s="63"/>
      <c r="M693" s="64"/>
      <c r="N693" s="61"/>
    </row>
    <row r="694">
      <c r="H694" s="61"/>
      <c r="I694" s="61" t="str">
        <f t="shared" si="1"/>
        <v/>
      </c>
      <c r="J694" s="62"/>
      <c r="K694" s="61"/>
      <c r="L694" s="63"/>
      <c r="M694" s="64"/>
      <c r="N694" s="61"/>
    </row>
    <row r="695">
      <c r="H695" s="61"/>
      <c r="I695" s="61" t="str">
        <f t="shared" si="1"/>
        <v/>
      </c>
      <c r="J695" s="62"/>
      <c r="K695" s="61"/>
      <c r="L695" s="63"/>
      <c r="M695" s="64"/>
      <c r="N695" s="61"/>
    </row>
    <row r="696">
      <c r="H696" s="61"/>
      <c r="I696" s="61" t="str">
        <f t="shared" si="1"/>
        <v/>
      </c>
      <c r="J696" s="62"/>
      <c r="K696" s="61"/>
      <c r="L696" s="63"/>
      <c r="M696" s="64"/>
      <c r="N696" s="61"/>
    </row>
    <row r="697">
      <c r="H697" s="61"/>
      <c r="I697" s="61" t="str">
        <f t="shared" si="1"/>
        <v/>
      </c>
      <c r="J697" s="62"/>
      <c r="K697" s="61"/>
      <c r="L697" s="63"/>
      <c r="M697" s="64"/>
      <c r="N697" s="61"/>
    </row>
    <row r="698">
      <c r="H698" s="61"/>
      <c r="I698" s="61" t="str">
        <f t="shared" si="1"/>
        <v/>
      </c>
      <c r="J698" s="62"/>
      <c r="K698" s="61"/>
      <c r="L698" s="63"/>
      <c r="M698" s="64"/>
      <c r="N698" s="61"/>
    </row>
    <row r="699">
      <c r="H699" s="61"/>
      <c r="I699" s="61" t="str">
        <f t="shared" si="1"/>
        <v/>
      </c>
      <c r="J699" s="62"/>
      <c r="K699" s="61"/>
      <c r="L699" s="63"/>
      <c r="M699" s="64"/>
      <c r="N699" s="61"/>
    </row>
    <row r="700">
      <c r="H700" s="61"/>
      <c r="I700" s="61" t="str">
        <f t="shared" si="1"/>
        <v/>
      </c>
      <c r="J700" s="62"/>
      <c r="K700" s="61"/>
      <c r="L700" s="63"/>
      <c r="M700" s="64"/>
      <c r="N700" s="61"/>
    </row>
    <row r="701">
      <c r="H701" s="61"/>
      <c r="I701" s="61" t="str">
        <f t="shared" si="1"/>
        <v/>
      </c>
      <c r="J701" s="62"/>
      <c r="K701" s="61"/>
      <c r="L701" s="63"/>
      <c r="M701" s="64"/>
      <c r="N701" s="61"/>
    </row>
    <row r="702">
      <c r="H702" s="61"/>
      <c r="I702" s="61" t="str">
        <f t="shared" si="1"/>
        <v/>
      </c>
      <c r="J702" s="62"/>
      <c r="K702" s="61"/>
      <c r="L702" s="63"/>
      <c r="M702" s="64"/>
      <c r="N702" s="61"/>
    </row>
    <row r="703">
      <c r="H703" s="61"/>
      <c r="I703" s="61" t="str">
        <f t="shared" si="1"/>
        <v/>
      </c>
      <c r="J703" s="62"/>
      <c r="K703" s="61"/>
      <c r="L703" s="63"/>
      <c r="M703" s="64"/>
      <c r="N703" s="61"/>
    </row>
    <row r="704">
      <c r="H704" s="61"/>
      <c r="I704" s="61" t="str">
        <f t="shared" si="1"/>
        <v/>
      </c>
      <c r="J704" s="62"/>
      <c r="K704" s="61"/>
      <c r="L704" s="63"/>
      <c r="M704" s="64"/>
      <c r="N704" s="61"/>
    </row>
    <row r="705">
      <c r="H705" s="61"/>
      <c r="I705" s="61" t="str">
        <f t="shared" si="1"/>
        <v/>
      </c>
      <c r="J705" s="62"/>
      <c r="K705" s="61"/>
      <c r="L705" s="63"/>
      <c r="M705" s="64"/>
      <c r="N705" s="61"/>
    </row>
    <row r="706">
      <c r="H706" s="61"/>
      <c r="I706" s="61" t="str">
        <f t="shared" si="1"/>
        <v/>
      </c>
      <c r="J706" s="62"/>
      <c r="K706" s="61"/>
      <c r="L706" s="63"/>
      <c r="M706" s="64"/>
      <c r="N706" s="61"/>
    </row>
    <row r="707">
      <c r="H707" s="61"/>
      <c r="I707" s="61" t="str">
        <f t="shared" si="1"/>
        <v/>
      </c>
      <c r="J707" s="62"/>
      <c r="K707" s="61"/>
      <c r="L707" s="63"/>
      <c r="M707" s="64"/>
      <c r="N707" s="61"/>
    </row>
    <row r="708">
      <c r="H708" s="61"/>
      <c r="I708" s="61" t="str">
        <f t="shared" si="1"/>
        <v/>
      </c>
      <c r="J708" s="62"/>
      <c r="K708" s="61"/>
      <c r="L708" s="63"/>
      <c r="M708" s="64"/>
      <c r="N708" s="61"/>
    </row>
    <row r="709">
      <c r="H709" s="61"/>
      <c r="I709" s="61" t="str">
        <f t="shared" si="1"/>
        <v/>
      </c>
      <c r="J709" s="62"/>
      <c r="K709" s="61"/>
      <c r="L709" s="63"/>
      <c r="M709" s="64"/>
      <c r="N709" s="61"/>
    </row>
    <row r="710">
      <c r="H710" s="61"/>
      <c r="I710" s="61" t="str">
        <f t="shared" si="1"/>
        <v/>
      </c>
      <c r="J710" s="62"/>
      <c r="K710" s="61"/>
      <c r="L710" s="63"/>
      <c r="M710" s="64"/>
      <c r="N710" s="61"/>
    </row>
    <row r="711">
      <c r="H711" s="61"/>
      <c r="I711" s="61" t="str">
        <f t="shared" si="1"/>
        <v/>
      </c>
      <c r="J711" s="62"/>
      <c r="K711" s="61"/>
      <c r="L711" s="63"/>
      <c r="M711" s="64"/>
      <c r="N711" s="61"/>
    </row>
    <row r="712">
      <c r="H712" s="61"/>
      <c r="I712" s="61" t="str">
        <f t="shared" si="1"/>
        <v/>
      </c>
      <c r="J712" s="62"/>
      <c r="K712" s="61"/>
      <c r="L712" s="63"/>
      <c r="M712" s="64"/>
      <c r="N712" s="61"/>
    </row>
    <row r="713">
      <c r="H713" s="61"/>
      <c r="I713" s="61" t="str">
        <f t="shared" si="1"/>
        <v/>
      </c>
      <c r="J713" s="62"/>
      <c r="K713" s="61"/>
      <c r="L713" s="63"/>
      <c r="M713" s="64"/>
      <c r="N713" s="61"/>
    </row>
    <row r="714">
      <c r="H714" s="61"/>
      <c r="I714" s="61" t="str">
        <f t="shared" si="1"/>
        <v/>
      </c>
      <c r="J714" s="62"/>
      <c r="K714" s="61"/>
      <c r="L714" s="63"/>
      <c r="M714" s="64"/>
      <c r="N714" s="61"/>
    </row>
    <row r="715">
      <c r="H715" s="61"/>
      <c r="I715" s="61" t="str">
        <f t="shared" si="1"/>
        <v/>
      </c>
      <c r="J715" s="62"/>
      <c r="K715" s="61"/>
      <c r="L715" s="63"/>
      <c r="M715" s="64"/>
      <c r="N715" s="61"/>
    </row>
    <row r="716">
      <c r="H716" s="61"/>
      <c r="I716" s="61" t="str">
        <f t="shared" si="1"/>
        <v/>
      </c>
      <c r="J716" s="62"/>
      <c r="K716" s="61"/>
      <c r="L716" s="63"/>
      <c r="M716" s="64"/>
      <c r="N716" s="61"/>
    </row>
    <row r="717">
      <c r="H717" s="61"/>
      <c r="I717" s="61" t="str">
        <f t="shared" si="1"/>
        <v/>
      </c>
      <c r="J717" s="62"/>
      <c r="K717" s="61"/>
      <c r="L717" s="63"/>
      <c r="M717" s="64"/>
      <c r="N717" s="61"/>
    </row>
    <row r="718">
      <c r="H718" s="61"/>
      <c r="I718" s="61" t="str">
        <f t="shared" si="1"/>
        <v/>
      </c>
      <c r="J718" s="62"/>
      <c r="K718" s="61"/>
      <c r="L718" s="63"/>
      <c r="M718" s="64"/>
      <c r="N718" s="61"/>
    </row>
    <row r="719">
      <c r="H719" s="61"/>
      <c r="I719" s="61" t="str">
        <f t="shared" si="1"/>
        <v/>
      </c>
      <c r="J719" s="62"/>
      <c r="K719" s="61"/>
      <c r="L719" s="63"/>
      <c r="M719" s="64"/>
      <c r="N719" s="61"/>
    </row>
    <row r="720">
      <c r="H720" s="61"/>
      <c r="I720" s="61" t="str">
        <f t="shared" si="1"/>
        <v/>
      </c>
      <c r="J720" s="62"/>
      <c r="K720" s="61"/>
      <c r="L720" s="63"/>
      <c r="M720" s="64"/>
      <c r="N720" s="61"/>
    </row>
    <row r="721">
      <c r="H721" s="61"/>
      <c r="I721" s="61" t="str">
        <f t="shared" si="1"/>
        <v/>
      </c>
      <c r="J721" s="62"/>
      <c r="K721" s="61"/>
      <c r="L721" s="63"/>
      <c r="M721" s="64"/>
      <c r="N721" s="61"/>
    </row>
    <row r="722">
      <c r="H722" s="61"/>
      <c r="I722" s="61" t="str">
        <f t="shared" si="1"/>
        <v/>
      </c>
      <c r="J722" s="62"/>
      <c r="K722" s="61"/>
      <c r="L722" s="63"/>
      <c r="M722" s="64"/>
      <c r="N722" s="61"/>
    </row>
    <row r="723">
      <c r="H723" s="61"/>
      <c r="I723" s="61" t="str">
        <f t="shared" si="1"/>
        <v/>
      </c>
      <c r="J723" s="62"/>
      <c r="K723" s="61"/>
      <c r="L723" s="63"/>
      <c r="M723" s="64"/>
      <c r="N723" s="61"/>
    </row>
    <row r="724">
      <c r="H724" s="61"/>
      <c r="I724" s="61" t="str">
        <f t="shared" si="1"/>
        <v/>
      </c>
      <c r="J724" s="62"/>
      <c r="K724" s="61"/>
      <c r="L724" s="63"/>
      <c r="M724" s="64"/>
      <c r="N724" s="61"/>
    </row>
    <row r="725">
      <c r="H725" s="61"/>
      <c r="I725" s="61" t="str">
        <f t="shared" si="1"/>
        <v/>
      </c>
      <c r="J725" s="62"/>
      <c r="K725" s="61"/>
      <c r="L725" s="63"/>
      <c r="M725" s="64"/>
      <c r="N725" s="61"/>
    </row>
    <row r="726">
      <c r="H726" s="61"/>
      <c r="I726" s="61" t="str">
        <f t="shared" si="1"/>
        <v/>
      </c>
      <c r="J726" s="62"/>
      <c r="K726" s="61"/>
      <c r="L726" s="63"/>
      <c r="M726" s="64"/>
      <c r="N726" s="61"/>
    </row>
    <row r="727">
      <c r="H727" s="61"/>
      <c r="I727" s="61" t="str">
        <f t="shared" si="1"/>
        <v/>
      </c>
      <c r="J727" s="62"/>
      <c r="K727" s="61"/>
      <c r="L727" s="63"/>
      <c r="M727" s="64"/>
      <c r="N727" s="61"/>
    </row>
    <row r="728">
      <c r="H728" s="61"/>
      <c r="I728" s="61" t="str">
        <f t="shared" si="1"/>
        <v/>
      </c>
      <c r="J728" s="62"/>
      <c r="K728" s="61"/>
      <c r="L728" s="63"/>
      <c r="M728" s="64"/>
      <c r="N728" s="61"/>
    </row>
    <row r="729">
      <c r="H729" s="61"/>
      <c r="I729" s="61" t="str">
        <f t="shared" si="1"/>
        <v/>
      </c>
      <c r="J729" s="62"/>
      <c r="K729" s="61"/>
      <c r="L729" s="63"/>
      <c r="M729" s="64"/>
      <c r="N729" s="61"/>
    </row>
    <row r="730">
      <c r="H730" s="61"/>
      <c r="I730" s="61" t="str">
        <f t="shared" si="1"/>
        <v/>
      </c>
      <c r="J730" s="62"/>
      <c r="K730" s="61"/>
      <c r="L730" s="63"/>
      <c r="M730" s="64"/>
      <c r="N730" s="61"/>
    </row>
    <row r="731">
      <c r="H731" s="61"/>
      <c r="I731" s="61" t="str">
        <f t="shared" si="1"/>
        <v/>
      </c>
      <c r="J731" s="62"/>
      <c r="K731" s="61"/>
      <c r="L731" s="63"/>
      <c r="M731" s="64"/>
      <c r="N731" s="61"/>
    </row>
    <row r="732">
      <c r="H732" s="61"/>
      <c r="I732" s="61" t="str">
        <f t="shared" si="1"/>
        <v/>
      </c>
      <c r="J732" s="62"/>
      <c r="K732" s="61"/>
      <c r="L732" s="63"/>
      <c r="M732" s="64"/>
      <c r="N732" s="61"/>
    </row>
    <row r="733">
      <c r="H733" s="61"/>
      <c r="I733" s="61" t="str">
        <f t="shared" si="1"/>
        <v/>
      </c>
      <c r="J733" s="62"/>
      <c r="K733" s="61"/>
      <c r="L733" s="63"/>
      <c r="M733" s="64"/>
      <c r="N733" s="61"/>
    </row>
    <row r="734">
      <c r="H734" s="61"/>
      <c r="I734" s="61" t="str">
        <f t="shared" si="1"/>
        <v/>
      </c>
      <c r="J734" s="62"/>
      <c r="K734" s="61"/>
      <c r="L734" s="63"/>
      <c r="M734" s="64"/>
      <c r="N734" s="61"/>
    </row>
    <row r="735">
      <c r="H735" s="61"/>
      <c r="I735" s="61" t="str">
        <f t="shared" si="1"/>
        <v/>
      </c>
      <c r="J735" s="62"/>
      <c r="K735" s="61"/>
      <c r="L735" s="63"/>
      <c r="M735" s="64"/>
      <c r="N735" s="61"/>
    </row>
    <row r="736">
      <c r="H736" s="61"/>
      <c r="I736" s="61" t="str">
        <f t="shared" si="1"/>
        <v/>
      </c>
      <c r="J736" s="62"/>
      <c r="K736" s="61"/>
      <c r="L736" s="63"/>
      <c r="M736" s="64"/>
      <c r="N736" s="61"/>
    </row>
    <row r="737">
      <c r="H737" s="61"/>
      <c r="I737" s="61" t="str">
        <f t="shared" si="1"/>
        <v/>
      </c>
      <c r="J737" s="62"/>
      <c r="K737" s="61"/>
      <c r="L737" s="63"/>
      <c r="M737" s="64"/>
      <c r="N737" s="61"/>
    </row>
    <row r="738">
      <c r="H738" s="61"/>
      <c r="I738" s="61" t="str">
        <f t="shared" si="1"/>
        <v/>
      </c>
      <c r="J738" s="62"/>
      <c r="K738" s="61"/>
      <c r="L738" s="63"/>
      <c r="M738" s="64"/>
      <c r="N738" s="61"/>
    </row>
    <row r="739">
      <c r="H739" s="61"/>
      <c r="I739" s="61" t="str">
        <f t="shared" si="1"/>
        <v/>
      </c>
      <c r="J739" s="62"/>
      <c r="K739" s="61"/>
      <c r="L739" s="63"/>
      <c r="M739" s="64"/>
      <c r="N739" s="61"/>
    </row>
    <row r="740">
      <c r="H740" s="61"/>
      <c r="I740" s="61" t="str">
        <f t="shared" si="1"/>
        <v/>
      </c>
      <c r="J740" s="62"/>
      <c r="K740" s="61"/>
      <c r="L740" s="63"/>
      <c r="M740" s="64"/>
      <c r="N740" s="61"/>
    </row>
    <row r="741">
      <c r="H741" s="61"/>
      <c r="I741" s="61" t="str">
        <f t="shared" si="1"/>
        <v/>
      </c>
      <c r="J741" s="62"/>
      <c r="K741" s="61"/>
      <c r="L741" s="63"/>
      <c r="M741" s="64"/>
      <c r="N741" s="61"/>
    </row>
    <row r="742">
      <c r="H742" s="61"/>
      <c r="I742" s="61" t="str">
        <f t="shared" si="1"/>
        <v/>
      </c>
      <c r="J742" s="62"/>
      <c r="K742" s="61"/>
      <c r="L742" s="63"/>
      <c r="M742" s="64"/>
      <c r="N742" s="61"/>
    </row>
    <row r="743">
      <c r="H743" s="61"/>
      <c r="I743" s="61" t="str">
        <f t="shared" si="1"/>
        <v/>
      </c>
      <c r="J743" s="62"/>
      <c r="K743" s="61"/>
      <c r="L743" s="63"/>
      <c r="M743" s="64"/>
      <c r="N743" s="61"/>
    </row>
    <row r="744">
      <c r="H744" s="61"/>
      <c r="I744" s="61" t="str">
        <f t="shared" si="1"/>
        <v/>
      </c>
      <c r="J744" s="62"/>
      <c r="K744" s="61"/>
      <c r="L744" s="63"/>
      <c r="M744" s="64"/>
      <c r="N744" s="61"/>
    </row>
    <row r="745">
      <c r="H745" s="61"/>
      <c r="I745" s="61" t="str">
        <f t="shared" si="1"/>
        <v/>
      </c>
      <c r="J745" s="62"/>
      <c r="K745" s="61"/>
      <c r="L745" s="63"/>
      <c r="M745" s="64"/>
      <c r="N745" s="61"/>
    </row>
    <row r="746">
      <c r="H746" s="61"/>
      <c r="I746" s="61" t="str">
        <f t="shared" si="1"/>
        <v/>
      </c>
      <c r="J746" s="62"/>
      <c r="K746" s="61"/>
      <c r="L746" s="63"/>
      <c r="M746" s="64"/>
      <c r="N746" s="61"/>
    </row>
    <row r="747">
      <c r="H747" s="61"/>
      <c r="I747" s="61" t="str">
        <f t="shared" si="1"/>
        <v/>
      </c>
      <c r="J747" s="62"/>
      <c r="K747" s="61"/>
      <c r="L747" s="63"/>
      <c r="M747" s="64"/>
      <c r="N747" s="61"/>
    </row>
    <row r="748">
      <c r="H748" s="61"/>
      <c r="I748" s="61" t="str">
        <f t="shared" si="1"/>
        <v/>
      </c>
      <c r="J748" s="62"/>
      <c r="K748" s="61"/>
      <c r="L748" s="63"/>
      <c r="M748" s="64"/>
      <c r="N748" s="61"/>
    </row>
    <row r="749">
      <c r="H749" s="61"/>
      <c r="I749" s="61" t="str">
        <f t="shared" si="1"/>
        <v/>
      </c>
      <c r="J749" s="62"/>
      <c r="K749" s="61"/>
      <c r="L749" s="63"/>
      <c r="M749" s="64"/>
      <c r="N749" s="61"/>
    </row>
    <row r="750">
      <c r="H750" s="61"/>
      <c r="I750" s="61" t="str">
        <f t="shared" si="1"/>
        <v/>
      </c>
      <c r="J750" s="62"/>
      <c r="K750" s="61"/>
      <c r="L750" s="63"/>
      <c r="M750" s="64"/>
      <c r="N750" s="61"/>
    </row>
    <row r="751">
      <c r="H751" s="61"/>
      <c r="I751" s="61" t="str">
        <f t="shared" si="1"/>
        <v/>
      </c>
      <c r="J751" s="62"/>
      <c r="K751" s="61"/>
      <c r="L751" s="63"/>
      <c r="M751" s="64"/>
      <c r="N751" s="61"/>
    </row>
    <row r="752">
      <c r="H752" s="61"/>
      <c r="I752" s="61" t="str">
        <f t="shared" si="1"/>
        <v/>
      </c>
      <c r="J752" s="62"/>
      <c r="K752" s="61"/>
      <c r="L752" s="63"/>
      <c r="M752" s="64"/>
      <c r="N752" s="61"/>
    </row>
    <row r="753">
      <c r="H753" s="61"/>
      <c r="I753" s="61" t="str">
        <f t="shared" si="1"/>
        <v/>
      </c>
      <c r="J753" s="62"/>
      <c r="K753" s="61"/>
      <c r="L753" s="63"/>
      <c r="M753" s="64"/>
      <c r="N753" s="61"/>
    </row>
    <row r="754">
      <c r="H754" s="61"/>
      <c r="I754" s="61" t="str">
        <f t="shared" si="1"/>
        <v/>
      </c>
      <c r="J754" s="62"/>
      <c r="K754" s="61"/>
      <c r="L754" s="63"/>
      <c r="M754" s="64"/>
      <c r="N754" s="61"/>
    </row>
    <row r="755">
      <c r="H755" s="61"/>
      <c r="I755" s="61" t="str">
        <f t="shared" si="1"/>
        <v/>
      </c>
      <c r="J755" s="62"/>
      <c r="K755" s="61"/>
      <c r="L755" s="63"/>
      <c r="M755" s="64"/>
      <c r="N755" s="61"/>
    </row>
    <row r="756">
      <c r="H756" s="61"/>
      <c r="I756" s="61" t="str">
        <f t="shared" si="1"/>
        <v/>
      </c>
      <c r="J756" s="62"/>
      <c r="K756" s="61"/>
      <c r="L756" s="63"/>
      <c r="M756" s="64"/>
      <c r="N756" s="61"/>
    </row>
    <row r="757">
      <c r="H757" s="61"/>
      <c r="I757" s="61" t="str">
        <f t="shared" si="1"/>
        <v/>
      </c>
      <c r="J757" s="62"/>
      <c r="K757" s="61"/>
      <c r="L757" s="63"/>
      <c r="M757" s="64"/>
      <c r="N757" s="61"/>
    </row>
    <row r="758">
      <c r="H758" s="61"/>
      <c r="I758" s="61" t="str">
        <f t="shared" si="1"/>
        <v/>
      </c>
      <c r="J758" s="62"/>
      <c r="K758" s="61"/>
      <c r="L758" s="63"/>
      <c r="M758" s="64"/>
      <c r="N758" s="61"/>
    </row>
    <row r="759">
      <c r="H759" s="61"/>
      <c r="I759" s="61" t="str">
        <f t="shared" si="1"/>
        <v/>
      </c>
      <c r="J759" s="62"/>
      <c r="K759" s="61"/>
      <c r="L759" s="63"/>
      <c r="M759" s="64"/>
      <c r="N759" s="61"/>
    </row>
    <row r="760">
      <c r="H760" s="61"/>
      <c r="I760" s="61" t="str">
        <f t="shared" si="1"/>
        <v/>
      </c>
      <c r="J760" s="62"/>
      <c r="K760" s="61"/>
      <c r="L760" s="63"/>
      <c r="M760" s="64"/>
      <c r="N760" s="61"/>
    </row>
    <row r="761">
      <c r="H761" s="61"/>
      <c r="I761" s="61" t="str">
        <f t="shared" si="1"/>
        <v/>
      </c>
      <c r="J761" s="62"/>
      <c r="K761" s="61"/>
      <c r="L761" s="63"/>
      <c r="M761" s="64"/>
      <c r="N761" s="61"/>
    </row>
    <row r="762">
      <c r="H762" s="61"/>
      <c r="I762" s="61" t="str">
        <f t="shared" si="1"/>
        <v/>
      </c>
      <c r="J762" s="62"/>
      <c r="K762" s="61"/>
      <c r="L762" s="63"/>
      <c r="M762" s="64"/>
      <c r="N762" s="61"/>
    </row>
    <row r="763">
      <c r="H763" s="61"/>
      <c r="I763" s="61" t="str">
        <f t="shared" si="1"/>
        <v/>
      </c>
      <c r="J763" s="62"/>
      <c r="K763" s="61"/>
      <c r="L763" s="63"/>
      <c r="M763" s="64"/>
      <c r="N763" s="61"/>
    </row>
    <row r="764">
      <c r="H764" s="61"/>
      <c r="I764" s="61" t="str">
        <f t="shared" si="1"/>
        <v/>
      </c>
      <c r="J764" s="62"/>
      <c r="K764" s="61"/>
      <c r="L764" s="63"/>
      <c r="M764" s="64"/>
      <c r="N764" s="61"/>
    </row>
    <row r="765">
      <c r="H765" s="61"/>
      <c r="I765" s="61" t="str">
        <f t="shared" si="1"/>
        <v/>
      </c>
      <c r="J765" s="62"/>
      <c r="K765" s="61"/>
      <c r="L765" s="63"/>
      <c r="M765" s="64"/>
      <c r="N765" s="61"/>
    </row>
    <row r="766">
      <c r="H766" s="61"/>
      <c r="I766" s="61" t="str">
        <f t="shared" si="1"/>
        <v/>
      </c>
      <c r="J766" s="62"/>
      <c r="K766" s="61"/>
      <c r="L766" s="63"/>
      <c r="M766" s="64"/>
      <c r="N766" s="61"/>
    </row>
    <row r="767">
      <c r="H767" s="61"/>
      <c r="I767" s="61" t="str">
        <f t="shared" si="1"/>
        <v/>
      </c>
      <c r="J767" s="62"/>
      <c r="K767" s="61"/>
      <c r="L767" s="63"/>
      <c r="M767" s="64"/>
      <c r="N767" s="61"/>
    </row>
    <row r="768">
      <c r="H768" s="61"/>
      <c r="I768" s="61" t="str">
        <f t="shared" si="1"/>
        <v/>
      </c>
      <c r="J768" s="62"/>
      <c r="K768" s="61"/>
      <c r="L768" s="63"/>
      <c r="M768" s="64"/>
      <c r="N768" s="61"/>
    </row>
    <row r="769">
      <c r="H769" s="61"/>
      <c r="I769" s="61" t="str">
        <f t="shared" si="1"/>
        <v/>
      </c>
      <c r="J769" s="62"/>
      <c r="K769" s="61"/>
      <c r="L769" s="63"/>
      <c r="M769" s="64"/>
      <c r="N769" s="61"/>
    </row>
    <row r="770">
      <c r="H770" s="61"/>
      <c r="I770" s="61" t="str">
        <f t="shared" si="1"/>
        <v/>
      </c>
      <c r="J770" s="62"/>
      <c r="K770" s="61"/>
      <c r="L770" s="63"/>
      <c r="M770" s="64"/>
      <c r="N770" s="61"/>
    </row>
    <row r="771">
      <c r="H771" s="61"/>
      <c r="I771" s="61" t="str">
        <f t="shared" si="1"/>
        <v/>
      </c>
      <c r="J771" s="62"/>
      <c r="K771" s="61"/>
      <c r="L771" s="63"/>
      <c r="M771" s="64"/>
      <c r="N771" s="61"/>
    </row>
    <row r="772">
      <c r="H772" s="61"/>
      <c r="I772" s="61" t="str">
        <f t="shared" si="1"/>
        <v/>
      </c>
      <c r="J772" s="62"/>
      <c r="K772" s="61"/>
      <c r="L772" s="63"/>
      <c r="M772" s="64"/>
      <c r="N772" s="61"/>
    </row>
    <row r="773">
      <c r="H773" s="61"/>
      <c r="I773" s="61" t="str">
        <f t="shared" si="1"/>
        <v/>
      </c>
      <c r="J773" s="62"/>
      <c r="K773" s="61"/>
      <c r="L773" s="63"/>
      <c r="M773" s="64"/>
      <c r="N773" s="61"/>
    </row>
    <row r="774">
      <c r="H774" s="61"/>
      <c r="I774" s="61" t="str">
        <f t="shared" si="1"/>
        <v/>
      </c>
      <c r="J774" s="62"/>
      <c r="K774" s="61"/>
      <c r="L774" s="63"/>
      <c r="M774" s="64"/>
      <c r="N774" s="61"/>
    </row>
    <row r="775">
      <c r="H775" s="61"/>
      <c r="I775" s="61" t="str">
        <f t="shared" si="1"/>
        <v/>
      </c>
      <c r="J775" s="62"/>
      <c r="K775" s="61"/>
      <c r="L775" s="63"/>
      <c r="M775" s="64"/>
      <c r="N775" s="61"/>
    </row>
    <row r="776">
      <c r="H776" s="61"/>
      <c r="I776" s="61" t="str">
        <f t="shared" si="1"/>
        <v/>
      </c>
      <c r="J776" s="62"/>
      <c r="K776" s="61"/>
      <c r="L776" s="63"/>
      <c r="M776" s="64"/>
      <c r="N776" s="61"/>
    </row>
    <row r="777">
      <c r="H777" s="61"/>
      <c r="I777" s="61" t="str">
        <f t="shared" si="1"/>
        <v/>
      </c>
      <c r="J777" s="62"/>
      <c r="K777" s="61"/>
      <c r="L777" s="63"/>
      <c r="M777" s="64"/>
      <c r="N777" s="61"/>
    </row>
    <row r="778">
      <c r="H778" s="61"/>
      <c r="I778" s="61" t="str">
        <f t="shared" si="1"/>
        <v/>
      </c>
      <c r="J778" s="62"/>
      <c r="K778" s="61"/>
      <c r="L778" s="63"/>
      <c r="M778" s="64"/>
      <c r="N778" s="61"/>
    </row>
    <row r="779">
      <c r="H779" s="61"/>
      <c r="I779" s="61" t="str">
        <f t="shared" si="1"/>
        <v/>
      </c>
      <c r="J779" s="62"/>
      <c r="K779" s="61"/>
      <c r="L779" s="63"/>
      <c r="M779" s="64"/>
      <c r="N779" s="61"/>
    </row>
    <row r="780">
      <c r="H780" s="61"/>
      <c r="I780" s="61" t="str">
        <f t="shared" si="1"/>
        <v/>
      </c>
      <c r="J780" s="62"/>
      <c r="K780" s="61"/>
      <c r="L780" s="63"/>
      <c r="M780" s="64"/>
      <c r="N780" s="61"/>
    </row>
    <row r="781">
      <c r="H781" s="61"/>
      <c r="I781" s="61" t="str">
        <f t="shared" si="1"/>
        <v/>
      </c>
      <c r="J781" s="62"/>
      <c r="K781" s="61"/>
      <c r="L781" s="63"/>
      <c r="M781" s="64"/>
      <c r="N781" s="61"/>
    </row>
    <row r="782">
      <c r="H782" s="61"/>
      <c r="I782" s="61" t="str">
        <f t="shared" si="1"/>
        <v/>
      </c>
      <c r="J782" s="62"/>
      <c r="K782" s="61"/>
      <c r="L782" s="63"/>
      <c r="M782" s="64"/>
      <c r="N782" s="61"/>
    </row>
    <row r="783">
      <c r="H783" s="61"/>
      <c r="I783" s="61" t="str">
        <f t="shared" si="1"/>
        <v/>
      </c>
      <c r="J783" s="62"/>
      <c r="K783" s="61"/>
      <c r="L783" s="63"/>
      <c r="M783" s="64"/>
      <c r="N783" s="61"/>
    </row>
    <row r="784">
      <c r="H784" s="61"/>
      <c r="I784" s="61" t="str">
        <f t="shared" si="1"/>
        <v/>
      </c>
      <c r="J784" s="62"/>
      <c r="K784" s="61"/>
      <c r="L784" s="63"/>
      <c r="M784" s="64"/>
      <c r="N784" s="61"/>
    </row>
    <row r="785">
      <c r="H785" s="61"/>
      <c r="I785" s="61" t="str">
        <f t="shared" si="1"/>
        <v/>
      </c>
      <c r="J785" s="62"/>
      <c r="K785" s="61"/>
      <c r="L785" s="63"/>
      <c r="M785" s="64"/>
      <c r="N785" s="61"/>
    </row>
    <row r="786">
      <c r="H786" s="61"/>
      <c r="I786" s="61" t="str">
        <f t="shared" si="1"/>
        <v/>
      </c>
      <c r="J786" s="62"/>
      <c r="K786" s="61"/>
      <c r="L786" s="63"/>
      <c r="M786" s="64"/>
      <c r="N786" s="61"/>
    </row>
    <row r="787">
      <c r="H787" s="61"/>
      <c r="I787" s="61" t="str">
        <f t="shared" si="1"/>
        <v/>
      </c>
      <c r="J787" s="62"/>
      <c r="K787" s="61"/>
      <c r="L787" s="63"/>
      <c r="M787" s="64"/>
      <c r="N787" s="61"/>
    </row>
    <row r="788">
      <c r="H788" s="61"/>
      <c r="I788" s="61" t="str">
        <f t="shared" si="1"/>
        <v/>
      </c>
      <c r="J788" s="62"/>
      <c r="K788" s="61"/>
      <c r="L788" s="63"/>
      <c r="M788" s="64"/>
      <c r="N788" s="61"/>
    </row>
    <row r="789">
      <c r="H789" s="61"/>
      <c r="I789" s="61" t="str">
        <f t="shared" si="1"/>
        <v/>
      </c>
      <c r="J789" s="62"/>
      <c r="K789" s="61"/>
      <c r="L789" s="63"/>
      <c r="M789" s="64"/>
      <c r="N789" s="61"/>
    </row>
    <row r="790">
      <c r="H790" s="61"/>
      <c r="I790" s="61" t="str">
        <f t="shared" si="1"/>
        <v/>
      </c>
      <c r="J790" s="62"/>
      <c r="K790" s="61"/>
      <c r="L790" s="63"/>
      <c r="M790" s="64"/>
      <c r="N790" s="61"/>
    </row>
    <row r="791">
      <c r="H791" s="61"/>
      <c r="I791" s="61" t="str">
        <f t="shared" si="1"/>
        <v/>
      </c>
      <c r="J791" s="62"/>
      <c r="K791" s="61"/>
      <c r="L791" s="63"/>
      <c r="M791" s="64"/>
      <c r="N791" s="61"/>
    </row>
    <row r="792">
      <c r="H792" s="61"/>
      <c r="I792" s="61" t="str">
        <f t="shared" si="1"/>
        <v/>
      </c>
      <c r="J792" s="62"/>
      <c r="K792" s="61"/>
      <c r="L792" s="63"/>
      <c r="M792" s="64"/>
      <c r="N792" s="61"/>
    </row>
    <row r="793">
      <c r="H793" s="61"/>
      <c r="I793" s="61" t="str">
        <f t="shared" si="1"/>
        <v/>
      </c>
      <c r="J793" s="62"/>
      <c r="K793" s="61"/>
      <c r="L793" s="63"/>
      <c r="M793" s="64"/>
      <c r="N793" s="61"/>
    </row>
    <row r="794">
      <c r="H794" s="61"/>
      <c r="I794" s="61" t="str">
        <f t="shared" si="1"/>
        <v/>
      </c>
      <c r="J794" s="62"/>
      <c r="K794" s="61"/>
      <c r="L794" s="63"/>
      <c r="M794" s="64"/>
      <c r="N794" s="61"/>
    </row>
    <row r="795">
      <c r="H795" s="61"/>
      <c r="I795" s="61" t="str">
        <f t="shared" si="1"/>
        <v/>
      </c>
      <c r="J795" s="62"/>
      <c r="K795" s="61"/>
      <c r="L795" s="63"/>
      <c r="M795" s="64"/>
      <c r="N795" s="61"/>
    </row>
    <row r="796">
      <c r="H796" s="61"/>
      <c r="I796" s="61" t="str">
        <f t="shared" si="1"/>
        <v/>
      </c>
      <c r="J796" s="62"/>
      <c r="K796" s="61"/>
      <c r="L796" s="63"/>
      <c r="M796" s="64"/>
      <c r="N796" s="61"/>
    </row>
    <row r="797">
      <c r="H797" s="61"/>
      <c r="I797" s="61" t="str">
        <f t="shared" si="1"/>
        <v/>
      </c>
      <c r="J797" s="62"/>
      <c r="K797" s="61"/>
      <c r="L797" s="63"/>
      <c r="M797" s="64"/>
      <c r="N797" s="61"/>
    </row>
    <row r="798">
      <c r="H798" s="61"/>
      <c r="I798" s="61" t="str">
        <f t="shared" si="1"/>
        <v/>
      </c>
      <c r="J798" s="62"/>
      <c r="K798" s="61"/>
      <c r="L798" s="63"/>
      <c r="M798" s="64"/>
      <c r="N798" s="61"/>
    </row>
    <row r="799">
      <c r="H799" s="61"/>
      <c r="I799" s="61" t="str">
        <f t="shared" si="1"/>
        <v/>
      </c>
      <c r="J799" s="62"/>
      <c r="K799" s="61"/>
      <c r="L799" s="63"/>
      <c r="M799" s="64"/>
      <c r="N799" s="61"/>
    </row>
    <row r="800">
      <c r="H800" s="61"/>
      <c r="I800" s="61" t="str">
        <f t="shared" si="1"/>
        <v/>
      </c>
      <c r="J800" s="62"/>
      <c r="K800" s="61"/>
      <c r="L800" s="63"/>
      <c r="M800" s="64"/>
      <c r="N800" s="61"/>
    </row>
    <row r="801">
      <c r="H801" s="61"/>
      <c r="I801" s="61" t="str">
        <f t="shared" si="1"/>
        <v/>
      </c>
      <c r="J801" s="62"/>
      <c r="K801" s="61"/>
      <c r="L801" s="63"/>
      <c r="M801" s="64"/>
      <c r="N801" s="61"/>
    </row>
    <row r="802">
      <c r="H802" s="61"/>
      <c r="I802" s="61" t="str">
        <f t="shared" si="1"/>
        <v/>
      </c>
      <c r="J802" s="62"/>
      <c r="K802" s="61"/>
      <c r="L802" s="63"/>
      <c r="M802" s="64"/>
      <c r="N802" s="61"/>
    </row>
    <row r="803">
      <c r="H803" s="61"/>
      <c r="I803" s="61" t="str">
        <f t="shared" si="1"/>
        <v/>
      </c>
      <c r="J803" s="62"/>
      <c r="K803" s="61"/>
      <c r="L803" s="63"/>
      <c r="M803" s="64"/>
      <c r="N803" s="61"/>
    </row>
    <row r="804">
      <c r="H804" s="61"/>
      <c r="I804" s="61" t="str">
        <f t="shared" si="1"/>
        <v/>
      </c>
      <c r="J804" s="62"/>
      <c r="K804" s="61"/>
      <c r="L804" s="63"/>
      <c r="M804" s="64"/>
      <c r="N804" s="61"/>
    </row>
    <row r="805">
      <c r="H805" s="61"/>
      <c r="I805" s="61" t="str">
        <f t="shared" si="1"/>
        <v/>
      </c>
      <c r="J805" s="62"/>
      <c r="K805" s="61"/>
      <c r="L805" s="63"/>
      <c r="M805" s="64"/>
      <c r="N805" s="61"/>
    </row>
    <row r="806">
      <c r="H806" s="61"/>
      <c r="I806" s="61" t="str">
        <f t="shared" si="1"/>
        <v/>
      </c>
      <c r="J806" s="62"/>
      <c r="K806" s="61"/>
      <c r="L806" s="63"/>
      <c r="M806" s="64"/>
      <c r="N806" s="61"/>
    </row>
    <row r="807">
      <c r="H807" s="61"/>
      <c r="I807" s="61" t="str">
        <f t="shared" si="1"/>
        <v/>
      </c>
      <c r="J807" s="62"/>
      <c r="K807" s="61"/>
      <c r="L807" s="63"/>
      <c r="M807" s="64"/>
      <c r="N807" s="61"/>
    </row>
    <row r="808">
      <c r="H808" s="61"/>
      <c r="I808" s="61" t="str">
        <f t="shared" si="1"/>
        <v/>
      </c>
      <c r="J808" s="62"/>
      <c r="K808" s="61"/>
      <c r="L808" s="63"/>
      <c r="M808" s="64"/>
      <c r="N808" s="61"/>
    </row>
    <row r="809">
      <c r="H809" s="61"/>
      <c r="I809" s="61" t="str">
        <f t="shared" si="1"/>
        <v/>
      </c>
      <c r="J809" s="62"/>
      <c r="K809" s="61"/>
      <c r="L809" s="63"/>
      <c r="M809" s="64"/>
      <c r="N809" s="61"/>
    </row>
    <row r="810">
      <c r="H810" s="61"/>
      <c r="I810" s="61" t="str">
        <f t="shared" si="1"/>
        <v/>
      </c>
      <c r="J810" s="62"/>
      <c r="K810" s="61"/>
      <c r="L810" s="63"/>
      <c r="M810" s="64"/>
      <c r="N810" s="61"/>
    </row>
    <row r="811">
      <c r="H811" s="61"/>
      <c r="I811" s="61" t="str">
        <f t="shared" si="1"/>
        <v/>
      </c>
      <c r="J811" s="62"/>
      <c r="K811" s="61"/>
      <c r="L811" s="63"/>
      <c r="M811" s="64"/>
      <c r="N811" s="61"/>
    </row>
    <row r="812">
      <c r="H812" s="61"/>
      <c r="I812" s="61" t="str">
        <f t="shared" si="1"/>
        <v/>
      </c>
      <c r="J812" s="62"/>
      <c r="K812" s="61"/>
      <c r="L812" s="63"/>
      <c r="M812" s="64"/>
      <c r="N812" s="61"/>
    </row>
    <row r="813">
      <c r="H813" s="61"/>
      <c r="I813" s="61" t="str">
        <f t="shared" si="1"/>
        <v/>
      </c>
      <c r="J813" s="62"/>
      <c r="K813" s="61"/>
      <c r="L813" s="63"/>
      <c r="M813" s="64"/>
      <c r="N813" s="61"/>
    </row>
    <row r="814">
      <c r="H814" s="61"/>
      <c r="I814" s="61" t="str">
        <f t="shared" si="1"/>
        <v/>
      </c>
      <c r="J814" s="62"/>
      <c r="K814" s="61"/>
      <c r="L814" s="63"/>
      <c r="M814" s="64"/>
      <c r="N814" s="61"/>
    </row>
    <row r="815">
      <c r="H815" s="61"/>
      <c r="I815" s="61" t="str">
        <f t="shared" si="1"/>
        <v/>
      </c>
      <c r="J815" s="62"/>
      <c r="K815" s="61"/>
      <c r="L815" s="63"/>
      <c r="M815" s="64"/>
      <c r="N815" s="61"/>
    </row>
    <row r="816">
      <c r="H816" s="61"/>
      <c r="I816" s="61" t="str">
        <f t="shared" si="1"/>
        <v/>
      </c>
      <c r="J816" s="62"/>
      <c r="K816" s="61"/>
      <c r="L816" s="63"/>
      <c r="M816" s="64"/>
      <c r="N816" s="61"/>
    </row>
    <row r="817">
      <c r="H817" s="61"/>
      <c r="I817" s="61" t="str">
        <f t="shared" si="1"/>
        <v/>
      </c>
      <c r="J817" s="62"/>
      <c r="K817" s="61"/>
      <c r="L817" s="63"/>
      <c r="M817" s="64"/>
      <c r="N817" s="61"/>
    </row>
    <row r="818">
      <c r="H818" s="61"/>
      <c r="I818" s="61" t="str">
        <f t="shared" si="1"/>
        <v/>
      </c>
      <c r="J818" s="62"/>
      <c r="K818" s="61"/>
      <c r="L818" s="63"/>
      <c r="M818" s="64"/>
      <c r="N818" s="61"/>
    </row>
    <row r="819">
      <c r="H819" s="61"/>
      <c r="I819" s="61" t="str">
        <f t="shared" si="1"/>
        <v/>
      </c>
      <c r="J819" s="62"/>
      <c r="K819" s="61"/>
      <c r="L819" s="63"/>
      <c r="M819" s="64"/>
      <c r="N819" s="61"/>
    </row>
    <row r="820">
      <c r="H820" s="61"/>
      <c r="I820" s="61" t="str">
        <f t="shared" si="1"/>
        <v/>
      </c>
      <c r="J820" s="62"/>
      <c r="K820" s="61"/>
      <c r="L820" s="63"/>
      <c r="M820" s="64"/>
      <c r="N820" s="61"/>
    </row>
    <row r="821">
      <c r="H821" s="61"/>
      <c r="I821" s="61" t="str">
        <f t="shared" si="1"/>
        <v/>
      </c>
      <c r="J821" s="62"/>
      <c r="K821" s="61"/>
      <c r="L821" s="63"/>
      <c r="M821" s="64"/>
      <c r="N821" s="61"/>
    </row>
    <row r="822">
      <c r="H822" s="61"/>
      <c r="I822" s="61" t="str">
        <f t="shared" si="1"/>
        <v/>
      </c>
      <c r="J822" s="62"/>
      <c r="K822" s="61"/>
      <c r="L822" s="63"/>
      <c r="M822" s="64"/>
      <c r="N822" s="61"/>
    </row>
    <row r="823">
      <c r="H823" s="61"/>
      <c r="I823" s="61" t="str">
        <f t="shared" si="1"/>
        <v/>
      </c>
      <c r="J823" s="62"/>
      <c r="K823" s="61"/>
      <c r="L823" s="63"/>
      <c r="M823" s="64"/>
      <c r="N823" s="61"/>
    </row>
    <row r="824">
      <c r="H824" s="61"/>
      <c r="I824" s="61" t="str">
        <f t="shared" si="1"/>
        <v/>
      </c>
      <c r="J824" s="62"/>
      <c r="K824" s="61"/>
      <c r="L824" s="63"/>
      <c r="M824" s="64"/>
      <c r="N824" s="61"/>
    </row>
    <row r="825">
      <c r="H825" s="61"/>
      <c r="I825" s="61" t="str">
        <f t="shared" si="1"/>
        <v/>
      </c>
      <c r="J825" s="62"/>
      <c r="K825" s="61"/>
      <c r="L825" s="63"/>
      <c r="M825" s="64"/>
      <c r="N825" s="61"/>
    </row>
    <row r="826">
      <c r="H826" s="61"/>
      <c r="I826" s="61" t="str">
        <f t="shared" si="1"/>
        <v/>
      </c>
      <c r="J826" s="62"/>
      <c r="K826" s="61"/>
      <c r="L826" s="63"/>
      <c r="M826" s="64"/>
      <c r="N826" s="61"/>
    </row>
    <row r="827">
      <c r="H827" s="61"/>
      <c r="I827" s="61" t="str">
        <f t="shared" si="1"/>
        <v/>
      </c>
      <c r="J827" s="62"/>
      <c r="K827" s="61"/>
      <c r="L827" s="63"/>
      <c r="M827" s="64"/>
      <c r="N827" s="61"/>
    </row>
    <row r="828">
      <c r="H828" s="61"/>
      <c r="I828" s="61" t="str">
        <f t="shared" si="1"/>
        <v/>
      </c>
      <c r="J828" s="62"/>
      <c r="K828" s="61"/>
      <c r="L828" s="63"/>
      <c r="M828" s="64"/>
      <c r="N828" s="61"/>
    </row>
    <row r="829">
      <c r="H829" s="61"/>
      <c r="I829" s="61" t="str">
        <f t="shared" si="1"/>
        <v/>
      </c>
      <c r="J829" s="62"/>
      <c r="K829" s="61"/>
      <c r="L829" s="63"/>
      <c r="M829" s="64"/>
      <c r="N829" s="61"/>
    </row>
    <row r="830">
      <c r="H830" s="61"/>
      <c r="I830" s="61" t="str">
        <f t="shared" si="1"/>
        <v/>
      </c>
      <c r="J830" s="62"/>
      <c r="K830" s="61"/>
      <c r="L830" s="63"/>
      <c r="M830" s="64"/>
      <c r="N830" s="61"/>
    </row>
    <row r="831">
      <c r="H831" s="61"/>
      <c r="I831" s="61" t="str">
        <f t="shared" si="1"/>
        <v/>
      </c>
      <c r="J831" s="62"/>
      <c r="K831" s="61"/>
      <c r="L831" s="63"/>
      <c r="M831" s="64"/>
      <c r="N831" s="61"/>
    </row>
    <row r="832">
      <c r="H832" s="61"/>
      <c r="I832" s="61" t="str">
        <f t="shared" si="1"/>
        <v/>
      </c>
      <c r="J832" s="62"/>
      <c r="K832" s="61"/>
      <c r="L832" s="63"/>
      <c r="M832" s="64"/>
      <c r="N832" s="61"/>
    </row>
    <row r="833">
      <c r="H833" s="61"/>
      <c r="I833" s="61" t="str">
        <f t="shared" si="1"/>
        <v/>
      </c>
      <c r="J833" s="62"/>
      <c r="K833" s="61"/>
      <c r="L833" s="63"/>
      <c r="M833" s="64"/>
      <c r="N833" s="61"/>
    </row>
    <row r="834">
      <c r="H834" s="61"/>
      <c r="I834" s="61" t="str">
        <f t="shared" si="1"/>
        <v/>
      </c>
      <c r="J834" s="62"/>
      <c r="K834" s="61"/>
      <c r="L834" s="63"/>
      <c r="M834" s="64"/>
      <c r="N834" s="61"/>
    </row>
    <row r="835">
      <c r="H835" s="61"/>
      <c r="I835" s="61" t="str">
        <f t="shared" si="1"/>
        <v/>
      </c>
      <c r="J835" s="62"/>
      <c r="K835" s="61"/>
      <c r="L835" s="63"/>
      <c r="M835" s="64"/>
      <c r="N835" s="61"/>
    </row>
    <row r="836">
      <c r="H836" s="61"/>
      <c r="I836" s="61" t="str">
        <f t="shared" si="1"/>
        <v/>
      </c>
      <c r="J836" s="62"/>
      <c r="K836" s="61"/>
      <c r="L836" s="63"/>
      <c r="M836" s="64"/>
      <c r="N836" s="61"/>
    </row>
    <row r="837">
      <c r="H837" s="61"/>
      <c r="I837" s="61" t="str">
        <f t="shared" si="1"/>
        <v/>
      </c>
      <c r="J837" s="62"/>
      <c r="K837" s="61"/>
      <c r="L837" s="63"/>
      <c r="M837" s="64"/>
      <c r="N837" s="61"/>
    </row>
    <row r="838">
      <c r="H838" s="61"/>
      <c r="I838" s="61" t="str">
        <f t="shared" si="1"/>
        <v/>
      </c>
      <c r="J838" s="62"/>
      <c r="K838" s="61"/>
      <c r="L838" s="63"/>
      <c r="M838" s="64"/>
      <c r="N838" s="61"/>
    </row>
    <row r="839">
      <c r="H839" s="61"/>
      <c r="I839" s="61" t="str">
        <f t="shared" si="1"/>
        <v/>
      </c>
      <c r="J839" s="62"/>
      <c r="K839" s="61"/>
      <c r="L839" s="63"/>
      <c r="M839" s="64"/>
      <c r="N839" s="61"/>
    </row>
    <row r="840">
      <c r="H840" s="61"/>
      <c r="I840" s="61" t="str">
        <f t="shared" si="1"/>
        <v/>
      </c>
      <c r="J840" s="62"/>
      <c r="K840" s="61"/>
      <c r="L840" s="63"/>
      <c r="M840" s="64"/>
      <c r="N840" s="61"/>
    </row>
    <row r="841">
      <c r="H841" s="61"/>
      <c r="I841" s="61" t="str">
        <f t="shared" si="1"/>
        <v/>
      </c>
      <c r="J841" s="62"/>
      <c r="K841" s="61"/>
      <c r="L841" s="63"/>
      <c r="M841" s="64"/>
      <c r="N841" s="61"/>
    </row>
    <row r="842">
      <c r="H842" s="61"/>
      <c r="I842" s="61" t="str">
        <f t="shared" si="1"/>
        <v/>
      </c>
      <c r="J842" s="62"/>
      <c r="K842" s="61"/>
      <c r="L842" s="63"/>
      <c r="M842" s="64"/>
      <c r="N842" s="61"/>
    </row>
    <row r="843">
      <c r="H843" s="61"/>
      <c r="I843" s="61" t="str">
        <f t="shared" si="1"/>
        <v/>
      </c>
      <c r="J843" s="62"/>
      <c r="K843" s="61"/>
      <c r="L843" s="63"/>
      <c r="M843" s="64"/>
      <c r="N843" s="61"/>
    </row>
    <row r="844">
      <c r="H844" s="61"/>
      <c r="I844" s="61" t="str">
        <f t="shared" si="1"/>
        <v/>
      </c>
      <c r="J844" s="62"/>
      <c r="K844" s="61"/>
      <c r="L844" s="63"/>
      <c r="M844" s="64"/>
      <c r="N844" s="61"/>
    </row>
    <row r="845">
      <c r="H845" s="61"/>
      <c r="I845" s="61" t="str">
        <f t="shared" si="1"/>
        <v/>
      </c>
      <c r="J845" s="62"/>
      <c r="K845" s="61"/>
      <c r="L845" s="63"/>
      <c r="M845" s="64"/>
      <c r="N845" s="61"/>
    </row>
    <row r="846">
      <c r="H846" s="61"/>
      <c r="I846" s="61" t="str">
        <f t="shared" si="1"/>
        <v/>
      </c>
      <c r="J846" s="62"/>
      <c r="K846" s="61"/>
      <c r="L846" s="63"/>
      <c r="M846" s="64"/>
      <c r="N846" s="61"/>
    </row>
    <row r="847">
      <c r="H847" s="61"/>
      <c r="I847" s="61" t="str">
        <f t="shared" si="1"/>
        <v/>
      </c>
      <c r="J847" s="62"/>
      <c r="K847" s="61"/>
      <c r="L847" s="63"/>
      <c r="M847" s="64"/>
      <c r="N847" s="61"/>
    </row>
    <row r="848">
      <c r="H848" s="61"/>
      <c r="I848" s="61" t="str">
        <f t="shared" si="1"/>
        <v/>
      </c>
      <c r="J848" s="62"/>
      <c r="K848" s="61"/>
      <c r="L848" s="63"/>
      <c r="M848" s="64"/>
      <c r="N848" s="61"/>
    </row>
    <row r="849">
      <c r="H849" s="61"/>
      <c r="I849" s="61" t="str">
        <f t="shared" si="1"/>
        <v/>
      </c>
      <c r="J849" s="62"/>
      <c r="K849" s="61"/>
      <c r="L849" s="63"/>
      <c r="M849" s="64"/>
      <c r="N849" s="61"/>
    </row>
    <row r="850">
      <c r="H850" s="61"/>
      <c r="I850" s="61" t="str">
        <f t="shared" si="1"/>
        <v/>
      </c>
      <c r="J850" s="62"/>
      <c r="K850" s="61"/>
      <c r="L850" s="63"/>
      <c r="M850" s="64"/>
      <c r="N850" s="61"/>
    </row>
    <row r="851">
      <c r="H851" s="61"/>
      <c r="I851" s="61" t="str">
        <f t="shared" si="1"/>
        <v/>
      </c>
      <c r="J851" s="62"/>
      <c r="K851" s="61"/>
      <c r="L851" s="63"/>
      <c r="M851" s="64"/>
      <c r="N851" s="61"/>
    </row>
    <row r="852">
      <c r="H852" s="61"/>
      <c r="I852" s="61" t="str">
        <f t="shared" si="1"/>
        <v/>
      </c>
      <c r="J852" s="62"/>
      <c r="K852" s="61"/>
      <c r="L852" s="63"/>
      <c r="M852" s="64"/>
      <c r="N852" s="61"/>
    </row>
    <row r="853">
      <c r="H853" s="61"/>
      <c r="I853" s="61" t="str">
        <f t="shared" si="1"/>
        <v/>
      </c>
      <c r="J853" s="62"/>
      <c r="K853" s="61"/>
      <c r="L853" s="63"/>
      <c r="M853" s="64"/>
      <c r="N853" s="61"/>
    </row>
    <row r="854">
      <c r="H854" s="61"/>
      <c r="I854" s="61" t="str">
        <f t="shared" si="1"/>
        <v/>
      </c>
      <c r="J854" s="62"/>
      <c r="K854" s="61"/>
      <c r="L854" s="63"/>
      <c r="M854" s="64"/>
      <c r="N854" s="61"/>
    </row>
    <row r="855">
      <c r="H855" s="61"/>
      <c r="I855" s="61" t="str">
        <f t="shared" si="1"/>
        <v/>
      </c>
      <c r="J855" s="62"/>
      <c r="K855" s="61"/>
      <c r="L855" s="63"/>
      <c r="M855" s="64"/>
      <c r="N855" s="61"/>
    </row>
    <row r="856">
      <c r="H856" s="61"/>
      <c r="I856" s="61" t="str">
        <f t="shared" si="1"/>
        <v/>
      </c>
      <c r="J856" s="62"/>
      <c r="K856" s="61"/>
      <c r="L856" s="63"/>
      <c r="M856" s="64"/>
      <c r="N856" s="61"/>
    </row>
    <row r="857">
      <c r="H857" s="61"/>
      <c r="I857" s="61" t="str">
        <f t="shared" si="1"/>
        <v/>
      </c>
      <c r="J857" s="62"/>
      <c r="K857" s="61"/>
      <c r="L857" s="63"/>
      <c r="M857" s="64"/>
      <c r="N857" s="61"/>
    </row>
    <row r="858">
      <c r="H858" s="61"/>
      <c r="I858" s="61" t="str">
        <f t="shared" si="1"/>
        <v/>
      </c>
      <c r="J858" s="62"/>
      <c r="K858" s="61"/>
      <c r="L858" s="63"/>
      <c r="M858" s="64"/>
      <c r="N858" s="61"/>
    </row>
    <row r="859">
      <c r="H859" s="61"/>
      <c r="I859" s="61" t="str">
        <f t="shared" si="1"/>
        <v/>
      </c>
      <c r="J859" s="62"/>
      <c r="K859" s="61"/>
      <c r="L859" s="63"/>
      <c r="M859" s="64"/>
      <c r="N859" s="61"/>
    </row>
    <row r="860">
      <c r="H860" s="61"/>
      <c r="I860" s="61" t="str">
        <f t="shared" si="1"/>
        <v/>
      </c>
      <c r="J860" s="62"/>
      <c r="K860" s="61"/>
      <c r="L860" s="63"/>
      <c r="M860" s="64"/>
      <c r="N860" s="61"/>
    </row>
    <row r="861">
      <c r="H861" s="61"/>
      <c r="I861" s="61" t="str">
        <f t="shared" si="1"/>
        <v/>
      </c>
      <c r="J861" s="62"/>
      <c r="K861" s="61"/>
      <c r="L861" s="63"/>
      <c r="M861" s="64"/>
      <c r="N861" s="61"/>
    </row>
    <row r="862">
      <c r="H862" s="61"/>
      <c r="I862" s="61" t="str">
        <f t="shared" si="1"/>
        <v/>
      </c>
      <c r="J862" s="62"/>
      <c r="K862" s="61"/>
      <c r="L862" s="63"/>
      <c r="M862" s="64"/>
      <c r="N862" s="61"/>
    </row>
    <row r="863">
      <c r="H863" s="61"/>
      <c r="I863" s="61" t="str">
        <f t="shared" si="1"/>
        <v/>
      </c>
      <c r="J863" s="62"/>
      <c r="K863" s="61"/>
      <c r="L863" s="63"/>
      <c r="M863" s="64"/>
      <c r="N863" s="61"/>
    </row>
    <row r="864">
      <c r="H864" s="61"/>
      <c r="I864" s="61" t="str">
        <f t="shared" si="1"/>
        <v/>
      </c>
      <c r="J864" s="62"/>
      <c r="K864" s="61"/>
      <c r="L864" s="63"/>
      <c r="M864" s="64"/>
      <c r="N864" s="61"/>
    </row>
    <row r="865">
      <c r="H865" s="61"/>
      <c r="I865" s="61" t="str">
        <f t="shared" si="1"/>
        <v/>
      </c>
      <c r="J865" s="62"/>
      <c r="K865" s="61"/>
      <c r="L865" s="63"/>
      <c r="M865" s="64"/>
      <c r="N865" s="61"/>
    </row>
    <row r="866">
      <c r="H866" s="61"/>
      <c r="I866" s="61" t="str">
        <f t="shared" si="1"/>
        <v/>
      </c>
      <c r="J866" s="62"/>
      <c r="K866" s="61"/>
      <c r="L866" s="63"/>
      <c r="M866" s="64"/>
      <c r="N866" s="61"/>
    </row>
    <row r="867">
      <c r="H867" s="61"/>
      <c r="I867" s="61" t="str">
        <f t="shared" si="1"/>
        <v/>
      </c>
      <c r="J867" s="62"/>
      <c r="K867" s="61"/>
      <c r="L867" s="63"/>
      <c r="M867" s="64"/>
      <c r="N867" s="61"/>
    </row>
    <row r="868">
      <c r="H868" s="61"/>
      <c r="I868" s="61" t="str">
        <f t="shared" si="1"/>
        <v/>
      </c>
      <c r="J868" s="62"/>
      <c r="K868" s="61"/>
      <c r="L868" s="63"/>
      <c r="M868" s="64"/>
      <c r="N868" s="61"/>
    </row>
    <row r="869">
      <c r="H869" s="61"/>
      <c r="I869" s="61" t="str">
        <f t="shared" si="1"/>
        <v/>
      </c>
      <c r="J869" s="62"/>
      <c r="K869" s="61"/>
      <c r="L869" s="63"/>
      <c r="M869" s="64"/>
      <c r="N869" s="61"/>
    </row>
    <row r="870">
      <c r="H870" s="61"/>
      <c r="I870" s="61" t="str">
        <f t="shared" si="1"/>
        <v/>
      </c>
      <c r="J870" s="62"/>
      <c r="K870" s="61"/>
      <c r="L870" s="63"/>
      <c r="M870" s="64"/>
      <c r="N870" s="61"/>
    </row>
    <row r="871">
      <c r="H871" s="61"/>
      <c r="I871" s="61" t="str">
        <f t="shared" si="1"/>
        <v/>
      </c>
      <c r="J871" s="62"/>
      <c r="K871" s="61"/>
      <c r="L871" s="63"/>
      <c r="M871" s="64"/>
      <c r="N871" s="61"/>
    </row>
    <row r="872">
      <c r="H872" s="61"/>
      <c r="I872" s="61" t="str">
        <f t="shared" si="1"/>
        <v/>
      </c>
      <c r="J872" s="62"/>
      <c r="K872" s="61"/>
      <c r="L872" s="63"/>
      <c r="M872" s="64"/>
      <c r="N872" s="61"/>
    </row>
    <row r="873">
      <c r="H873" s="61"/>
      <c r="I873" s="61" t="str">
        <f t="shared" si="1"/>
        <v/>
      </c>
      <c r="J873" s="62"/>
      <c r="K873" s="61"/>
      <c r="L873" s="63"/>
      <c r="M873" s="64"/>
      <c r="N873" s="61"/>
    </row>
    <row r="874">
      <c r="H874" s="61"/>
      <c r="I874" s="61" t="str">
        <f t="shared" si="1"/>
        <v/>
      </c>
      <c r="J874" s="62"/>
      <c r="K874" s="61"/>
      <c r="L874" s="63"/>
      <c r="M874" s="64"/>
      <c r="N874" s="61"/>
    </row>
    <row r="875">
      <c r="H875" s="61"/>
      <c r="I875" s="61" t="str">
        <f t="shared" si="1"/>
        <v/>
      </c>
      <c r="J875" s="62"/>
      <c r="K875" s="61"/>
      <c r="L875" s="63"/>
      <c r="M875" s="64"/>
      <c r="N875" s="61"/>
    </row>
    <row r="876">
      <c r="H876" s="61"/>
      <c r="I876" s="61" t="str">
        <f t="shared" si="1"/>
        <v/>
      </c>
      <c r="J876" s="62"/>
      <c r="K876" s="61"/>
      <c r="L876" s="63"/>
      <c r="M876" s="64"/>
      <c r="N876" s="61"/>
    </row>
    <row r="877">
      <c r="H877" s="61"/>
      <c r="I877" s="61" t="str">
        <f t="shared" si="1"/>
        <v/>
      </c>
      <c r="J877" s="62"/>
      <c r="K877" s="61"/>
      <c r="L877" s="63"/>
      <c r="M877" s="64"/>
      <c r="N877" s="61"/>
    </row>
    <row r="878">
      <c r="H878" s="61"/>
      <c r="I878" s="61" t="str">
        <f t="shared" si="1"/>
        <v/>
      </c>
      <c r="J878" s="62"/>
      <c r="K878" s="61"/>
      <c r="L878" s="63"/>
      <c r="M878" s="64"/>
      <c r="N878" s="61"/>
    </row>
    <row r="879">
      <c r="H879" s="61"/>
      <c r="I879" s="61" t="str">
        <f t="shared" si="1"/>
        <v/>
      </c>
      <c r="J879" s="62"/>
      <c r="K879" s="61"/>
      <c r="L879" s="63"/>
      <c r="M879" s="64"/>
      <c r="N879" s="61"/>
    </row>
    <row r="880">
      <c r="H880" s="61"/>
      <c r="I880" s="61" t="str">
        <f t="shared" si="1"/>
        <v/>
      </c>
      <c r="J880" s="62"/>
      <c r="K880" s="61"/>
      <c r="L880" s="63"/>
      <c r="M880" s="64"/>
      <c r="N880" s="61"/>
    </row>
    <row r="881">
      <c r="H881" s="61"/>
      <c r="I881" s="61" t="str">
        <f t="shared" si="1"/>
        <v/>
      </c>
      <c r="J881" s="62"/>
      <c r="K881" s="61"/>
      <c r="L881" s="63"/>
      <c r="M881" s="64"/>
      <c r="N881" s="61"/>
    </row>
    <row r="882">
      <c r="H882" s="61"/>
      <c r="I882" s="61" t="str">
        <f t="shared" si="1"/>
        <v/>
      </c>
      <c r="J882" s="62"/>
      <c r="K882" s="61"/>
      <c r="L882" s="63"/>
      <c r="M882" s="64"/>
      <c r="N882" s="61"/>
    </row>
    <row r="883">
      <c r="H883" s="61"/>
      <c r="I883" s="61" t="str">
        <f t="shared" si="1"/>
        <v/>
      </c>
      <c r="J883" s="62"/>
      <c r="K883" s="61"/>
      <c r="L883" s="63"/>
      <c r="M883" s="64"/>
      <c r="N883" s="61"/>
    </row>
    <row r="884">
      <c r="H884" s="61"/>
      <c r="I884" s="61" t="str">
        <f t="shared" si="1"/>
        <v/>
      </c>
      <c r="J884" s="62"/>
      <c r="K884" s="61"/>
      <c r="L884" s="63"/>
      <c r="M884" s="64"/>
      <c r="N884" s="61"/>
    </row>
    <row r="885">
      <c r="H885" s="61"/>
      <c r="I885" s="61" t="str">
        <f t="shared" si="1"/>
        <v/>
      </c>
      <c r="J885" s="62"/>
      <c r="K885" s="61"/>
      <c r="L885" s="63"/>
      <c r="M885" s="64"/>
      <c r="N885" s="61"/>
    </row>
    <row r="886">
      <c r="H886" s="61"/>
      <c r="I886" s="61" t="str">
        <f t="shared" si="1"/>
        <v/>
      </c>
      <c r="J886" s="62"/>
      <c r="K886" s="61"/>
      <c r="L886" s="63"/>
      <c r="M886" s="64"/>
      <c r="N886" s="61"/>
    </row>
    <row r="887">
      <c r="H887" s="61"/>
      <c r="I887" s="61" t="str">
        <f t="shared" si="1"/>
        <v/>
      </c>
      <c r="J887" s="62"/>
      <c r="K887" s="61"/>
      <c r="L887" s="63"/>
      <c r="M887" s="64"/>
      <c r="N887" s="61"/>
    </row>
    <row r="888">
      <c r="H888" s="61"/>
      <c r="I888" s="61" t="str">
        <f t="shared" si="1"/>
        <v/>
      </c>
      <c r="J888" s="62"/>
      <c r="K888" s="61"/>
      <c r="L888" s="63"/>
      <c r="M888" s="64"/>
      <c r="N888" s="61"/>
    </row>
    <row r="889">
      <c r="H889" s="61"/>
      <c r="I889" s="61" t="str">
        <f t="shared" si="1"/>
        <v/>
      </c>
      <c r="J889" s="62"/>
      <c r="K889" s="61"/>
      <c r="L889" s="63"/>
      <c r="M889" s="64"/>
      <c r="N889" s="61"/>
    </row>
    <row r="890">
      <c r="H890" s="61"/>
      <c r="I890" s="61" t="str">
        <f t="shared" si="1"/>
        <v/>
      </c>
      <c r="J890" s="62"/>
      <c r="K890" s="61"/>
      <c r="L890" s="63"/>
      <c r="M890" s="64"/>
      <c r="N890" s="61"/>
    </row>
    <row r="891">
      <c r="H891" s="61"/>
      <c r="I891" s="61" t="str">
        <f t="shared" si="1"/>
        <v/>
      </c>
      <c r="J891" s="62"/>
      <c r="K891" s="61"/>
      <c r="L891" s="63"/>
      <c r="M891" s="64"/>
      <c r="N891" s="61"/>
    </row>
    <row r="892">
      <c r="H892" s="61"/>
      <c r="I892" s="61" t="str">
        <f t="shared" si="1"/>
        <v/>
      </c>
      <c r="J892" s="62"/>
      <c r="K892" s="61"/>
      <c r="L892" s="63"/>
      <c r="M892" s="64"/>
      <c r="N892" s="61"/>
    </row>
    <row r="893">
      <c r="H893" s="61"/>
      <c r="I893" s="61" t="str">
        <f t="shared" si="1"/>
        <v/>
      </c>
      <c r="J893" s="62"/>
      <c r="K893" s="61"/>
      <c r="L893" s="63"/>
      <c r="M893" s="64"/>
      <c r="N893" s="61"/>
    </row>
    <row r="894">
      <c r="H894" s="61"/>
      <c r="I894" s="61" t="str">
        <f t="shared" si="1"/>
        <v/>
      </c>
      <c r="J894" s="62"/>
      <c r="K894" s="61"/>
      <c r="L894" s="63"/>
      <c r="M894" s="64"/>
      <c r="N894" s="61"/>
    </row>
    <row r="895">
      <c r="H895" s="61"/>
      <c r="I895" s="61" t="str">
        <f t="shared" si="1"/>
        <v/>
      </c>
      <c r="J895" s="62"/>
      <c r="K895" s="61"/>
      <c r="L895" s="63"/>
      <c r="M895" s="64"/>
      <c r="N895" s="61"/>
    </row>
    <row r="896">
      <c r="H896" s="61"/>
      <c r="I896" s="61" t="str">
        <f t="shared" si="1"/>
        <v/>
      </c>
      <c r="J896" s="62"/>
      <c r="K896" s="61"/>
      <c r="L896" s="63"/>
      <c r="M896" s="64"/>
      <c r="N896" s="61"/>
    </row>
    <row r="897">
      <c r="H897" s="61"/>
      <c r="I897" s="61" t="str">
        <f t="shared" si="1"/>
        <v/>
      </c>
      <c r="J897" s="62"/>
      <c r="K897" s="61"/>
      <c r="L897" s="63"/>
      <c r="M897" s="64"/>
      <c r="N897" s="61"/>
    </row>
    <row r="898">
      <c r="H898" s="61"/>
      <c r="I898" s="61" t="str">
        <f t="shared" si="1"/>
        <v/>
      </c>
      <c r="J898" s="62"/>
      <c r="K898" s="61"/>
      <c r="L898" s="63"/>
      <c r="M898" s="64"/>
      <c r="N898" s="61"/>
    </row>
    <row r="899">
      <c r="H899" s="61"/>
      <c r="I899" s="61" t="str">
        <f t="shared" si="1"/>
        <v/>
      </c>
      <c r="J899" s="62"/>
      <c r="K899" s="61"/>
      <c r="L899" s="63"/>
      <c r="M899" s="64"/>
      <c r="N899" s="61"/>
    </row>
    <row r="900">
      <c r="H900" s="61"/>
      <c r="I900" s="61" t="str">
        <f t="shared" si="1"/>
        <v/>
      </c>
      <c r="J900" s="62"/>
      <c r="K900" s="61"/>
      <c r="L900" s="63"/>
      <c r="M900" s="64"/>
      <c r="N900" s="61"/>
    </row>
    <row r="901">
      <c r="H901" s="61"/>
      <c r="I901" s="61" t="str">
        <f t="shared" si="1"/>
        <v/>
      </c>
      <c r="J901" s="62"/>
      <c r="K901" s="61"/>
      <c r="L901" s="63"/>
      <c r="M901" s="64"/>
      <c r="N901" s="61"/>
    </row>
    <row r="902">
      <c r="H902" s="61"/>
      <c r="I902" s="61" t="str">
        <f t="shared" si="1"/>
        <v/>
      </c>
      <c r="J902" s="62"/>
      <c r="K902" s="61"/>
      <c r="L902" s="63"/>
      <c r="M902" s="64"/>
      <c r="N902" s="61"/>
    </row>
    <row r="903">
      <c r="H903" s="61"/>
      <c r="I903" s="61" t="str">
        <f t="shared" si="1"/>
        <v/>
      </c>
      <c r="J903" s="62"/>
      <c r="K903" s="61"/>
      <c r="L903" s="63"/>
      <c r="M903" s="64"/>
      <c r="N903" s="61"/>
    </row>
    <row r="904">
      <c r="H904" s="61"/>
      <c r="I904" s="61" t="str">
        <f t="shared" si="1"/>
        <v/>
      </c>
      <c r="J904" s="62"/>
      <c r="K904" s="61"/>
      <c r="L904" s="63"/>
      <c r="M904" s="64"/>
      <c r="N904" s="61"/>
    </row>
    <row r="905">
      <c r="H905" s="61"/>
      <c r="I905" s="61" t="str">
        <f t="shared" si="1"/>
        <v/>
      </c>
      <c r="J905" s="62"/>
      <c r="K905" s="61"/>
      <c r="L905" s="63"/>
      <c r="M905" s="64"/>
      <c r="N905" s="61"/>
    </row>
    <row r="906">
      <c r="H906" s="61"/>
      <c r="I906" s="61" t="str">
        <f t="shared" si="1"/>
        <v/>
      </c>
      <c r="J906" s="62"/>
      <c r="K906" s="61"/>
      <c r="L906" s="63"/>
      <c r="M906" s="64"/>
      <c r="N906" s="61"/>
    </row>
    <row r="907">
      <c r="H907" s="61"/>
      <c r="I907" s="61" t="str">
        <f t="shared" si="1"/>
        <v/>
      </c>
      <c r="J907" s="62"/>
      <c r="K907" s="61"/>
      <c r="L907" s="63"/>
      <c r="M907" s="64"/>
      <c r="N907" s="61"/>
    </row>
    <row r="908">
      <c r="H908" s="61"/>
      <c r="I908" s="61" t="str">
        <f t="shared" si="1"/>
        <v/>
      </c>
      <c r="J908" s="62"/>
      <c r="K908" s="61"/>
      <c r="L908" s="63"/>
      <c r="M908" s="64"/>
      <c r="N908" s="61"/>
    </row>
    <row r="909">
      <c r="H909" s="61"/>
      <c r="I909" s="61" t="str">
        <f t="shared" si="1"/>
        <v/>
      </c>
      <c r="J909" s="62"/>
      <c r="K909" s="61"/>
      <c r="L909" s="63"/>
      <c r="M909" s="64"/>
      <c r="N909" s="61"/>
    </row>
    <row r="910">
      <c r="H910" s="61"/>
      <c r="I910" s="61" t="str">
        <f t="shared" si="1"/>
        <v/>
      </c>
      <c r="J910" s="62"/>
      <c r="K910" s="61"/>
      <c r="L910" s="63"/>
      <c r="M910" s="64"/>
      <c r="N910" s="61"/>
    </row>
    <row r="911">
      <c r="H911" s="61"/>
      <c r="I911" s="61" t="str">
        <f t="shared" si="1"/>
        <v/>
      </c>
      <c r="J911" s="62"/>
      <c r="K911" s="61"/>
      <c r="L911" s="63"/>
      <c r="M911" s="64"/>
      <c r="N911" s="61"/>
    </row>
    <row r="912">
      <c r="H912" s="61"/>
      <c r="I912" s="61" t="str">
        <f t="shared" si="1"/>
        <v/>
      </c>
      <c r="J912" s="62"/>
      <c r="K912" s="61"/>
      <c r="L912" s="63"/>
      <c r="M912" s="64"/>
      <c r="N912" s="61"/>
    </row>
    <row r="913">
      <c r="H913" s="61"/>
      <c r="I913" s="61" t="str">
        <f t="shared" si="1"/>
        <v/>
      </c>
      <c r="J913" s="62"/>
      <c r="K913" s="61"/>
      <c r="L913" s="63"/>
      <c r="M913" s="64"/>
      <c r="N913" s="61"/>
    </row>
    <row r="914">
      <c r="H914" s="61"/>
      <c r="I914" s="61" t="str">
        <f t="shared" si="1"/>
        <v/>
      </c>
      <c r="J914" s="62"/>
      <c r="K914" s="61"/>
      <c r="L914" s="63"/>
      <c r="M914" s="64"/>
      <c r="N914" s="61"/>
    </row>
    <row r="915">
      <c r="H915" s="61"/>
      <c r="I915" s="61" t="str">
        <f t="shared" si="1"/>
        <v/>
      </c>
      <c r="J915" s="62"/>
      <c r="K915" s="61"/>
      <c r="L915" s="63"/>
      <c r="M915" s="64"/>
      <c r="N915" s="61"/>
    </row>
    <row r="916">
      <c r="H916" s="61"/>
      <c r="I916" s="61" t="str">
        <f t="shared" si="1"/>
        <v/>
      </c>
      <c r="J916" s="62"/>
      <c r="K916" s="61"/>
      <c r="L916" s="63"/>
      <c r="M916" s="64"/>
      <c r="N916" s="61"/>
    </row>
    <row r="917">
      <c r="H917" s="61"/>
      <c r="I917" s="61" t="str">
        <f t="shared" si="1"/>
        <v/>
      </c>
      <c r="J917" s="62"/>
      <c r="K917" s="61"/>
      <c r="L917" s="63"/>
      <c r="M917" s="64"/>
      <c r="N917" s="61"/>
    </row>
    <row r="918">
      <c r="H918" s="61"/>
      <c r="I918" s="61" t="str">
        <f t="shared" si="1"/>
        <v/>
      </c>
      <c r="J918" s="62"/>
      <c r="K918" s="61"/>
      <c r="L918" s="63"/>
      <c r="M918" s="64"/>
      <c r="N918" s="61"/>
    </row>
    <row r="919">
      <c r="H919" s="61"/>
      <c r="I919" s="61" t="str">
        <f t="shared" si="1"/>
        <v/>
      </c>
      <c r="J919" s="62"/>
      <c r="K919" s="61"/>
      <c r="L919" s="63"/>
      <c r="M919" s="64"/>
      <c r="N919" s="61"/>
    </row>
    <row r="920">
      <c r="H920" s="61"/>
      <c r="I920" s="61" t="str">
        <f t="shared" si="1"/>
        <v/>
      </c>
      <c r="J920" s="62"/>
      <c r="K920" s="61"/>
      <c r="L920" s="63"/>
      <c r="M920" s="64"/>
      <c r="N920" s="61"/>
    </row>
    <row r="921">
      <c r="H921" s="61"/>
      <c r="I921" s="61" t="str">
        <f t="shared" si="1"/>
        <v/>
      </c>
      <c r="J921" s="62"/>
      <c r="K921" s="61"/>
      <c r="L921" s="63"/>
      <c r="M921" s="64"/>
      <c r="N921" s="61"/>
    </row>
    <row r="922">
      <c r="H922" s="61"/>
      <c r="I922" s="61" t="str">
        <f t="shared" si="1"/>
        <v/>
      </c>
      <c r="J922" s="62"/>
      <c r="K922" s="61"/>
      <c r="L922" s="63"/>
      <c r="M922" s="64"/>
      <c r="N922" s="61"/>
    </row>
    <row r="923">
      <c r="H923" s="61"/>
      <c r="I923" s="61" t="str">
        <f t="shared" si="1"/>
        <v/>
      </c>
      <c r="J923" s="62"/>
      <c r="K923" s="61"/>
      <c r="L923" s="63"/>
      <c r="M923" s="64"/>
      <c r="N923" s="61"/>
    </row>
    <row r="924">
      <c r="H924" s="61"/>
      <c r="I924" s="61" t="str">
        <f t="shared" si="1"/>
        <v/>
      </c>
      <c r="J924" s="62"/>
      <c r="K924" s="61"/>
      <c r="L924" s="63"/>
      <c r="M924" s="64"/>
      <c r="N924" s="61"/>
    </row>
    <row r="925">
      <c r="H925" s="61"/>
      <c r="I925" s="61" t="str">
        <f t="shared" si="1"/>
        <v/>
      </c>
      <c r="J925" s="62"/>
      <c r="K925" s="61"/>
      <c r="L925" s="63"/>
      <c r="M925" s="64"/>
      <c r="N925" s="61"/>
    </row>
    <row r="926">
      <c r="H926" s="61"/>
      <c r="I926" s="61" t="str">
        <f t="shared" si="1"/>
        <v/>
      </c>
      <c r="J926" s="62"/>
      <c r="K926" s="61"/>
      <c r="L926" s="63"/>
      <c r="M926" s="64"/>
      <c r="N926" s="61"/>
    </row>
    <row r="927">
      <c r="H927" s="61"/>
      <c r="I927" s="61" t="str">
        <f t="shared" si="1"/>
        <v/>
      </c>
      <c r="J927" s="62"/>
      <c r="K927" s="61"/>
      <c r="L927" s="63"/>
      <c r="M927" s="64"/>
      <c r="N927" s="61"/>
    </row>
    <row r="928">
      <c r="A928" s="1" t="s">
        <v>1304</v>
      </c>
      <c r="H928" s="61"/>
      <c r="I928" s="61" t="str">
        <f t="shared" si="1"/>
        <v/>
      </c>
      <c r="J928" s="62"/>
      <c r="K928" s="61"/>
      <c r="L928" s="63"/>
      <c r="M928" s="64"/>
      <c r="N928" s="61"/>
    </row>
    <row r="929">
      <c r="I929" s="61"/>
      <c r="J929" s="62"/>
      <c r="K929" s="61"/>
      <c r="L929" s="63"/>
      <c r="M929" s="64"/>
      <c r="N929" s="61"/>
    </row>
    <row r="930">
      <c r="I930" s="61" t="str">
        <f t="shared" ref="I930:I2239" si="6">LEFT(B930,4)</f>
        <v>2022</v>
      </c>
      <c r="J930" s="62">
        <f t="shared" ref="J930:J2239" si="7">VALUE(RIGHT(LEFT(B930,7),2))</f>
        <v>5</v>
      </c>
      <c r="K930" s="61" t="str">
        <f t="shared" ref="K930:K2239" si="8">I930 &amp; "-Q" &amp; CHOOSE(CEILING(J930/3, 1), "1", "2", "3", "4")</f>
        <v>2022-Q2</v>
      </c>
      <c r="L930" s="63" t="str">
        <f t="shared" ref="L930:L2239" si="9">I930&amp;"-"&amp;TEXT(J930, "00")</f>
        <v>2022-05</v>
      </c>
      <c r="M930" s="64" t="str">
        <f t="shared" ref="M930:M2239" si="10">I930 &amp; "-H" &amp; CHOOSE(CEILING(J930/6, 1), "1", "2")</f>
        <v>2022-H1</v>
      </c>
      <c r="N930" s="65" t="s">
        <v>80</v>
      </c>
    </row>
    <row r="931">
      <c r="I931" s="61" t="str">
        <f t="shared" si="6"/>
        <v>2022</v>
      </c>
      <c r="J931" s="62">
        <f t="shared" si="7"/>
        <v>5</v>
      </c>
      <c r="K931" s="61" t="str">
        <f t="shared" si="8"/>
        <v>2022-Q2</v>
      </c>
      <c r="L931" s="63" t="str">
        <f t="shared" si="9"/>
        <v>2022-05</v>
      </c>
      <c r="M931" s="64" t="str">
        <f t="shared" si="10"/>
        <v>2022-H1</v>
      </c>
      <c r="N931" s="65" t="s">
        <v>80</v>
      </c>
    </row>
    <row r="932">
      <c r="I932" s="61" t="str">
        <f t="shared" si="6"/>
        <v>2022</v>
      </c>
      <c r="J932" s="62">
        <f t="shared" si="7"/>
        <v>5</v>
      </c>
      <c r="K932" s="61" t="str">
        <f t="shared" si="8"/>
        <v>2022-Q2</v>
      </c>
      <c r="L932" s="63" t="str">
        <f t="shared" si="9"/>
        <v>2022-05</v>
      </c>
      <c r="M932" s="64" t="str">
        <f t="shared" si="10"/>
        <v>2022-H1</v>
      </c>
      <c r="N932" s="65" t="s">
        <v>80</v>
      </c>
    </row>
    <row r="933">
      <c r="I933" s="61" t="str">
        <f t="shared" si="6"/>
        <v>2022</v>
      </c>
      <c r="J933" s="62">
        <f t="shared" si="7"/>
        <v>5</v>
      </c>
      <c r="K933" s="61" t="str">
        <f t="shared" si="8"/>
        <v>2022-Q2</v>
      </c>
      <c r="L933" s="63" t="str">
        <f t="shared" si="9"/>
        <v>2022-05</v>
      </c>
      <c r="M933" s="64" t="str">
        <f t="shared" si="10"/>
        <v>2022-H1</v>
      </c>
      <c r="N933" s="65" t="s">
        <v>80</v>
      </c>
    </row>
    <row r="934">
      <c r="I934" s="61" t="str">
        <f t="shared" si="6"/>
        <v>2022</v>
      </c>
      <c r="J934" s="62">
        <f t="shared" si="7"/>
        <v>5</v>
      </c>
      <c r="K934" s="61" t="str">
        <f t="shared" si="8"/>
        <v>2022-Q2</v>
      </c>
      <c r="L934" s="63" t="str">
        <f t="shared" si="9"/>
        <v>2022-05</v>
      </c>
      <c r="M934" s="64" t="str">
        <f t="shared" si="10"/>
        <v>2022-H1</v>
      </c>
      <c r="N934" s="65" t="s">
        <v>80</v>
      </c>
    </row>
    <row r="935">
      <c r="I935" s="61" t="str">
        <f t="shared" si="6"/>
        <v>2022</v>
      </c>
      <c r="J935" s="62">
        <f t="shared" si="7"/>
        <v>5</v>
      </c>
      <c r="K935" s="61" t="str">
        <f t="shared" si="8"/>
        <v>2022-Q2</v>
      </c>
      <c r="L935" s="63" t="str">
        <f t="shared" si="9"/>
        <v>2022-05</v>
      </c>
      <c r="M935" s="64" t="str">
        <f t="shared" si="10"/>
        <v>2022-H1</v>
      </c>
      <c r="N935" s="65" t="s">
        <v>80</v>
      </c>
    </row>
    <row r="936">
      <c r="I936" s="61" t="str">
        <f t="shared" si="6"/>
        <v>2022</v>
      </c>
      <c r="J936" s="62">
        <f t="shared" si="7"/>
        <v>5</v>
      </c>
      <c r="K936" s="61" t="str">
        <f t="shared" si="8"/>
        <v>2022-Q2</v>
      </c>
      <c r="L936" s="63" t="str">
        <f t="shared" si="9"/>
        <v>2022-05</v>
      </c>
      <c r="M936" s="64" t="str">
        <f t="shared" si="10"/>
        <v>2022-H1</v>
      </c>
      <c r="N936" s="65" t="s">
        <v>80</v>
      </c>
    </row>
    <row r="937">
      <c r="I937" s="61" t="str">
        <f t="shared" si="6"/>
        <v>2022</v>
      </c>
      <c r="J937" s="62">
        <f t="shared" si="7"/>
        <v>5</v>
      </c>
      <c r="K937" s="61" t="str">
        <f t="shared" si="8"/>
        <v>2022-Q2</v>
      </c>
      <c r="L937" s="63" t="str">
        <f t="shared" si="9"/>
        <v>2022-05</v>
      </c>
      <c r="M937" s="64" t="str">
        <f t="shared" si="10"/>
        <v>2022-H1</v>
      </c>
      <c r="N937" s="65" t="s">
        <v>80</v>
      </c>
    </row>
    <row r="938">
      <c r="I938" s="61" t="str">
        <f t="shared" si="6"/>
        <v>2022</v>
      </c>
      <c r="J938" s="62">
        <f t="shared" si="7"/>
        <v>5</v>
      </c>
      <c r="K938" s="61" t="str">
        <f t="shared" si="8"/>
        <v>2022-Q2</v>
      </c>
      <c r="L938" s="63" t="str">
        <f t="shared" si="9"/>
        <v>2022-05</v>
      </c>
      <c r="M938" s="64" t="str">
        <f t="shared" si="10"/>
        <v>2022-H1</v>
      </c>
      <c r="N938" s="65" t="s">
        <v>80</v>
      </c>
    </row>
    <row r="939">
      <c r="I939" s="61" t="str">
        <f t="shared" si="6"/>
        <v>2023</v>
      </c>
      <c r="J939" s="62">
        <f t="shared" si="7"/>
        <v>3</v>
      </c>
      <c r="K939" s="61" t="str">
        <f t="shared" si="8"/>
        <v>2023-Q1</v>
      </c>
      <c r="L939" s="63" t="str">
        <f t="shared" si="9"/>
        <v>2023-03</v>
      </c>
      <c r="M939" s="64" t="str">
        <f t="shared" si="10"/>
        <v>2023-H1</v>
      </c>
      <c r="N939" s="65" t="s">
        <v>80</v>
      </c>
    </row>
    <row r="940">
      <c r="I940" s="61" t="str">
        <f t="shared" si="6"/>
        <v>2022</v>
      </c>
      <c r="J940" s="62">
        <f t="shared" si="7"/>
        <v>6</v>
      </c>
      <c r="K940" s="61" t="str">
        <f t="shared" si="8"/>
        <v>2022-Q2</v>
      </c>
      <c r="L940" s="63" t="str">
        <f t="shared" si="9"/>
        <v>2022-06</v>
      </c>
      <c r="M940" s="64" t="str">
        <f t="shared" si="10"/>
        <v>2022-H1</v>
      </c>
      <c r="N940" s="65" t="s">
        <v>80</v>
      </c>
    </row>
    <row r="941">
      <c r="I941" s="61" t="str">
        <f t="shared" si="6"/>
        <v>2022</v>
      </c>
      <c r="J941" s="62">
        <f t="shared" si="7"/>
        <v>5</v>
      </c>
      <c r="K941" s="61" t="str">
        <f t="shared" si="8"/>
        <v>2022-Q2</v>
      </c>
      <c r="L941" s="63" t="str">
        <f t="shared" si="9"/>
        <v>2022-05</v>
      </c>
      <c r="M941" s="64" t="str">
        <f t="shared" si="10"/>
        <v>2022-H1</v>
      </c>
      <c r="N941" s="65" t="s">
        <v>80</v>
      </c>
    </row>
    <row r="942">
      <c r="I942" s="61" t="str">
        <f t="shared" si="6"/>
        <v>2022</v>
      </c>
      <c r="J942" s="62">
        <f t="shared" si="7"/>
        <v>6</v>
      </c>
      <c r="K942" s="61" t="str">
        <f t="shared" si="8"/>
        <v>2022-Q2</v>
      </c>
      <c r="L942" s="63" t="str">
        <f t="shared" si="9"/>
        <v>2022-06</v>
      </c>
      <c r="M942" s="64" t="str">
        <f t="shared" si="10"/>
        <v>2022-H1</v>
      </c>
      <c r="N942" s="65" t="s">
        <v>80</v>
      </c>
    </row>
    <row r="943">
      <c r="I943" s="61" t="str">
        <f t="shared" si="6"/>
        <v>2022</v>
      </c>
      <c r="J943" s="62">
        <f t="shared" si="7"/>
        <v>6</v>
      </c>
      <c r="K943" s="61" t="str">
        <f t="shared" si="8"/>
        <v>2022-Q2</v>
      </c>
      <c r="L943" s="63" t="str">
        <f t="shared" si="9"/>
        <v>2022-06</v>
      </c>
      <c r="M943" s="64" t="str">
        <f t="shared" si="10"/>
        <v>2022-H1</v>
      </c>
      <c r="N943" s="65" t="s">
        <v>80</v>
      </c>
    </row>
    <row r="944">
      <c r="I944" s="61" t="str">
        <f t="shared" si="6"/>
        <v>2022</v>
      </c>
      <c r="J944" s="62">
        <f t="shared" si="7"/>
        <v>6</v>
      </c>
      <c r="K944" s="61" t="str">
        <f t="shared" si="8"/>
        <v>2022-Q2</v>
      </c>
      <c r="L944" s="63" t="str">
        <f t="shared" si="9"/>
        <v>2022-06</v>
      </c>
      <c r="M944" s="64" t="str">
        <f t="shared" si="10"/>
        <v>2022-H1</v>
      </c>
      <c r="N944" s="65" t="s">
        <v>80</v>
      </c>
    </row>
    <row r="945">
      <c r="I945" s="61" t="str">
        <f t="shared" si="6"/>
        <v>2022</v>
      </c>
      <c r="J945" s="62">
        <f t="shared" si="7"/>
        <v>6</v>
      </c>
      <c r="K945" s="61" t="str">
        <f t="shared" si="8"/>
        <v>2022-Q2</v>
      </c>
      <c r="L945" s="63" t="str">
        <f t="shared" si="9"/>
        <v>2022-06</v>
      </c>
      <c r="M945" s="64" t="str">
        <f t="shared" si="10"/>
        <v>2022-H1</v>
      </c>
      <c r="N945" s="65" t="s">
        <v>80</v>
      </c>
    </row>
    <row r="946">
      <c r="I946" s="61" t="str">
        <f t="shared" si="6"/>
        <v>2022</v>
      </c>
      <c r="J946" s="62">
        <f t="shared" si="7"/>
        <v>6</v>
      </c>
      <c r="K946" s="61" t="str">
        <f t="shared" si="8"/>
        <v>2022-Q2</v>
      </c>
      <c r="L946" s="63" t="str">
        <f t="shared" si="9"/>
        <v>2022-06</v>
      </c>
      <c r="M946" s="64" t="str">
        <f t="shared" si="10"/>
        <v>2022-H1</v>
      </c>
      <c r="N946" s="65" t="s">
        <v>80</v>
      </c>
    </row>
    <row r="947">
      <c r="I947" s="61" t="str">
        <f t="shared" si="6"/>
        <v>2022</v>
      </c>
      <c r="J947" s="62">
        <f t="shared" si="7"/>
        <v>6</v>
      </c>
      <c r="K947" s="61" t="str">
        <f t="shared" si="8"/>
        <v>2022-Q2</v>
      </c>
      <c r="L947" s="63" t="str">
        <f t="shared" si="9"/>
        <v>2022-06</v>
      </c>
      <c r="M947" s="64" t="str">
        <f t="shared" si="10"/>
        <v>2022-H1</v>
      </c>
      <c r="N947" s="65" t="s">
        <v>80</v>
      </c>
    </row>
    <row r="948">
      <c r="I948" s="61" t="str">
        <f t="shared" si="6"/>
        <v>2022</v>
      </c>
      <c r="J948" s="62">
        <f t="shared" si="7"/>
        <v>6</v>
      </c>
      <c r="K948" s="61" t="str">
        <f t="shared" si="8"/>
        <v>2022-Q2</v>
      </c>
      <c r="L948" s="63" t="str">
        <f t="shared" si="9"/>
        <v>2022-06</v>
      </c>
      <c r="M948" s="64" t="str">
        <f t="shared" si="10"/>
        <v>2022-H1</v>
      </c>
      <c r="N948" s="65" t="s">
        <v>80</v>
      </c>
    </row>
    <row r="949">
      <c r="I949" s="61" t="str">
        <f t="shared" si="6"/>
        <v>2022</v>
      </c>
      <c r="J949" s="62">
        <f t="shared" si="7"/>
        <v>7</v>
      </c>
      <c r="K949" s="61" t="str">
        <f t="shared" si="8"/>
        <v>2022-Q3</v>
      </c>
      <c r="L949" s="63" t="str">
        <f t="shared" si="9"/>
        <v>2022-07</v>
      </c>
      <c r="M949" s="64" t="str">
        <f t="shared" si="10"/>
        <v>2022-H2</v>
      </c>
      <c r="N949" s="65" t="s">
        <v>80</v>
      </c>
    </row>
    <row r="950">
      <c r="I950" s="61" t="str">
        <f t="shared" si="6"/>
        <v>2022</v>
      </c>
      <c r="J950" s="62">
        <f t="shared" si="7"/>
        <v>8</v>
      </c>
      <c r="K950" s="61" t="str">
        <f t="shared" si="8"/>
        <v>2022-Q3</v>
      </c>
      <c r="L950" s="63" t="str">
        <f t="shared" si="9"/>
        <v>2022-08</v>
      </c>
      <c r="M950" s="64" t="str">
        <f t="shared" si="10"/>
        <v>2022-H2</v>
      </c>
      <c r="N950" s="65" t="s">
        <v>80</v>
      </c>
    </row>
    <row r="951">
      <c r="I951" s="61" t="str">
        <f t="shared" si="6"/>
        <v>2022</v>
      </c>
      <c r="J951" s="62">
        <f t="shared" si="7"/>
        <v>7</v>
      </c>
      <c r="K951" s="61" t="str">
        <f t="shared" si="8"/>
        <v>2022-Q3</v>
      </c>
      <c r="L951" s="63" t="str">
        <f t="shared" si="9"/>
        <v>2022-07</v>
      </c>
      <c r="M951" s="64" t="str">
        <f t="shared" si="10"/>
        <v>2022-H2</v>
      </c>
      <c r="N951" s="65" t="s">
        <v>80</v>
      </c>
    </row>
    <row r="952">
      <c r="I952" s="61" t="str">
        <f t="shared" si="6"/>
        <v>2022</v>
      </c>
      <c r="J952" s="62">
        <f t="shared" si="7"/>
        <v>7</v>
      </c>
      <c r="K952" s="61" t="str">
        <f t="shared" si="8"/>
        <v>2022-Q3</v>
      </c>
      <c r="L952" s="63" t="str">
        <f t="shared" si="9"/>
        <v>2022-07</v>
      </c>
      <c r="M952" s="64" t="str">
        <f t="shared" si="10"/>
        <v>2022-H2</v>
      </c>
      <c r="N952" s="65" t="s">
        <v>80</v>
      </c>
    </row>
    <row r="953">
      <c r="I953" s="61" t="str">
        <f t="shared" si="6"/>
        <v>2022</v>
      </c>
      <c r="J953" s="62">
        <f t="shared" si="7"/>
        <v>7</v>
      </c>
      <c r="K953" s="61" t="str">
        <f t="shared" si="8"/>
        <v>2022-Q3</v>
      </c>
      <c r="L953" s="63" t="str">
        <f t="shared" si="9"/>
        <v>2022-07</v>
      </c>
      <c r="M953" s="64" t="str">
        <f t="shared" si="10"/>
        <v>2022-H2</v>
      </c>
      <c r="N953" s="65" t="s">
        <v>80</v>
      </c>
    </row>
    <row r="954">
      <c r="I954" s="61" t="str">
        <f t="shared" si="6"/>
        <v>2022</v>
      </c>
      <c r="J954" s="62">
        <f t="shared" si="7"/>
        <v>7</v>
      </c>
      <c r="K954" s="61" t="str">
        <f t="shared" si="8"/>
        <v>2022-Q3</v>
      </c>
      <c r="L954" s="63" t="str">
        <f t="shared" si="9"/>
        <v>2022-07</v>
      </c>
      <c r="M954" s="64" t="str">
        <f t="shared" si="10"/>
        <v>2022-H2</v>
      </c>
      <c r="N954" s="65" t="s">
        <v>80</v>
      </c>
    </row>
    <row r="955">
      <c r="I955" s="61" t="str">
        <f t="shared" si="6"/>
        <v>2022</v>
      </c>
      <c r="J955" s="62">
        <f t="shared" si="7"/>
        <v>7</v>
      </c>
      <c r="K955" s="61" t="str">
        <f t="shared" si="8"/>
        <v>2022-Q3</v>
      </c>
      <c r="L955" s="63" t="str">
        <f t="shared" si="9"/>
        <v>2022-07</v>
      </c>
      <c r="M955" s="64" t="str">
        <f t="shared" si="10"/>
        <v>2022-H2</v>
      </c>
      <c r="N955" s="65" t="s">
        <v>80</v>
      </c>
    </row>
    <row r="956">
      <c r="I956" s="61" t="str">
        <f t="shared" si="6"/>
        <v>2022</v>
      </c>
      <c r="J956" s="62">
        <f t="shared" si="7"/>
        <v>7</v>
      </c>
      <c r="K956" s="61" t="str">
        <f t="shared" si="8"/>
        <v>2022-Q3</v>
      </c>
      <c r="L956" s="63" t="str">
        <f t="shared" si="9"/>
        <v>2022-07</v>
      </c>
      <c r="M956" s="64" t="str">
        <f t="shared" si="10"/>
        <v>2022-H2</v>
      </c>
      <c r="N956" s="65" t="s">
        <v>80</v>
      </c>
    </row>
    <row r="957">
      <c r="I957" s="61" t="str">
        <f t="shared" si="6"/>
        <v>2022</v>
      </c>
      <c r="J957" s="62">
        <f t="shared" si="7"/>
        <v>8</v>
      </c>
      <c r="K957" s="61" t="str">
        <f t="shared" si="8"/>
        <v>2022-Q3</v>
      </c>
      <c r="L957" s="63" t="str">
        <f t="shared" si="9"/>
        <v>2022-08</v>
      </c>
      <c r="M957" s="64" t="str">
        <f t="shared" si="10"/>
        <v>2022-H2</v>
      </c>
      <c r="N957" s="65" t="s">
        <v>80</v>
      </c>
    </row>
    <row r="958">
      <c r="I958" s="61" t="str">
        <f t="shared" si="6"/>
        <v>2022</v>
      </c>
      <c r="J958" s="62">
        <f t="shared" si="7"/>
        <v>8</v>
      </c>
      <c r="K958" s="61" t="str">
        <f t="shared" si="8"/>
        <v>2022-Q3</v>
      </c>
      <c r="L958" s="63" t="str">
        <f t="shared" si="9"/>
        <v>2022-08</v>
      </c>
      <c r="M958" s="64" t="str">
        <f t="shared" si="10"/>
        <v>2022-H2</v>
      </c>
      <c r="N958" s="65" t="s">
        <v>80</v>
      </c>
    </row>
    <row r="959">
      <c r="I959" s="61" t="str">
        <f t="shared" si="6"/>
        <v>2022</v>
      </c>
      <c r="J959" s="62">
        <f t="shared" si="7"/>
        <v>8</v>
      </c>
      <c r="K959" s="61" t="str">
        <f t="shared" si="8"/>
        <v>2022-Q3</v>
      </c>
      <c r="L959" s="63" t="str">
        <f t="shared" si="9"/>
        <v>2022-08</v>
      </c>
      <c r="M959" s="64" t="str">
        <f t="shared" si="10"/>
        <v>2022-H2</v>
      </c>
      <c r="N959" s="65" t="s">
        <v>80</v>
      </c>
    </row>
    <row r="960">
      <c r="I960" s="61" t="str">
        <f t="shared" si="6"/>
        <v>2022</v>
      </c>
      <c r="J960" s="62">
        <f t="shared" si="7"/>
        <v>8</v>
      </c>
      <c r="K960" s="61" t="str">
        <f t="shared" si="8"/>
        <v>2022-Q3</v>
      </c>
      <c r="L960" s="63" t="str">
        <f t="shared" si="9"/>
        <v>2022-08</v>
      </c>
      <c r="M960" s="64" t="str">
        <f t="shared" si="10"/>
        <v>2022-H2</v>
      </c>
      <c r="N960" s="65" t="s">
        <v>80</v>
      </c>
    </row>
    <row r="961">
      <c r="I961" s="61" t="str">
        <f t="shared" si="6"/>
        <v>2022</v>
      </c>
      <c r="J961" s="62">
        <f t="shared" si="7"/>
        <v>8</v>
      </c>
      <c r="K961" s="61" t="str">
        <f t="shared" si="8"/>
        <v>2022-Q3</v>
      </c>
      <c r="L961" s="63" t="str">
        <f t="shared" si="9"/>
        <v>2022-08</v>
      </c>
      <c r="M961" s="64" t="str">
        <f t="shared" si="10"/>
        <v>2022-H2</v>
      </c>
      <c r="N961" s="65" t="s">
        <v>80</v>
      </c>
    </row>
    <row r="962">
      <c r="I962" s="61" t="str">
        <f t="shared" si="6"/>
        <v>2022</v>
      </c>
      <c r="J962" s="62">
        <f t="shared" si="7"/>
        <v>8</v>
      </c>
      <c r="K962" s="61" t="str">
        <f t="shared" si="8"/>
        <v>2022-Q3</v>
      </c>
      <c r="L962" s="63" t="str">
        <f t="shared" si="9"/>
        <v>2022-08</v>
      </c>
      <c r="M962" s="64" t="str">
        <f t="shared" si="10"/>
        <v>2022-H2</v>
      </c>
      <c r="N962" s="65" t="s">
        <v>80</v>
      </c>
    </row>
    <row r="963">
      <c r="I963" s="61" t="str">
        <f t="shared" si="6"/>
        <v>2022</v>
      </c>
      <c r="J963" s="62">
        <f t="shared" si="7"/>
        <v>8</v>
      </c>
      <c r="K963" s="61" t="str">
        <f t="shared" si="8"/>
        <v>2022-Q3</v>
      </c>
      <c r="L963" s="63" t="str">
        <f t="shared" si="9"/>
        <v>2022-08</v>
      </c>
      <c r="M963" s="64" t="str">
        <f t="shared" si="10"/>
        <v>2022-H2</v>
      </c>
      <c r="N963" s="65" t="s">
        <v>80</v>
      </c>
    </row>
    <row r="964">
      <c r="I964" s="61" t="str">
        <f t="shared" si="6"/>
        <v>2022</v>
      </c>
      <c r="J964" s="62">
        <f t="shared" si="7"/>
        <v>9</v>
      </c>
      <c r="K964" s="61" t="str">
        <f t="shared" si="8"/>
        <v>2022-Q3</v>
      </c>
      <c r="L964" s="63" t="str">
        <f t="shared" si="9"/>
        <v>2022-09</v>
      </c>
      <c r="M964" s="64" t="str">
        <f t="shared" si="10"/>
        <v>2022-H2</v>
      </c>
      <c r="N964" s="65" t="s">
        <v>80</v>
      </c>
    </row>
    <row r="965">
      <c r="I965" s="61" t="str">
        <f t="shared" si="6"/>
        <v>2022</v>
      </c>
      <c r="J965" s="62">
        <f t="shared" si="7"/>
        <v>9</v>
      </c>
      <c r="K965" s="61" t="str">
        <f t="shared" si="8"/>
        <v>2022-Q3</v>
      </c>
      <c r="L965" s="63" t="str">
        <f t="shared" si="9"/>
        <v>2022-09</v>
      </c>
      <c r="M965" s="64" t="str">
        <f t="shared" si="10"/>
        <v>2022-H2</v>
      </c>
      <c r="N965" s="65" t="s">
        <v>80</v>
      </c>
    </row>
    <row r="966">
      <c r="I966" s="61" t="str">
        <f t="shared" si="6"/>
        <v>2022</v>
      </c>
      <c r="J966" s="62">
        <f t="shared" si="7"/>
        <v>9</v>
      </c>
      <c r="K966" s="61" t="str">
        <f t="shared" si="8"/>
        <v>2022-Q3</v>
      </c>
      <c r="L966" s="63" t="str">
        <f t="shared" si="9"/>
        <v>2022-09</v>
      </c>
      <c r="M966" s="64" t="str">
        <f t="shared" si="10"/>
        <v>2022-H2</v>
      </c>
      <c r="N966" s="65" t="s">
        <v>80</v>
      </c>
    </row>
    <row r="967">
      <c r="I967" s="61" t="str">
        <f t="shared" si="6"/>
        <v>2022</v>
      </c>
      <c r="J967" s="62">
        <f t="shared" si="7"/>
        <v>9</v>
      </c>
      <c r="K967" s="61" t="str">
        <f t="shared" si="8"/>
        <v>2022-Q3</v>
      </c>
      <c r="L967" s="63" t="str">
        <f t="shared" si="9"/>
        <v>2022-09</v>
      </c>
      <c r="M967" s="64" t="str">
        <f t="shared" si="10"/>
        <v>2022-H2</v>
      </c>
      <c r="N967" s="65" t="s">
        <v>80</v>
      </c>
    </row>
    <row r="968">
      <c r="I968" s="61" t="str">
        <f t="shared" si="6"/>
        <v>2022</v>
      </c>
      <c r="J968" s="62">
        <f t="shared" si="7"/>
        <v>9</v>
      </c>
      <c r="K968" s="61" t="str">
        <f t="shared" si="8"/>
        <v>2022-Q3</v>
      </c>
      <c r="L968" s="63" t="str">
        <f t="shared" si="9"/>
        <v>2022-09</v>
      </c>
      <c r="M968" s="64" t="str">
        <f t="shared" si="10"/>
        <v>2022-H2</v>
      </c>
      <c r="N968" s="65" t="s">
        <v>80</v>
      </c>
    </row>
    <row r="969">
      <c r="I969" s="61" t="str">
        <f t="shared" si="6"/>
        <v>2022</v>
      </c>
      <c r="J969" s="62">
        <f t="shared" si="7"/>
        <v>9</v>
      </c>
      <c r="K969" s="61" t="str">
        <f t="shared" si="8"/>
        <v>2022-Q3</v>
      </c>
      <c r="L969" s="63" t="str">
        <f t="shared" si="9"/>
        <v>2022-09</v>
      </c>
      <c r="M969" s="64" t="str">
        <f t="shared" si="10"/>
        <v>2022-H2</v>
      </c>
      <c r="N969" s="65" t="s">
        <v>80</v>
      </c>
    </row>
    <row r="970">
      <c r="I970" s="61" t="str">
        <f t="shared" si="6"/>
        <v>2022</v>
      </c>
      <c r="J970" s="62">
        <f t="shared" si="7"/>
        <v>9</v>
      </c>
      <c r="K970" s="61" t="str">
        <f t="shared" si="8"/>
        <v>2022-Q3</v>
      </c>
      <c r="L970" s="63" t="str">
        <f t="shared" si="9"/>
        <v>2022-09</v>
      </c>
      <c r="M970" s="64" t="str">
        <f t="shared" si="10"/>
        <v>2022-H2</v>
      </c>
      <c r="N970" s="65" t="s">
        <v>80</v>
      </c>
    </row>
    <row r="971">
      <c r="I971" s="61" t="str">
        <f t="shared" si="6"/>
        <v>2022</v>
      </c>
      <c r="J971" s="62">
        <f t="shared" si="7"/>
        <v>9</v>
      </c>
      <c r="K971" s="61" t="str">
        <f t="shared" si="8"/>
        <v>2022-Q3</v>
      </c>
      <c r="L971" s="63" t="str">
        <f t="shared" si="9"/>
        <v>2022-09</v>
      </c>
      <c r="M971" s="64" t="str">
        <f t="shared" si="10"/>
        <v>2022-H2</v>
      </c>
      <c r="N971" s="65" t="s">
        <v>80</v>
      </c>
    </row>
    <row r="972">
      <c r="I972" s="61" t="str">
        <f t="shared" si="6"/>
        <v>2022</v>
      </c>
      <c r="J972" s="62">
        <f t="shared" si="7"/>
        <v>9</v>
      </c>
      <c r="K972" s="61" t="str">
        <f t="shared" si="8"/>
        <v>2022-Q3</v>
      </c>
      <c r="L972" s="63" t="str">
        <f t="shared" si="9"/>
        <v>2022-09</v>
      </c>
      <c r="M972" s="64" t="str">
        <f t="shared" si="10"/>
        <v>2022-H2</v>
      </c>
      <c r="N972" s="65" t="s">
        <v>80</v>
      </c>
    </row>
    <row r="973">
      <c r="I973" s="61" t="str">
        <f t="shared" si="6"/>
        <v>2022</v>
      </c>
      <c r="J973" s="62">
        <f t="shared" si="7"/>
        <v>9</v>
      </c>
      <c r="K973" s="61" t="str">
        <f t="shared" si="8"/>
        <v>2022-Q3</v>
      </c>
      <c r="L973" s="63" t="str">
        <f t="shared" si="9"/>
        <v>2022-09</v>
      </c>
      <c r="M973" s="64" t="str">
        <f t="shared" si="10"/>
        <v>2022-H2</v>
      </c>
      <c r="N973" s="65" t="s">
        <v>80</v>
      </c>
    </row>
    <row r="974">
      <c r="I974" s="61" t="str">
        <f t="shared" si="6"/>
        <v>2022</v>
      </c>
      <c r="J974" s="62">
        <f t="shared" si="7"/>
        <v>9</v>
      </c>
      <c r="K974" s="61" t="str">
        <f t="shared" si="8"/>
        <v>2022-Q3</v>
      </c>
      <c r="L974" s="63" t="str">
        <f t="shared" si="9"/>
        <v>2022-09</v>
      </c>
      <c r="M974" s="64" t="str">
        <f t="shared" si="10"/>
        <v>2022-H2</v>
      </c>
      <c r="N974" s="65" t="s">
        <v>80</v>
      </c>
    </row>
    <row r="975">
      <c r="I975" s="61" t="str">
        <f t="shared" si="6"/>
        <v>2022</v>
      </c>
      <c r="J975" s="62">
        <f t="shared" si="7"/>
        <v>9</v>
      </c>
      <c r="K975" s="61" t="str">
        <f t="shared" si="8"/>
        <v>2022-Q3</v>
      </c>
      <c r="L975" s="63" t="str">
        <f t="shared" si="9"/>
        <v>2022-09</v>
      </c>
      <c r="M975" s="64" t="str">
        <f t="shared" si="10"/>
        <v>2022-H2</v>
      </c>
      <c r="N975" s="65" t="s">
        <v>80</v>
      </c>
    </row>
    <row r="976">
      <c r="I976" s="61" t="str">
        <f t="shared" si="6"/>
        <v>2022</v>
      </c>
      <c r="J976" s="62">
        <f t="shared" si="7"/>
        <v>9</v>
      </c>
      <c r="K976" s="61" t="str">
        <f t="shared" si="8"/>
        <v>2022-Q3</v>
      </c>
      <c r="L976" s="63" t="str">
        <f t="shared" si="9"/>
        <v>2022-09</v>
      </c>
      <c r="M976" s="64" t="str">
        <f t="shared" si="10"/>
        <v>2022-H2</v>
      </c>
      <c r="N976" s="65" t="s">
        <v>80</v>
      </c>
    </row>
    <row r="977">
      <c r="I977" s="61" t="str">
        <f t="shared" si="6"/>
        <v>2022</v>
      </c>
      <c r="J977" s="62">
        <f t="shared" si="7"/>
        <v>10</v>
      </c>
      <c r="K977" s="61" t="str">
        <f t="shared" si="8"/>
        <v>2022-Q4</v>
      </c>
      <c r="L977" s="63" t="str">
        <f t="shared" si="9"/>
        <v>2022-10</v>
      </c>
      <c r="M977" s="64" t="str">
        <f t="shared" si="10"/>
        <v>2022-H2</v>
      </c>
      <c r="N977" s="65" t="s">
        <v>80</v>
      </c>
    </row>
    <row r="978">
      <c r="I978" s="61" t="str">
        <f t="shared" si="6"/>
        <v>2022</v>
      </c>
      <c r="J978" s="62">
        <f t="shared" si="7"/>
        <v>10</v>
      </c>
      <c r="K978" s="61" t="str">
        <f t="shared" si="8"/>
        <v>2022-Q4</v>
      </c>
      <c r="L978" s="63" t="str">
        <f t="shared" si="9"/>
        <v>2022-10</v>
      </c>
      <c r="M978" s="64" t="str">
        <f t="shared" si="10"/>
        <v>2022-H2</v>
      </c>
      <c r="N978" s="65" t="s">
        <v>80</v>
      </c>
    </row>
    <row r="979">
      <c r="I979" s="61" t="str">
        <f t="shared" si="6"/>
        <v>2022</v>
      </c>
      <c r="J979" s="62">
        <f t="shared" si="7"/>
        <v>10</v>
      </c>
      <c r="K979" s="61" t="str">
        <f t="shared" si="8"/>
        <v>2022-Q4</v>
      </c>
      <c r="L979" s="63" t="str">
        <f t="shared" si="9"/>
        <v>2022-10</v>
      </c>
      <c r="M979" s="64" t="str">
        <f t="shared" si="10"/>
        <v>2022-H2</v>
      </c>
      <c r="N979" s="65" t="s">
        <v>80</v>
      </c>
    </row>
    <row r="980">
      <c r="I980" s="61" t="str">
        <f t="shared" si="6"/>
        <v>2022</v>
      </c>
      <c r="J980" s="62">
        <f t="shared" si="7"/>
        <v>10</v>
      </c>
      <c r="K980" s="61" t="str">
        <f t="shared" si="8"/>
        <v>2022-Q4</v>
      </c>
      <c r="L980" s="63" t="str">
        <f t="shared" si="9"/>
        <v>2022-10</v>
      </c>
      <c r="M980" s="64" t="str">
        <f t="shared" si="10"/>
        <v>2022-H2</v>
      </c>
      <c r="N980" s="65" t="s">
        <v>80</v>
      </c>
    </row>
    <row r="981">
      <c r="I981" s="61" t="str">
        <f t="shared" si="6"/>
        <v>2022</v>
      </c>
      <c r="J981" s="62">
        <f t="shared" si="7"/>
        <v>10</v>
      </c>
      <c r="K981" s="61" t="str">
        <f t="shared" si="8"/>
        <v>2022-Q4</v>
      </c>
      <c r="L981" s="63" t="str">
        <f t="shared" si="9"/>
        <v>2022-10</v>
      </c>
      <c r="M981" s="64" t="str">
        <f t="shared" si="10"/>
        <v>2022-H2</v>
      </c>
      <c r="N981" s="65" t="s">
        <v>80</v>
      </c>
    </row>
    <row r="982">
      <c r="I982" s="61" t="str">
        <f t="shared" si="6"/>
        <v>2022</v>
      </c>
      <c r="J982" s="62">
        <f t="shared" si="7"/>
        <v>10</v>
      </c>
      <c r="K982" s="61" t="str">
        <f t="shared" si="8"/>
        <v>2022-Q4</v>
      </c>
      <c r="L982" s="63" t="str">
        <f t="shared" si="9"/>
        <v>2022-10</v>
      </c>
      <c r="M982" s="64" t="str">
        <f t="shared" si="10"/>
        <v>2022-H2</v>
      </c>
      <c r="N982" s="65" t="s">
        <v>80</v>
      </c>
    </row>
    <row r="983">
      <c r="I983" s="61" t="str">
        <f t="shared" si="6"/>
        <v>2022</v>
      </c>
      <c r="J983" s="62">
        <f t="shared" si="7"/>
        <v>10</v>
      </c>
      <c r="K983" s="61" t="str">
        <f t="shared" si="8"/>
        <v>2022-Q4</v>
      </c>
      <c r="L983" s="63" t="str">
        <f t="shared" si="9"/>
        <v>2022-10</v>
      </c>
      <c r="M983" s="64" t="str">
        <f t="shared" si="10"/>
        <v>2022-H2</v>
      </c>
      <c r="N983" s="65" t="s">
        <v>80</v>
      </c>
    </row>
    <row r="984">
      <c r="I984" s="61" t="str">
        <f t="shared" si="6"/>
        <v>2022</v>
      </c>
      <c r="J984" s="62">
        <f t="shared" si="7"/>
        <v>10</v>
      </c>
      <c r="K984" s="61" t="str">
        <f t="shared" si="8"/>
        <v>2022-Q4</v>
      </c>
      <c r="L984" s="63" t="str">
        <f t="shared" si="9"/>
        <v>2022-10</v>
      </c>
      <c r="M984" s="64" t="str">
        <f t="shared" si="10"/>
        <v>2022-H2</v>
      </c>
      <c r="N984" s="65" t="s">
        <v>80</v>
      </c>
    </row>
    <row r="985">
      <c r="I985" s="61" t="str">
        <f t="shared" si="6"/>
        <v>2022</v>
      </c>
      <c r="J985" s="62">
        <f t="shared" si="7"/>
        <v>10</v>
      </c>
      <c r="K985" s="61" t="str">
        <f t="shared" si="8"/>
        <v>2022-Q4</v>
      </c>
      <c r="L985" s="63" t="str">
        <f t="shared" si="9"/>
        <v>2022-10</v>
      </c>
      <c r="M985" s="64" t="str">
        <f t="shared" si="10"/>
        <v>2022-H2</v>
      </c>
      <c r="N985" s="65" t="s">
        <v>80</v>
      </c>
    </row>
    <row r="986">
      <c r="I986" s="61" t="str">
        <f t="shared" si="6"/>
        <v>2022</v>
      </c>
      <c r="J986" s="62">
        <f t="shared" si="7"/>
        <v>10</v>
      </c>
      <c r="K986" s="61" t="str">
        <f t="shared" si="8"/>
        <v>2022-Q4</v>
      </c>
      <c r="L986" s="63" t="str">
        <f t="shared" si="9"/>
        <v>2022-10</v>
      </c>
      <c r="M986" s="64" t="str">
        <f t="shared" si="10"/>
        <v>2022-H2</v>
      </c>
      <c r="N986" s="65" t="s">
        <v>80</v>
      </c>
    </row>
    <row r="987">
      <c r="I987" s="61" t="str">
        <f t="shared" si="6"/>
        <v>2022</v>
      </c>
      <c r="J987" s="62">
        <f t="shared" si="7"/>
        <v>10</v>
      </c>
      <c r="K987" s="61" t="str">
        <f t="shared" si="8"/>
        <v>2022-Q4</v>
      </c>
      <c r="L987" s="63" t="str">
        <f t="shared" si="9"/>
        <v>2022-10</v>
      </c>
      <c r="M987" s="64" t="str">
        <f t="shared" si="10"/>
        <v>2022-H2</v>
      </c>
      <c r="N987" s="65" t="s">
        <v>80</v>
      </c>
    </row>
    <row r="988">
      <c r="I988" s="61" t="str">
        <f t="shared" si="6"/>
        <v>2022</v>
      </c>
      <c r="J988" s="62">
        <f t="shared" si="7"/>
        <v>10</v>
      </c>
      <c r="K988" s="61" t="str">
        <f t="shared" si="8"/>
        <v>2022-Q4</v>
      </c>
      <c r="L988" s="63" t="str">
        <f t="shared" si="9"/>
        <v>2022-10</v>
      </c>
      <c r="M988" s="64" t="str">
        <f t="shared" si="10"/>
        <v>2022-H2</v>
      </c>
      <c r="N988" s="65" t="s">
        <v>80</v>
      </c>
    </row>
    <row r="989">
      <c r="I989" s="61" t="str">
        <f t="shared" si="6"/>
        <v>2022</v>
      </c>
      <c r="J989" s="62">
        <f t="shared" si="7"/>
        <v>10</v>
      </c>
      <c r="K989" s="61" t="str">
        <f t="shared" si="8"/>
        <v>2022-Q4</v>
      </c>
      <c r="L989" s="63" t="str">
        <f t="shared" si="9"/>
        <v>2022-10</v>
      </c>
      <c r="M989" s="64" t="str">
        <f t="shared" si="10"/>
        <v>2022-H2</v>
      </c>
      <c r="N989" s="65" t="s">
        <v>80</v>
      </c>
    </row>
    <row r="990">
      <c r="I990" s="61" t="str">
        <f t="shared" si="6"/>
        <v>2022</v>
      </c>
      <c r="J990" s="62">
        <f t="shared" si="7"/>
        <v>10</v>
      </c>
      <c r="K990" s="61" t="str">
        <f t="shared" si="8"/>
        <v>2022-Q4</v>
      </c>
      <c r="L990" s="63" t="str">
        <f t="shared" si="9"/>
        <v>2022-10</v>
      </c>
      <c r="M990" s="64" t="str">
        <f t="shared" si="10"/>
        <v>2022-H2</v>
      </c>
      <c r="N990" s="65" t="s">
        <v>80</v>
      </c>
    </row>
    <row r="991">
      <c r="I991" s="61" t="str">
        <f t="shared" si="6"/>
        <v>2022</v>
      </c>
      <c r="J991" s="62">
        <f t="shared" si="7"/>
        <v>10</v>
      </c>
      <c r="K991" s="61" t="str">
        <f t="shared" si="8"/>
        <v>2022-Q4</v>
      </c>
      <c r="L991" s="63" t="str">
        <f t="shared" si="9"/>
        <v>2022-10</v>
      </c>
      <c r="M991" s="64" t="str">
        <f t="shared" si="10"/>
        <v>2022-H2</v>
      </c>
      <c r="N991" s="65" t="s">
        <v>80</v>
      </c>
    </row>
    <row r="992">
      <c r="I992" s="61" t="str">
        <f t="shared" si="6"/>
        <v>2022</v>
      </c>
      <c r="J992" s="62">
        <f t="shared" si="7"/>
        <v>11</v>
      </c>
      <c r="K992" s="61" t="str">
        <f t="shared" si="8"/>
        <v>2022-Q4</v>
      </c>
      <c r="L992" s="63" t="str">
        <f t="shared" si="9"/>
        <v>2022-11</v>
      </c>
      <c r="M992" s="64" t="str">
        <f t="shared" si="10"/>
        <v>2022-H2</v>
      </c>
      <c r="N992" s="65" t="s">
        <v>80</v>
      </c>
    </row>
    <row r="993">
      <c r="I993" s="61" t="str">
        <f t="shared" si="6"/>
        <v>2022</v>
      </c>
      <c r="J993" s="62">
        <f t="shared" si="7"/>
        <v>10</v>
      </c>
      <c r="K993" s="61" t="str">
        <f t="shared" si="8"/>
        <v>2022-Q4</v>
      </c>
      <c r="L993" s="63" t="str">
        <f t="shared" si="9"/>
        <v>2022-10</v>
      </c>
      <c r="M993" s="64" t="str">
        <f t="shared" si="10"/>
        <v>2022-H2</v>
      </c>
      <c r="N993" s="65" t="s">
        <v>80</v>
      </c>
    </row>
    <row r="994">
      <c r="I994" s="61" t="str">
        <f t="shared" si="6"/>
        <v>2022</v>
      </c>
      <c r="J994" s="62">
        <f t="shared" si="7"/>
        <v>11</v>
      </c>
      <c r="K994" s="61" t="str">
        <f t="shared" si="8"/>
        <v>2022-Q4</v>
      </c>
      <c r="L994" s="63" t="str">
        <f t="shared" si="9"/>
        <v>2022-11</v>
      </c>
      <c r="M994" s="64" t="str">
        <f t="shared" si="10"/>
        <v>2022-H2</v>
      </c>
      <c r="N994" s="65" t="s">
        <v>80</v>
      </c>
    </row>
    <row r="995">
      <c r="I995" s="61" t="str">
        <f t="shared" si="6"/>
        <v>2022</v>
      </c>
      <c r="J995" s="62">
        <f t="shared" si="7"/>
        <v>11</v>
      </c>
      <c r="K995" s="61" t="str">
        <f t="shared" si="8"/>
        <v>2022-Q4</v>
      </c>
      <c r="L995" s="63" t="str">
        <f t="shared" si="9"/>
        <v>2022-11</v>
      </c>
      <c r="M995" s="64" t="str">
        <f t="shared" si="10"/>
        <v>2022-H2</v>
      </c>
      <c r="N995" s="65" t="s">
        <v>80</v>
      </c>
    </row>
    <row r="996">
      <c r="I996" s="61" t="str">
        <f t="shared" si="6"/>
        <v>2022</v>
      </c>
      <c r="J996" s="62">
        <f t="shared" si="7"/>
        <v>11</v>
      </c>
      <c r="K996" s="61" t="str">
        <f t="shared" si="8"/>
        <v>2022-Q4</v>
      </c>
      <c r="L996" s="63" t="str">
        <f t="shared" si="9"/>
        <v>2022-11</v>
      </c>
      <c r="M996" s="64" t="str">
        <f t="shared" si="10"/>
        <v>2022-H2</v>
      </c>
      <c r="N996" s="65" t="s">
        <v>80</v>
      </c>
    </row>
    <row r="997">
      <c r="I997" s="61" t="str">
        <f t="shared" si="6"/>
        <v>2022</v>
      </c>
      <c r="J997" s="62">
        <f t="shared" si="7"/>
        <v>11</v>
      </c>
      <c r="K997" s="61" t="str">
        <f t="shared" si="8"/>
        <v>2022-Q4</v>
      </c>
      <c r="L997" s="63" t="str">
        <f t="shared" si="9"/>
        <v>2022-11</v>
      </c>
      <c r="M997" s="64" t="str">
        <f t="shared" si="10"/>
        <v>2022-H2</v>
      </c>
      <c r="N997" s="65" t="s">
        <v>80</v>
      </c>
    </row>
    <row r="998">
      <c r="I998" s="61" t="str">
        <f t="shared" si="6"/>
        <v>2022</v>
      </c>
      <c r="J998" s="62">
        <f t="shared" si="7"/>
        <v>11</v>
      </c>
      <c r="K998" s="61" t="str">
        <f t="shared" si="8"/>
        <v>2022-Q4</v>
      </c>
      <c r="L998" s="63" t="str">
        <f t="shared" si="9"/>
        <v>2022-11</v>
      </c>
      <c r="M998" s="64" t="str">
        <f t="shared" si="10"/>
        <v>2022-H2</v>
      </c>
      <c r="N998" s="65" t="s">
        <v>80</v>
      </c>
    </row>
    <row r="999">
      <c r="I999" s="61" t="str">
        <f t="shared" si="6"/>
        <v>2022</v>
      </c>
      <c r="J999" s="62">
        <f t="shared" si="7"/>
        <v>11</v>
      </c>
      <c r="K999" s="61" t="str">
        <f t="shared" si="8"/>
        <v>2022-Q4</v>
      </c>
      <c r="L999" s="63" t="str">
        <f t="shared" si="9"/>
        <v>2022-11</v>
      </c>
      <c r="M999" s="64" t="str">
        <f t="shared" si="10"/>
        <v>2022-H2</v>
      </c>
      <c r="N999" s="65" t="s">
        <v>80</v>
      </c>
    </row>
    <row r="1000">
      <c r="I1000" s="61" t="str">
        <f t="shared" si="6"/>
        <v>2022</v>
      </c>
      <c r="J1000" s="62">
        <f t="shared" si="7"/>
        <v>11</v>
      </c>
      <c r="K1000" s="61" t="str">
        <f t="shared" si="8"/>
        <v>2022-Q4</v>
      </c>
      <c r="L1000" s="63" t="str">
        <f t="shared" si="9"/>
        <v>2022-11</v>
      </c>
      <c r="M1000" s="64" t="str">
        <f t="shared" si="10"/>
        <v>2022-H2</v>
      </c>
      <c r="N1000" s="65" t="s">
        <v>80</v>
      </c>
    </row>
    <row r="1001">
      <c r="I1001" s="61" t="str">
        <f t="shared" si="6"/>
        <v>2022</v>
      </c>
      <c r="J1001" s="62">
        <f t="shared" si="7"/>
        <v>11</v>
      </c>
      <c r="K1001" s="61" t="str">
        <f t="shared" si="8"/>
        <v>2022-Q4</v>
      </c>
      <c r="L1001" s="63" t="str">
        <f t="shared" si="9"/>
        <v>2022-11</v>
      </c>
      <c r="M1001" s="64" t="str">
        <f t="shared" si="10"/>
        <v>2022-H2</v>
      </c>
      <c r="N1001" s="65" t="s">
        <v>80</v>
      </c>
    </row>
    <row r="1002">
      <c r="I1002" s="61" t="str">
        <f t="shared" si="6"/>
        <v>2022</v>
      </c>
      <c r="J1002" s="62">
        <f t="shared" si="7"/>
        <v>11</v>
      </c>
      <c r="K1002" s="61" t="str">
        <f t="shared" si="8"/>
        <v>2022-Q4</v>
      </c>
      <c r="L1002" s="63" t="str">
        <f t="shared" si="9"/>
        <v>2022-11</v>
      </c>
      <c r="M1002" s="64" t="str">
        <f t="shared" si="10"/>
        <v>2022-H2</v>
      </c>
      <c r="N1002" s="65" t="s">
        <v>80</v>
      </c>
    </row>
    <row r="1003">
      <c r="I1003" s="61" t="str">
        <f t="shared" si="6"/>
        <v>2022</v>
      </c>
      <c r="J1003" s="62">
        <f t="shared" si="7"/>
        <v>11</v>
      </c>
      <c r="K1003" s="61" t="str">
        <f t="shared" si="8"/>
        <v>2022-Q4</v>
      </c>
      <c r="L1003" s="63" t="str">
        <f t="shared" si="9"/>
        <v>2022-11</v>
      </c>
      <c r="M1003" s="64" t="str">
        <f t="shared" si="10"/>
        <v>2022-H2</v>
      </c>
      <c r="N1003" s="65" t="s">
        <v>80</v>
      </c>
    </row>
    <row r="1004">
      <c r="I1004" s="61" t="str">
        <f t="shared" si="6"/>
        <v>2022</v>
      </c>
      <c r="J1004" s="62">
        <f t="shared" si="7"/>
        <v>11</v>
      </c>
      <c r="K1004" s="61" t="str">
        <f t="shared" si="8"/>
        <v>2022-Q4</v>
      </c>
      <c r="L1004" s="63" t="str">
        <f t="shared" si="9"/>
        <v>2022-11</v>
      </c>
      <c r="M1004" s="64" t="str">
        <f t="shared" si="10"/>
        <v>2022-H2</v>
      </c>
      <c r="N1004" s="65" t="s">
        <v>80</v>
      </c>
    </row>
    <row r="1005">
      <c r="I1005" s="61" t="str">
        <f t="shared" si="6"/>
        <v>2022</v>
      </c>
      <c r="J1005" s="62">
        <f t="shared" si="7"/>
        <v>11</v>
      </c>
      <c r="K1005" s="61" t="str">
        <f t="shared" si="8"/>
        <v>2022-Q4</v>
      </c>
      <c r="L1005" s="63" t="str">
        <f t="shared" si="9"/>
        <v>2022-11</v>
      </c>
      <c r="M1005" s="64" t="str">
        <f t="shared" si="10"/>
        <v>2022-H2</v>
      </c>
      <c r="N1005" s="65" t="s">
        <v>80</v>
      </c>
    </row>
    <row r="1006">
      <c r="I1006" s="61" t="str">
        <f t="shared" si="6"/>
        <v>2022</v>
      </c>
      <c r="J1006" s="62">
        <f t="shared" si="7"/>
        <v>11</v>
      </c>
      <c r="K1006" s="61" t="str">
        <f t="shared" si="8"/>
        <v>2022-Q4</v>
      </c>
      <c r="L1006" s="63" t="str">
        <f t="shared" si="9"/>
        <v>2022-11</v>
      </c>
      <c r="M1006" s="64" t="str">
        <f t="shared" si="10"/>
        <v>2022-H2</v>
      </c>
      <c r="N1006" s="65" t="s">
        <v>80</v>
      </c>
    </row>
    <row r="1007">
      <c r="I1007" s="61" t="str">
        <f t="shared" si="6"/>
        <v>2022</v>
      </c>
      <c r="J1007" s="62">
        <f t="shared" si="7"/>
        <v>11</v>
      </c>
      <c r="K1007" s="61" t="str">
        <f t="shared" si="8"/>
        <v>2022-Q4</v>
      </c>
      <c r="L1007" s="63" t="str">
        <f t="shared" si="9"/>
        <v>2022-11</v>
      </c>
      <c r="M1007" s="64" t="str">
        <f t="shared" si="10"/>
        <v>2022-H2</v>
      </c>
      <c r="N1007" s="65" t="s">
        <v>80</v>
      </c>
    </row>
    <row r="1008">
      <c r="I1008" s="61" t="str">
        <f t="shared" si="6"/>
        <v>2022</v>
      </c>
      <c r="J1008" s="62">
        <f t="shared" si="7"/>
        <v>11</v>
      </c>
      <c r="K1008" s="61" t="str">
        <f t="shared" si="8"/>
        <v>2022-Q4</v>
      </c>
      <c r="L1008" s="63" t="str">
        <f t="shared" si="9"/>
        <v>2022-11</v>
      </c>
      <c r="M1008" s="64" t="str">
        <f t="shared" si="10"/>
        <v>2022-H2</v>
      </c>
      <c r="N1008" s="65" t="s">
        <v>80</v>
      </c>
    </row>
    <row r="1009">
      <c r="I1009" s="61" t="str">
        <f t="shared" si="6"/>
        <v>2022</v>
      </c>
      <c r="J1009" s="62">
        <f t="shared" si="7"/>
        <v>11</v>
      </c>
      <c r="K1009" s="61" t="str">
        <f t="shared" si="8"/>
        <v>2022-Q4</v>
      </c>
      <c r="L1009" s="63" t="str">
        <f t="shared" si="9"/>
        <v>2022-11</v>
      </c>
      <c r="M1009" s="64" t="str">
        <f t="shared" si="10"/>
        <v>2022-H2</v>
      </c>
      <c r="N1009" s="65" t="s">
        <v>80</v>
      </c>
    </row>
    <row r="1010">
      <c r="I1010" s="61" t="str">
        <f t="shared" si="6"/>
        <v>2022</v>
      </c>
      <c r="J1010" s="62">
        <f t="shared" si="7"/>
        <v>11</v>
      </c>
      <c r="K1010" s="61" t="str">
        <f t="shared" si="8"/>
        <v>2022-Q4</v>
      </c>
      <c r="L1010" s="63" t="str">
        <f t="shared" si="9"/>
        <v>2022-11</v>
      </c>
      <c r="M1010" s="64" t="str">
        <f t="shared" si="10"/>
        <v>2022-H2</v>
      </c>
      <c r="N1010" s="65" t="s">
        <v>80</v>
      </c>
    </row>
    <row r="1011">
      <c r="I1011" s="61" t="str">
        <f t="shared" si="6"/>
        <v>2022</v>
      </c>
      <c r="J1011" s="62">
        <f t="shared" si="7"/>
        <v>12</v>
      </c>
      <c r="K1011" s="61" t="str">
        <f t="shared" si="8"/>
        <v>2022-Q4</v>
      </c>
      <c r="L1011" s="63" t="str">
        <f t="shared" si="9"/>
        <v>2022-12</v>
      </c>
      <c r="M1011" s="64" t="str">
        <f t="shared" si="10"/>
        <v>2022-H2</v>
      </c>
      <c r="N1011" s="65" t="s">
        <v>80</v>
      </c>
    </row>
    <row r="1012">
      <c r="I1012" s="61" t="str">
        <f t="shared" si="6"/>
        <v>2022</v>
      </c>
      <c r="J1012" s="62">
        <f t="shared" si="7"/>
        <v>12</v>
      </c>
      <c r="K1012" s="61" t="str">
        <f t="shared" si="8"/>
        <v>2022-Q4</v>
      </c>
      <c r="L1012" s="63" t="str">
        <f t="shared" si="9"/>
        <v>2022-12</v>
      </c>
      <c r="M1012" s="64" t="str">
        <f t="shared" si="10"/>
        <v>2022-H2</v>
      </c>
      <c r="N1012" s="65" t="s">
        <v>80</v>
      </c>
    </row>
    <row r="1013">
      <c r="I1013" s="61" t="str">
        <f t="shared" si="6"/>
        <v>2022</v>
      </c>
      <c r="J1013" s="62">
        <f t="shared" si="7"/>
        <v>11</v>
      </c>
      <c r="K1013" s="61" t="str">
        <f t="shared" si="8"/>
        <v>2022-Q4</v>
      </c>
      <c r="L1013" s="63" t="str">
        <f t="shared" si="9"/>
        <v>2022-11</v>
      </c>
      <c r="M1013" s="64" t="str">
        <f t="shared" si="10"/>
        <v>2022-H2</v>
      </c>
      <c r="N1013" s="65" t="s">
        <v>80</v>
      </c>
    </row>
    <row r="1014">
      <c r="I1014" s="61" t="str">
        <f t="shared" si="6"/>
        <v>2022</v>
      </c>
      <c r="J1014" s="62">
        <f t="shared" si="7"/>
        <v>12</v>
      </c>
      <c r="K1014" s="61" t="str">
        <f t="shared" si="8"/>
        <v>2022-Q4</v>
      </c>
      <c r="L1014" s="63" t="str">
        <f t="shared" si="9"/>
        <v>2022-12</v>
      </c>
      <c r="M1014" s="64" t="str">
        <f t="shared" si="10"/>
        <v>2022-H2</v>
      </c>
      <c r="N1014" s="65" t="s">
        <v>80</v>
      </c>
    </row>
    <row r="1015">
      <c r="I1015" s="61" t="str">
        <f t="shared" si="6"/>
        <v>2023</v>
      </c>
      <c r="J1015" s="62">
        <f t="shared" si="7"/>
        <v>1</v>
      </c>
      <c r="K1015" s="61" t="str">
        <f t="shared" si="8"/>
        <v>2023-Q1</v>
      </c>
      <c r="L1015" s="63" t="str">
        <f t="shared" si="9"/>
        <v>2023-01</v>
      </c>
      <c r="M1015" s="64" t="str">
        <f t="shared" si="10"/>
        <v>2023-H1</v>
      </c>
      <c r="N1015" s="65" t="s">
        <v>80</v>
      </c>
    </row>
    <row r="1016">
      <c r="I1016" s="61" t="str">
        <f t="shared" si="6"/>
        <v>2022</v>
      </c>
      <c r="J1016" s="62">
        <f t="shared" si="7"/>
        <v>12</v>
      </c>
      <c r="K1016" s="61" t="str">
        <f t="shared" si="8"/>
        <v>2022-Q4</v>
      </c>
      <c r="L1016" s="63" t="str">
        <f t="shared" si="9"/>
        <v>2022-12</v>
      </c>
      <c r="M1016" s="64" t="str">
        <f t="shared" si="10"/>
        <v>2022-H2</v>
      </c>
      <c r="N1016" s="65" t="s">
        <v>80</v>
      </c>
    </row>
    <row r="1017">
      <c r="I1017" s="61" t="str">
        <f t="shared" si="6"/>
        <v>2023</v>
      </c>
      <c r="J1017" s="62">
        <f t="shared" si="7"/>
        <v>8</v>
      </c>
      <c r="K1017" s="61" t="str">
        <f t="shared" si="8"/>
        <v>2023-Q3</v>
      </c>
      <c r="L1017" s="63" t="str">
        <f t="shared" si="9"/>
        <v>2023-08</v>
      </c>
      <c r="M1017" s="64" t="str">
        <f t="shared" si="10"/>
        <v>2023-H2</v>
      </c>
      <c r="N1017" s="65" t="s">
        <v>80</v>
      </c>
    </row>
    <row r="1018">
      <c r="I1018" s="61" t="str">
        <f t="shared" si="6"/>
        <v>2023</v>
      </c>
      <c r="J1018" s="62">
        <f t="shared" si="7"/>
        <v>1</v>
      </c>
      <c r="K1018" s="61" t="str">
        <f t="shared" si="8"/>
        <v>2023-Q1</v>
      </c>
      <c r="L1018" s="63" t="str">
        <f t="shared" si="9"/>
        <v>2023-01</v>
      </c>
      <c r="M1018" s="64" t="str">
        <f t="shared" si="10"/>
        <v>2023-H1</v>
      </c>
      <c r="N1018" s="65" t="s">
        <v>80</v>
      </c>
    </row>
    <row r="1019">
      <c r="I1019" s="61" t="str">
        <f t="shared" si="6"/>
        <v>2022</v>
      </c>
      <c r="J1019" s="62">
        <f t="shared" si="7"/>
        <v>12</v>
      </c>
      <c r="K1019" s="61" t="str">
        <f t="shared" si="8"/>
        <v>2022-Q4</v>
      </c>
      <c r="L1019" s="63" t="str">
        <f t="shared" si="9"/>
        <v>2022-12</v>
      </c>
      <c r="M1019" s="64" t="str">
        <f t="shared" si="10"/>
        <v>2022-H2</v>
      </c>
      <c r="N1019" s="65" t="s">
        <v>80</v>
      </c>
    </row>
    <row r="1020">
      <c r="I1020" s="61" t="str">
        <f t="shared" si="6"/>
        <v>2022</v>
      </c>
      <c r="J1020" s="62">
        <f t="shared" si="7"/>
        <v>12</v>
      </c>
      <c r="K1020" s="61" t="str">
        <f t="shared" si="8"/>
        <v>2022-Q4</v>
      </c>
      <c r="L1020" s="63" t="str">
        <f t="shared" si="9"/>
        <v>2022-12</v>
      </c>
      <c r="M1020" s="64" t="str">
        <f t="shared" si="10"/>
        <v>2022-H2</v>
      </c>
      <c r="N1020" s="65" t="s">
        <v>80</v>
      </c>
    </row>
    <row r="1021">
      <c r="I1021" s="61" t="str">
        <f t="shared" si="6"/>
        <v>2022</v>
      </c>
      <c r="J1021" s="62">
        <f t="shared" si="7"/>
        <v>11</v>
      </c>
      <c r="K1021" s="61" t="str">
        <f t="shared" si="8"/>
        <v>2022-Q4</v>
      </c>
      <c r="L1021" s="63" t="str">
        <f t="shared" si="9"/>
        <v>2022-11</v>
      </c>
      <c r="M1021" s="64" t="str">
        <f t="shared" si="10"/>
        <v>2022-H2</v>
      </c>
      <c r="N1021" s="65" t="s">
        <v>80</v>
      </c>
    </row>
    <row r="1022">
      <c r="I1022" s="61" t="str">
        <f t="shared" si="6"/>
        <v>2022</v>
      </c>
      <c r="J1022" s="62">
        <f t="shared" si="7"/>
        <v>11</v>
      </c>
      <c r="K1022" s="61" t="str">
        <f t="shared" si="8"/>
        <v>2022-Q4</v>
      </c>
      <c r="L1022" s="63" t="str">
        <f t="shared" si="9"/>
        <v>2022-11</v>
      </c>
      <c r="M1022" s="64" t="str">
        <f t="shared" si="10"/>
        <v>2022-H2</v>
      </c>
      <c r="N1022" s="65" t="s">
        <v>80</v>
      </c>
    </row>
    <row r="1023">
      <c r="I1023" s="61" t="str">
        <f t="shared" si="6"/>
        <v>2022</v>
      </c>
      <c r="J1023" s="62">
        <f t="shared" si="7"/>
        <v>12</v>
      </c>
      <c r="K1023" s="61" t="str">
        <f t="shared" si="8"/>
        <v>2022-Q4</v>
      </c>
      <c r="L1023" s="63" t="str">
        <f t="shared" si="9"/>
        <v>2022-12</v>
      </c>
      <c r="M1023" s="64" t="str">
        <f t="shared" si="10"/>
        <v>2022-H2</v>
      </c>
      <c r="N1023" s="65" t="s">
        <v>80</v>
      </c>
    </row>
    <row r="1024">
      <c r="I1024" s="61" t="str">
        <f t="shared" si="6"/>
        <v>2022</v>
      </c>
      <c r="J1024" s="62">
        <f t="shared" si="7"/>
        <v>12</v>
      </c>
      <c r="K1024" s="61" t="str">
        <f t="shared" si="8"/>
        <v>2022-Q4</v>
      </c>
      <c r="L1024" s="63" t="str">
        <f t="shared" si="9"/>
        <v>2022-12</v>
      </c>
      <c r="M1024" s="64" t="str">
        <f t="shared" si="10"/>
        <v>2022-H2</v>
      </c>
      <c r="N1024" s="65" t="s">
        <v>80</v>
      </c>
    </row>
    <row r="1025">
      <c r="I1025" s="61" t="str">
        <f t="shared" si="6"/>
        <v>2022</v>
      </c>
      <c r="J1025" s="62">
        <f t="shared" si="7"/>
        <v>12</v>
      </c>
      <c r="K1025" s="61" t="str">
        <f t="shared" si="8"/>
        <v>2022-Q4</v>
      </c>
      <c r="L1025" s="63" t="str">
        <f t="shared" si="9"/>
        <v>2022-12</v>
      </c>
      <c r="M1025" s="64" t="str">
        <f t="shared" si="10"/>
        <v>2022-H2</v>
      </c>
      <c r="N1025" s="65" t="s">
        <v>80</v>
      </c>
    </row>
    <row r="1026">
      <c r="I1026" s="61" t="str">
        <f t="shared" si="6"/>
        <v>2022</v>
      </c>
      <c r="J1026" s="62">
        <f t="shared" si="7"/>
        <v>12</v>
      </c>
      <c r="K1026" s="61" t="str">
        <f t="shared" si="8"/>
        <v>2022-Q4</v>
      </c>
      <c r="L1026" s="63" t="str">
        <f t="shared" si="9"/>
        <v>2022-12</v>
      </c>
      <c r="M1026" s="64" t="str">
        <f t="shared" si="10"/>
        <v>2022-H2</v>
      </c>
      <c r="N1026" s="65" t="s">
        <v>80</v>
      </c>
    </row>
    <row r="1027">
      <c r="I1027" s="61" t="str">
        <f t="shared" si="6"/>
        <v>2022</v>
      </c>
      <c r="J1027" s="62">
        <f t="shared" si="7"/>
        <v>12</v>
      </c>
      <c r="K1027" s="61" t="str">
        <f t="shared" si="8"/>
        <v>2022-Q4</v>
      </c>
      <c r="L1027" s="63" t="str">
        <f t="shared" si="9"/>
        <v>2022-12</v>
      </c>
      <c r="M1027" s="64" t="str">
        <f t="shared" si="10"/>
        <v>2022-H2</v>
      </c>
      <c r="N1027" s="65" t="s">
        <v>80</v>
      </c>
    </row>
    <row r="1028">
      <c r="I1028" s="61" t="str">
        <f t="shared" si="6"/>
        <v>2022</v>
      </c>
      <c r="J1028" s="62">
        <f t="shared" si="7"/>
        <v>12</v>
      </c>
      <c r="K1028" s="61" t="str">
        <f t="shared" si="8"/>
        <v>2022-Q4</v>
      </c>
      <c r="L1028" s="63" t="str">
        <f t="shared" si="9"/>
        <v>2022-12</v>
      </c>
      <c r="M1028" s="64" t="str">
        <f t="shared" si="10"/>
        <v>2022-H2</v>
      </c>
      <c r="N1028" s="65" t="s">
        <v>80</v>
      </c>
    </row>
    <row r="1029">
      <c r="I1029" s="61" t="str">
        <f t="shared" si="6"/>
        <v>2022</v>
      </c>
      <c r="J1029" s="62">
        <f t="shared" si="7"/>
        <v>12</v>
      </c>
      <c r="K1029" s="61" t="str">
        <f t="shared" si="8"/>
        <v>2022-Q4</v>
      </c>
      <c r="L1029" s="63" t="str">
        <f t="shared" si="9"/>
        <v>2022-12</v>
      </c>
      <c r="M1029" s="64" t="str">
        <f t="shared" si="10"/>
        <v>2022-H2</v>
      </c>
      <c r="N1029" s="65" t="s">
        <v>80</v>
      </c>
    </row>
    <row r="1030">
      <c r="I1030" s="61" t="str">
        <f t="shared" si="6"/>
        <v>2022</v>
      </c>
      <c r="J1030" s="62">
        <f t="shared" si="7"/>
        <v>12</v>
      </c>
      <c r="K1030" s="61" t="str">
        <f t="shared" si="8"/>
        <v>2022-Q4</v>
      </c>
      <c r="L1030" s="63" t="str">
        <f t="shared" si="9"/>
        <v>2022-12</v>
      </c>
      <c r="M1030" s="64" t="str">
        <f t="shared" si="10"/>
        <v>2022-H2</v>
      </c>
      <c r="N1030" s="65" t="s">
        <v>80</v>
      </c>
    </row>
    <row r="1031">
      <c r="I1031" s="61" t="str">
        <f t="shared" si="6"/>
        <v>2022</v>
      </c>
      <c r="J1031" s="62">
        <f t="shared" si="7"/>
        <v>12</v>
      </c>
      <c r="K1031" s="61" t="str">
        <f t="shared" si="8"/>
        <v>2022-Q4</v>
      </c>
      <c r="L1031" s="63" t="str">
        <f t="shared" si="9"/>
        <v>2022-12</v>
      </c>
      <c r="M1031" s="64" t="str">
        <f t="shared" si="10"/>
        <v>2022-H2</v>
      </c>
      <c r="N1031" s="65" t="s">
        <v>80</v>
      </c>
    </row>
    <row r="1032">
      <c r="I1032" s="61" t="str">
        <f t="shared" si="6"/>
        <v>2022</v>
      </c>
      <c r="J1032" s="62">
        <f t="shared" si="7"/>
        <v>12</v>
      </c>
      <c r="K1032" s="61" t="str">
        <f t="shared" si="8"/>
        <v>2022-Q4</v>
      </c>
      <c r="L1032" s="63" t="str">
        <f t="shared" si="9"/>
        <v>2022-12</v>
      </c>
      <c r="M1032" s="64" t="str">
        <f t="shared" si="10"/>
        <v>2022-H2</v>
      </c>
      <c r="N1032" s="65" t="s">
        <v>80</v>
      </c>
    </row>
    <row r="1033">
      <c r="I1033" s="61" t="str">
        <f t="shared" si="6"/>
        <v>2022</v>
      </c>
      <c r="J1033" s="62">
        <f t="shared" si="7"/>
        <v>12</v>
      </c>
      <c r="K1033" s="61" t="str">
        <f t="shared" si="8"/>
        <v>2022-Q4</v>
      </c>
      <c r="L1033" s="63" t="str">
        <f t="shared" si="9"/>
        <v>2022-12</v>
      </c>
      <c r="M1033" s="64" t="str">
        <f t="shared" si="10"/>
        <v>2022-H2</v>
      </c>
      <c r="N1033" s="65" t="s">
        <v>80</v>
      </c>
    </row>
    <row r="1034">
      <c r="I1034" s="61" t="str">
        <f t="shared" si="6"/>
        <v>2022</v>
      </c>
      <c r="J1034" s="62">
        <f t="shared" si="7"/>
        <v>12</v>
      </c>
      <c r="K1034" s="61" t="str">
        <f t="shared" si="8"/>
        <v>2022-Q4</v>
      </c>
      <c r="L1034" s="63" t="str">
        <f t="shared" si="9"/>
        <v>2022-12</v>
      </c>
      <c r="M1034" s="64" t="str">
        <f t="shared" si="10"/>
        <v>2022-H2</v>
      </c>
      <c r="N1034" s="65" t="s">
        <v>80</v>
      </c>
    </row>
    <row r="1035">
      <c r="I1035" s="61" t="str">
        <f t="shared" si="6"/>
        <v>2022</v>
      </c>
      <c r="J1035" s="62">
        <f t="shared" si="7"/>
        <v>12</v>
      </c>
      <c r="K1035" s="61" t="str">
        <f t="shared" si="8"/>
        <v>2022-Q4</v>
      </c>
      <c r="L1035" s="63" t="str">
        <f t="shared" si="9"/>
        <v>2022-12</v>
      </c>
      <c r="M1035" s="64" t="str">
        <f t="shared" si="10"/>
        <v>2022-H2</v>
      </c>
      <c r="N1035" s="65" t="s">
        <v>80</v>
      </c>
    </row>
    <row r="1036">
      <c r="I1036" s="61" t="str">
        <f t="shared" si="6"/>
        <v>2022</v>
      </c>
      <c r="J1036" s="62">
        <f t="shared" si="7"/>
        <v>12</v>
      </c>
      <c r="K1036" s="61" t="str">
        <f t="shared" si="8"/>
        <v>2022-Q4</v>
      </c>
      <c r="L1036" s="63" t="str">
        <f t="shared" si="9"/>
        <v>2022-12</v>
      </c>
      <c r="M1036" s="64" t="str">
        <f t="shared" si="10"/>
        <v>2022-H2</v>
      </c>
      <c r="N1036" s="65" t="s">
        <v>80</v>
      </c>
    </row>
    <row r="1037">
      <c r="I1037" s="61" t="str">
        <f t="shared" si="6"/>
        <v>2022</v>
      </c>
      <c r="J1037" s="62">
        <f t="shared" si="7"/>
        <v>12</v>
      </c>
      <c r="K1037" s="61" t="str">
        <f t="shared" si="8"/>
        <v>2022-Q4</v>
      </c>
      <c r="L1037" s="63" t="str">
        <f t="shared" si="9"/>
        <v>2022-12</v>
      </c>
      <c r="M1037" s="64" t="str">
        <f t="shared" si="10"/>
        <v>2022-H2</v>
      </c>
      <c r="N1037" s="65" t="s">
        <v>80</v>
      </c>
    </row>
    <row r="1038">
      <c r="I1038" s="61" t="str">
        <f t="shared" si="6"/>
        <v>2022</v>
      </c>
      <c r="J1038" s="62">
        <f t="shared" si="7"/>
        <v>12</v>
      </c>
      <c r="K1038" s="61" t="str">
        <f t="shared" si="8"/>
        <v>2022-Q4</v>
      </c>
      <c r="L1038" s="63" t="str">
        <f t="shared" si="9"/>
        <v>2022-12</v>
      </c>
      <c r="M1038" s="64" t="str">
        <f t="shared" si="10"/>
        <v>2022-H2</v>
      </c>
      <c r="N1038" s="65" t="s">
        <v>80</v>
      </c>
    </row>
    <row r="1039">
      <c r="I1039" s="61" t="str">
        <f t="shared" si="6"/>
        <v>2023</v>
      </c>
      <c r="J1039" s="62">
        <f t="shared" si="7"/>
        <v>1</v>
      </c>
      <c r="K1039" s="61" t="str">
        <f t="shared" si="8"/>
        <v>2023-Q1</v>
      </c>
      <c r="L1039" s="63" t="str">
        <f t="shared" si="9"/>
        <v>2023-01</v>
      </c>
      <c r="M1039" s="64" t="str">
        <f t="shared" si="10"/>
        <v>2023-H1</v>
      </c>
      <c r="N1039" s="65" t="s">
        <v>80</v>
      </c>
    </row>
    <row r="1040">
      <c r="I1040" s="61" t="str">
        <f t="shared" si="6"/>
        <v>2023</v>
      </c>
      <c r="J1040" s="62">
        <f t="shared" si="7"/>
        <v>1</v>
      </c>
      <c r="K1040" s="61" t="str">
        <f t="shared" si="8"/>
        <v>2023-Q1</v>
      </c>
      <c r="L1040" s="63" t="str">
        <f t="shared" si="9"/>
        <v>2023-01</v>
      </c>
      <c r="M1040" s="64" t="str">
        <f t="shared" si="10"/>
        <v>2023-H1</v>
      </c>
      <c r="N1040" s="65" t="s">
        <v>80</v>
      </c>
    </row>
    <row r="1041">
      <c r="I1041" s="61" t="str">
        <f t="shared" si="6"/>
        <v>2022</v>
      </c>
      <c r="J1041" s="62">
        <f t="shared" si="7"/>
        <v>12</v>
      </c>
      <c r="K1041" s="61" t="str">
        <f t="shared" si="8"/>
        <v>2022-Q4</v>
      </c>
      <c r="L1041" s="63" t="str">
        <f t="shared" si="9"/>
        <v>2022-12</v>
      </c>
      <c r="M1041" s="64" t="str">
        <f t="shared" si="10"/>
        <v>2022-H2</v>
      </c>
      <c r="N1041" s="65" t="s">
        <v>80</v>
      </c>
    </row>
    <row r="1042">
      <c r="I1042" s="61" t="str">
        <f t="shared" si="6"/>
        <v>2023</v>
      </c>
      <c r="J1042" s="62">
        <f t="shared" si="7"/>
        <v>1</v>
      </c>
      <c r="K1042" s="61" t="str">
        <f t="shared" si="8"/>
        <v>2023-Q1</v>
      </c>
      <c r="L1042" s="63" t="str">
        <f t="shared" si="9"/>
        <v>2023-01</v>
      </c>
      <c r="M1042" s="64" t="str">
        <f t="shared" si="10"/>
        <v>2023-H1</v>
      </c>
      <c r="N1042" s="65" t="s">
        <v>80</v>
      </c>
    </row>
    <row r="1043">
      <c r="I1043" s="61" t="str">
        <f t="shared" si="6"/>
        <v>2023</v>
      </c>
      <c r="J1043" s="62">
        <f t="shared" si="7"/>
        <v>1</v>
      </c>
      <c r="K1043" s="61" t="str">
        <f t="shared" si="8"/>
        <v>2023-Q1</v>
      </c>
      <c r="L1043" s="63" t="str">
        <f t="shared" si="9"/>
        <v>2023-01</v>
      </c>
      <c r="M1043" s="64" t="str">
        <f t="shared" si="10"/>
        <v>2023-H1</v>
      </c>
      <c r="N1043" s="65" t="s">
        <v>80</v>
      </c>
    </row>
    <row r="1044">
      <c r="I1044" s="61" t="str">
        <f t="shared" si="6"/>
        <v>2023</v>
      </c>
      <c r="J1044" s="62">
        <f t="shared" si="7"/>
        <v>1</v>
      </c>
      <c r="K1044" s="61" t="str">
        <f t="shared" si="8"/>
        <v>2023-Q1</v>
      </c>
      <c r="L1044" s="63" t="str">
        <f t="shared" si="9"/>
        <v>2023-01</v>
      </c>
      <c r="M1044" s="64" t="str">
        <f t="shared" si="10"/>
        <v>2023-H1</v>
      </c>
      <c r="N1044" s="65" t="s">
        <v>80</v>
      </c>
    </row>
    <row r="1045">
      <c r="I1045" s="61" t="str">
        <f t="shared" si="6"/>
        <v>2023</v>
      </c>
      <c r="J1045" s="62">
        <f t="shared" si="7"/>
        <v>1</v>
      </c>
      <c r="K1045" s="61" t="str">
        <f t="shared" si="8"/>
        <v>2023-Q1</v>
      </c>
      <c r="L1045" s="63" t="str">
        <f t="shared" si="9"/>
        <v>2023-01</v>
      </c>
      <c r="M1045" s="64" t="str">
        <f t="shared" si="10"/>
        <v>2023-H1</v>
      </c>
      <c r="N1045" s="65" t="s">
        <v>80</v>
      </c>
    </row>
    <row r="1046">
      <c r="I1046" s="61" t="str">
        <f t="shared" si="6"/>
        <v>2023</v>
      </c>
      <c r="J1046" s="62">
        <f t="shared" si="7"/>
        <v>1</v>
      </c>
      <c r="K1046" s="61" t="str">
        <f t="shared" si="8"/>
        <v>2023-Q1</v>
      </c>
      <c r="L1046" s="63" t="str">
        <f t="shared" si="9"/>
        <v>2023-01</v>
      </c>
      <c r="M1046" s="64" t="str">
        <f t="shared" si="10"/>
        <v>2023-H1</v>
      </c>
      <c r="N1046" s="65" t="s">
        <v>80</v>
      </c>
    </row>
    <row r="1047">
      <c r="I1047" s="61" t="str">
        <f t="shared" si="6"/>
        <v>2023</v>
      </c>
      <c r="J1047" s="62">
        <f t="shared" si="7"/>
        <v>1</v>
      </c>
      <c r="K1047" s="61" t="str">
        <f t="shared" si="8"/>
        <v>2023-Q1</v>
      </c>
      <c r="L1047" s="63" t="str">
        <f t="shared" si="9"/>
        <v>2023-01</v>
      </c>
      <c r="M1047" s="64" t="str">
        <f t="shared" si="10"/>
        <v>2023-H1</v>
      </c>
      <c r="N1047" s="65" t="s">
        <v>80</v>
      </c>
    </row>
    <row r="1048">
      <c r="I1048" s="61" t="str">
        <f t="shared" si="6"/>
        <v>2023</v>
      </c>
      <c r="J1048" s="62">
        <f t="shared" si="7"/>
        <v>1</v>
      </c>
      <c r="K1048" s="61" t="str">
        <f t="shared" si="8"/>
        <v>2023-Q1</v>
      </c>
      <c r="L1048" s="63" t="str">
        <f t="shared" si="9"/>
        <v>2023-01</v>
      </c>
      <c r="M1048" s="64" t="str">
        <f t="shared" si="10"/>
        <v>2023-H1</v>
      </c>
      <c r="N1048" s="65" t="s">
        <v>80</v>
      </c>
    </row>
    <row r="1049">
      <c r="I1049" s="61" t="str">
        <f t="shared" si="6"/>
        <v>2023</v>
      </c>
      <c r="J1049" s="62">
        <f t="shared" si="7"/>
        <v>1</v>
      </c>
      <c r="K1049" s="61" t="str">
        <f t="shared" si="8"/>
        <v>2023-Q1</v>
      </c>
      <c r="L1049" s="63" t="str">
        <f t="shared" si="9"/>
        <v>2023-01</v>
      </c>
      <c r="M1049" s="64" t="str">
        <f t="shared" si="10"/>
        <v>2023-H1</v>
      </c>
      <c r="N1049" s="65" t="s">
        <v>80</v>
      </c>
    </row>
    <row r="1050">
      <c r="I1050" s="61" t="str">
        <f t="shared" si="6"/>
        <v>2023</v>
      </c>
      <c r="J1050" s="62">
        <f t="shared" si="7"/>
        <v>1</v>
      </c>
      <c r="K1050" s="61" t="str">
        <f t="shared" si="8"/>
        <v>2023-Q1</v>
      </c>
      <c r="L1050" s="63" t="str">
        <f t="shared" si="9"/>
        <v>2023-01</v>
      </c>
      <c r="M1050" s="64" t="str">
        <f t="shared" si="10"/>
        <v>2023-H1</v>
      </c>
      <c r="N1050" s="65" t="s">
        <v>80</v>
      </c>
    </row>
    <row r="1051">
      <c r="I1051" s="61" t="str">
        <f t="shared" si="6"/>
        <v>2023</v>
      </c>
      <c r="J1051" s="62">
        <f t="shared" si="7"/>
        <v>2</v>
      </c>
      <c r="K1051" s="61" t="str">
        <f t="shared" si="8"/>
        <v>2023-Q1</v>
      </c>
      <c r="L1051" s="63" t="str">
        <f t="shared" si="9"/>
        <v>2023-02</v>
      </c>
      <c r="M1051" s="64" t="str">
        <f t="shared" si="10"/>
        <v>2023-H1</v>
      </c>
      <c r="N1051" s="65" t="s">
        <v>80</v>
      </c>
    </row>
    <row r="1052">
      <c r="I1052" s="61" t="str">
        <f t="shared" si="6"/>
        <v>2023</v>
      </c>
      <c r="J1052" s="62">
        <f t="shared" si="7"/>
        <v>2</v>
      </c>
      <c r="K1052" s="61" t="str">
        <f t="shared" si="8"/>
        <v>2023-Q1</v>
      </c>
      <c r="L1052" s="63" t="str">
        <f t="shared" si="9"/>
        <v>2023-02</v>
      </c>
      <c r="M1052" s="64" t="str">
        <f t="shared" si="10"/>
        <v>2023-H1</v>
      </c>
      <c r="N1052" s="65" t="s">
        <v>80</v>
      </c>
    </row>
    <row r="1053">
      <c r="I1053" s="61" t="str">
        <f t="shared" si="6"/>
        <v>2023</v>
      </c>
      <c r="J1053" s="62">
        <f t="shared" si="7"/>
        <v>2</v>
      </c>
      <c r="K1053" s="61" t="str">
        <f t="shared" si="8"/>
        <v>2023-Q1</v>
      </c>
      <c r="L1053" s="63" t="str">
        <f t="shared" si="9"/>
        <v>2023-02</v>
      </c>
      <c r="M1053" s="64" t="str">
        <f t="shared" si="10"/>
        <v>2023-H1</v>
      </c>
      <c r="N1053" s="65" t="s">
        <v>80</v>
      </c>
    </row>
    <row r="1054">
      <c r="I1054" s="61" t="str">
        <f t="shared" si="6"/>
        <v>2023</v>
      </c>
      <c r="J1054" s="62">
        <f t="shared" si="7"/>
        <v>2</v>
      </c>
      <c r="K1054" s="61" t="str">
        <f t="shared" si="8"/>
        <v>2023-Q1</v>
      </c>
      <c r="L1054" s="63" t="str">
        <f t="shared" si="9"/>
        <v>2023-02</v>
      </c>
      <c r="M1054" s="64" t="str">
        <f t="shared" si="10"/>
        <v>2023-H1</v>
      </c>
      <c r="N1054" s="65" t="s">
        <v>80</v>
      </c>
    </row>
    <row r="1055">
      <c r="I1055" s="61" t="str">
        <f t="shared" si="6"/>
        <v>2023</v>
      </c>
      <c r="J1055" s="62">
        <f t="shared" si="7"/>
        <v>2</v>
      </c>
      <c r="K1055" s="61" t="str">
        <f t="shared" si="8"/>
        <v>2023-Q1</v>
      </c>
      <c r="L1055" s="63" t="str">
        <f t="shared" si="9"/>
        <v>2023-02</v>
      </c>
      <c r="M1055" s="64" t="str">
        <f t="shared" si="10"/>
        <v>2023-H1</v>
      </c>
      <c r="N1055" s="65" t="s">
        <v>80</v>
      </c>
    </row>
    <row r="1056">
      <c r="I1056" s="61" t="str">
        <f t="shared" si="6"/>
        <v>2023</v>
      </c>
      <c r="J1056" s="62">
        <f t="shared" si="7"/>
        <v>2</v>
      </c>
      <c r="K1056" s="61" t="str">
        <f t="shared" si="8"/>
        <v>2023-Q1</v>
      </c>
      <c r="L1056" s="63" t="str">
        <f t="shared" si="9"/>
        <v>2023-02</v>
      </c>
      <c r="M1056" s="64" t="str">
        <f t="shared" si="10"/>
        <v>2023-H1</v>
      </c>
      <c r="N1056" s="65" t="s">
        <v>80</v>
      </c>
    </row>
    <row r="1057">
      <c r="I1057" s="61" t="str">
        <f t="shared" si="6"/>
        <v>2023</v>
      </c>
      <c r="J1057" s="62">
        <f t="shared" si="7"/>
        <v>2</v>
      </c>
      <c r="K1057" s="61" t="str">
        <f t="shared" si="8"/>
        <v>2023-Q1</v>
      </c>
      <c r="L1057" s="63" t="str">
        <f t="shared" si="9"/>
        <v>2023-02</v>
      </c>
      <c r="M1057" s="64" t="str">
        <f t="shared" si="10"/>
        <v>2023-H1</v>
      </c>
      <c r="N1057" s="65" t="s">
        <v>80</v>
      </c>
    </row>
    <row r="1058">
      <c r="I1058" s="61" t="str">
        <f t="shared" si="6"/>
        <v>2023</v>
      </c>
      <c r="J1058" s="62">
        <f t="shared" si="7"/>
        <v>3</v>
      </c>
      <c r="K1058" s="61" t="str">
        <f t="shared" si="8"/>
        <v>2023-Q1</v>
      </c>
      <c r="L1058" s="63" t="str">
        <f t="shared" si="9"/>
        <v>2023-03</v>
      </c>
      <c r="M1058" s="64" t="str">
        <f t="shared" si="10"/>
        <v>2023-H1</v>
      </c>
      <c r="N1058" s="65" t="s">
        <v>80</v>
      </c>
    </row>
    <row r="1059">
      <c r="I1059" s="61" t="str">
        <f t="shared" si="6"/>
        <v>2023</v>
      </c>
      <c r="J1059" s="62">
        <f t="shared" si="7"/>
        <v>2</v>
      </c>
      <c r="K1059" s="61" t="str">
        <f t="shared" si="8"/>
        <v>2023-Q1</v>
      </c>
      <c r="L1059" s="63" t="str">
        <f t="shared" si="9"/>
        <v>2023-02</v>
      </c>
      <c r="M1059" s="64" t="str">
        <f t="shared" si="10"/>
        <v>2023-H1</v>
      </c>
      <c r="N1059" s="65" t="s">
        <v>80</v>
      </c>
    </row>
    <row r="1060">
      <c r="I1060" s="61" t="str">
        <f t="shared" si="6"/>
        <v>2023</v>
      </c>
      <c r="J1060" s="62">
        <f t="shared" si="7"/>
        <v>2</v>
      </c>
      <c r="K1060" s="61" t="str">
        <f t="shared" si="8"/>
        <v>2023-Q1</v>
      </c>
      <c r="L1060" s="63" t="str">
        <f t="shared" si="9"/>
        <v>2023-02</v>
      </c>
      <c r="M1060" s="64" t="str">
        <f t="shared" si="10"/>
        <v>2023-H1</v>
      </c>
      <c r="N1060" s="65" t="s">
        <v>80</v>
      </c>
    </row>
    <row r="1061">
      <c r="I1061" s="61" t="str">
        <f t="shared" si="6"/>
        <v>2023</v>
      </c>
      <c r="J1061" s="62">
        <f t="shared" si="7"/>
        <v>3</v>
      </c>
      <c r="K1061" s="61" t="str">
        <f t="shared" si="8"/>
        <v>2023-Q1</v>
      </c>
      <c r="L1061" s="63" t="str">
        <f t="shared" si="9"/>
        <v>2023-03</v>
      </c>
      <c r="M1061" s="64" t="str">
        <f t="shared" si="10"/>
        <v>2023-H1</v>
      </c>
      <c r="N1061" s="65" t="s">
        <v>80</v>
      </c>
    </row>
    <row r="1062">
      <c r="I1062" s="61" t="str">
        <f t="shared" si="6"/>
        <v>2023</v>
      </c>
      <c r="J1062" s="62">
        <f t="shared" si="7"/>
        <v>3</v>
      </c>
      <c r="K1062" s="61" t="str">
        <f t="shared" si="8"/>
        <v>2023-Q1</v>
      </c>
      <c r="L1062" s="63" t="str">
        <f t="shared" si="9"/>
        <v>2023-03</v>
      </c>
      <c r="M1062" s="64" t="str">
        <f t="shared" si="10"/>
        <v>2023-H1</v>
      </c>
      <c r="N1062" s="65" t="s">
        <v>80</v>
      </c>
    </row>
    <row r="1063">
      <c r="I1063" s="61" t="str">
        <f t="shared" si="6"/>
        <v>2023</v>
      </c>
      <c r="J1063" s="62">
        <f t="shared" si="7"/>
        <v>3</v>
      </c>
      <c r="K1063" s="61" t="str">
        <f t="shared" si="8"/>
        <v>2023-Q1</v>
      </c>
      <c r="L1063" s="63" t="str">
        <f t="shared" si="9"/>
        <v>2023-03</v>
      </c>
      <c r="M1063" s="64" t="str">
        <f t="shared" si="10"/>
        <v>2023-H1</v>
      </c>
      <c r="N1063" s="65" t="s">
        <v>80</v>
      </c>
    </row>
    <row r="1064">
      <c r="I1064" s="61" t="str">
        <f t="shared" si="6"/>
        <v>2023</v>
      </c>
      <c r="J1064" s="62">
        <f t="shared" si="7"/>
        <v>4</v>
      </c>
      <c r="K1064" s="61" t="str">
        <f t="shared" si="8"/>
        <v>2023-Q2</v>
      </c>
      <c r="L1064" s="63" t="str">
        <f t="shared" si="9"/>
        <v>2023-04</v>
      </c>
      <c r="M1064" s="64" t="str">
        <f t="shared" si="10"/>
        <v>2023-H1</v>
      </c>
      <c r="N1064" s="65" t="s">
        <v>80</v>
      </c>
    </row>
    <row r="1065">
      <c r="I1065" s="61" t="str">
        <f t="shared" si="6"/>
        <v>2023</v>
      </c>
      <c r="J1065" s="62">
        <f t="shared" si="7"/>
        <v>3</v>
      </c>
      <c r="K1065" s="61" t="str">
        <f t="shared" si="8"/>
        <v>2023-Q1</v>
      </c>
      <c r="L1065" s="63" t="str">
        <f t="shared" si="9"/>
        <v>2023-03</v>
      </c>
      <c r="M1065" s="64" t="str">
        <f t="shared" si="10"/>
        <v>2023-H1</v>
      </c>
      <c r="N1065" s="65" t="s">
        <v>80</v>
      </c>
    </row>
    <row r="1066">
      <c r="I1066" s="61" t="str">
        <f t="shared" si="6"/>
        <v>2023</v>
      </c>
      <c r="J1066" s="62">
        <f t="shared" si="7"/>
        <v>3</v>
      </c>
      <c r="K1066" s="61" t="str">
        <f t="shared" si="8"/>
        <v>2023-Q1</v>
      </c>
      <c r="L1066" s="63" t="str">
        <f t="shared" si="9"/>
        <v>2023-03</v>
      </c>
      <c r="M1066" s="64" t="str">
        <f t="shared" si="10"/>
        <v>2023-H1</v>
      </c>
      <c r="N1066" s="65" t="s">
        <v>80</v>
      </c>
    </row>
    <row r="1067">
      <c r="I1067" s="61" t="str">
        <f t="shared" si="6"/>
        <v>2023</v>
      </c>
      <c r="J1067" s="62">
        <f t="shared" si="7"/>
        <v>3</v>
      </c>
      <c r="K1067" s="61" t="str">
        <f t="shared" si="8"/>
        <v>2023-Q1</v>
      </c>
      <c r="L1067" s="63" t="str">
        <f t="shared" si="9"/>
        <v>2023-03</v>
      </c>
      <c r="M1067" s="64" t="str">
        <f t="shared" si="10"/>
        <v>2023-H1</v>
      </c>
      <c r="N1067" s="65" t="s">
        <v>80</v>
      </c>
    </row>
    <row r="1068">
      <c r="I1068" s="61" t="str">
        <f t="shared" si="6"/>
        <v>2023</v>
      </c>
      <c r="J1068" s="62">
        <f t="shared" si="7"/>
        <v>3</v>
      </c>
      <c r="K1068" s="61" t="str">
        <f t="shared" si="8"/>
        <v>2023-Q1</v>
      </c>
      <c r="L1068" s="63" t="str">
        <f t="shared" si="9"/>
        <v>2023-03</v>
      </c>
      <c r="M1068" s="64" t="str">
        <f t="shared" si="10"/>
        <v>2023-H1</v>
      </c>
      <c r="N1068" s="65" t="s">
        <v>80</v>
      </c>
    </row>
    <row r="1069">
      <c r="I1069" s="61" t="str">
        <f t="shared" si="6"/>
        <v>2023</v>
      </c>
      <c r="J1069" s="62">
        <f t="shared" si="7"/>
        <v>3</v>
      </c>
      <c r="K1069" s="61" t="str">
        <f t="shared" si="8"/>
        <v>2023-Q1</v>
      </c>
      <c r="L1069" s="63" t="str">
        <f t="shared" si="9"/>
        <v>2023-03</v>
      </c>
      <c r="M1069" s="64" t="str">
        <f t="shared" si="10"/>
        <v>2023-H1</v>
      </c>
      <c r="N1069" s="65" t="s">
        <v>80</v>
      </c>
    </row>
    <row r="1070">
      <c r="I1070" s="61" t="str">
        <f t="shared" si="6"/>
        <v>2023</v>
      </c>
      <c r="J1070" s="62">
        <f t="shared" si="7"/>
        <v>3</v>
      </c>
      <c r="K1070" s="61" t="str">
        <f t="shared" si="8"/>
        <v>2023-Q1</v>
      </c>
      <c r="L1070" s="63" t="str">
        <f t="shared" si="9"/>
        <v>2023-03</v>
      </c>
      <c r="M1070" s="64" t="str">
        <f t="shared" si="10"/>
        <v>2023-H1</v>
      </c>
      <c r="N1070" s="65" t="s">
        <v>80</v>
      </c>
    </row>
    <row r="1071">
      <c r="I1071" s="61" t="str">
        <f t="shared" si="6"/>
        <v>2023</v>
      </c>
      <c r="J1071" s="62">
        <f t="shared" si="7"/>
        <v>3</v>
      </c>
      <c r="K1071" s="61" t="str">
        <f t="shared" si="8"/>
        <v>2023-Q1</v>
      </c>
      <c r="L1071" s="63" t="str">
        <f t="shared" si="9"/>
        <v>2023-03</v>
      </c>
      <c r="M1071" s="64" t="str">
        <f t="shared" si="10"/>
        <v>2023-H1</v>
      </c>
      <c r="N1071" s="65" t="s">
        <v>80</v>
      </c>
    </row>
    <row r="1072">
      <c r="I1072" s="61" t="str">
        <f t="shared" si="6"/>
        <v>2023</v>
      </c>
      <c r="J1072" s="62">
        <f t="shared" si="7"/>
        <v>3</v>
      </c>
      <c r="K1072" s="61" t="str">
        <f t="shared" si="8"/>
        <v>2023-Q1</v>
      </c>
      <c r="L1072" s="63" t="str">
        <f t="shared" si="9"/>
        <v>2023-03</v>
      </c>
      <c r="M1072" s="64" t="str">
        <f t="shared" si="10"/>
        <v>2023-H1</v>
      </c>
      <c r="N1072" s="65" t="s">
        <v>80</v>
      </c>
    </row>
    <row r="1073">
      <c r="I1073" s="61" t="str">
        <f t="shared" si="6"/>
        <v>2023</v>
      </c>
      <c r="J1073" s="62">
        <f t="shared" si="7"/>
        <v>3</v>
      </c>
      <c r="K1073" s="61" t="str">
        <f t="shared" si="8"/>
        <v>2023-Q1</v>
      </c>
      <c r="L1073" s="63" t="str">
        <f t="shared" si="9"/>
        <v>2023-03</v>
      </c>
      <c r="M1073" s="64" t="str">
        <f t="shared" si="10"/>
        <v>2023-H1</v>
      </c>
      <c r="N1073" s="65" t="s">
        <v>80</v>
      </c>
    </row>
    <row r="1074">
      <c r="I1074" s="61" t="str">
        <f t="shared" si="6"/>
        <v>2023</v>
      </c>
      <c r="J1074" s="62">
        <f t="shared" si="7"/>
        <v>3</v>
      </c>
      <c r="K1074" s="61" t="str">
        <f t="shared" si="8"/>
        <v>2023-Q1</v>
      </c>
      <c r="L1074" s="63" t="str">
        <f t="shared" si="9"/>
        <v>2023-03</v>
      </c>
      <c r="M1074" s="64" t="str">
        <f t="shared" si="10"/>
        <v>2023-H1</v>
      </c>
      <c r="N1074" s="65" t="s">
        <v>80</v>
      </c>
    </row>
    <row r="1075">
      <c r="I1075" s="61" t="str">
        <f t="shared" si="6"/>
        <v>2023</v>
      </c>
      <c r="J1075" s="62">
        <f t="shared" si="7"/>
        <v>3</v>
      </c>
      <c r="K1075" s="61" t="str">
        <f t="shared" si="8"/>
        <v>2023-Q1</v>
      </c>
      <c r="L1075" s="63" t="str">
        <f t="shared" si="9"/>
        <v>2023-03</v>
      </c>
      <c r="M1075" s="64" t="str">
        <f t="shared" si="10"/>
        <v>2023-H1</v>
      </c>
      <c r="N1075" s="65" t="s">
        <v>80</v>
      </c>
    </row>
    <row r="1076">
      <c r="I1076" s="61" t="str">
        <f t="shared" si="6"/>
        <v>2023</v>
      </c>
      <c r="J1076" s="62">
        <f t="shared" si="7"/>
        <v>3</v>
      </c>
      <c r="K1076" s="61" t="str">
        <f t="shared" si="8"/>
        <v>2023-Q1</v>
      </c>
      <c r="L1076" s="63" t="str">
        <f t="shared" si="9"/>
        <v>2023-03</v>
      </c>
      <c r="M1076" s="64" t="str">
        <f t="shared" si="10"/>
        <v>2023-H1</v>
      </c>
      <c r="N1076" s="65" t="s">
        <v>80</v>
      </c>
    </row>
    <row r="1077">
      <c r="I1077" s="61" t="str">
        <f t="shared" si="6"/>
        <v>2023</v>
      </c>
      <c r="J1077" s="62">
        <f t="shared" si="7"/>
        <v>3</v>
      </c>
      <c r="K1077" s="61" t="str">
        <f t="shared" si="8"/>
        <v>2023-Q1</v>
      </c>
      <c r="L1077" s="63" t="str">
        <f t="shared" si="9"/>
        <v>2023-03</v>
      </c>
      <c r="M1077" s="64" t="str">
        <f t="shared" si="10"/>
        <v>2023-H1</v>
      </c>
      <c r="N1077" s="65" t="s">
        <v>80</v>
      </c>
    </row>
    <row r="1078">
      <c r="I1078" s="61" t="str">
        <f t="shared" si="6"/>
        <v>2023</v>
      </c>
      <c r="J1078" s="62">
        <f t="shared" si="7"/>
        <v>3</v>
      </c>
      <c r="K1078" s="61" t="str">
        <f t="shared" si="8"/>
        <v>2023-Q1</v>
      </c>
      <c r="L1078" s="63" t="str">
        <f t="shared" si="9"/>
        <v>2023-03</v>
      </c>
      <c r="M1078" s="64" t="str">
        <f t="shared" si="10"/>
        <v>2023-H1</v>
      </c>
      <c r="N1078" s="65" t="s">
        <v>80</v>
      </c>
    </row>
    <row r="1079">
      <c r="I1079" s="61" t="str">
        <f t="shared" si="6"/>
        <v>2023</v>
      </c>
      <c r="J1079" s="62">
        <f t="shared" si="7"/>
        <v>3</v>
      </c>
      <c r="K1079" s="61" t="str">
        <f t="shared" si="8"/>
        <v>2023-Q1</v>
      </c>
      <c r="L1079" s="63" t="str">
        <f t="shared" si="9"/>
        <v>2023-03</v>
      </c>
      <c r="M1079" s="64" t="str">
        <f t="shared" si="10"/>
        <v>2023-H1</v>
      </c>
      <c r="N1079" s="65" t="s">
        <v>80</v>
      </c>
    </row>
    <row r="1080">
      <c r="I1080" s="61" t="str">
        <f t="shared" si="6"/>
        <v>2023</v>
      </c>
      <c r="J1080" s="62">
        <f t="shared" si="7"/>
        <v>3</v>
      </c>
      <c r="K1080" s="61" t="str">
        <f t="shared" si="8"/>
        <v>2023-Q1</v>
      </c>
      <c r="L1080" s="63" t="str">
        <f t="shared" si="9"/>
        <v>2023-03</v>
      </c>
      <c r="M1080" s="64" t="str">
        <f t="shared" si="10"/>
        <v>2023-H1</v>
      </c>
      <c r="N1080" s="65" t="s">
        <v>80</v>
      </c>
    </row>
    <row r="1081">
      <c r="I1081" s="61" t="str">
        <f t="shared" si="6"/>
        <v>2023</v>
      </c>
      <c r="J1081" s="62">
        <f t="shared" si="7"/>
        <v>3</v>
      </c>
      <c r="K1081" s="61" t="str">
        <f t="shared" si="8"/>
        <v>2023-Q1</v>
      </c>
      <c r="L1081" s="63" t="str">
        <f t="shared" si="9"/>
        <v>2023-03</v>
      </c>
      <c r="M1081" s="64" t="str">
        <f t="shared" si="10"/>
        <v>2023-H1</v>
      </c>
      <c r="N1081" s="65" t="s">
        <v>80</v>
      </c>
    </row>
    <row r="1082">
      <c r="I1082" s="61" t="str">
        <f t="shared" si="6"/>
        <v>2023</v>
      </c>
      <c r="J1082" s="62">
        <f t="shared" si="7"/>
        <v>3</v>
      </c>
      <c r="K1082" s="61" t="str">
        <f t="shared" si="8"/>
        <v>2023-Q1</v>
      </c>
      <c r="L1082" s="63" t="str">
        <f t="shared" si="9"/>
        <v>2023-03</v>
      </c>
      <c r="M1082" s="64" t="str">
        <f t="shared" si="10"/>
        <v>2023-H1</v>
      </c>
      <c r="N1082" s="65" t="s">
        <v>80</v>
      </c>
    </row>
    <row r="1083">
      <c r="I1083" s="61" t="str">
        <f t="shared" si="6"/>
        <v>2023</v>
      </c>
      <c r="J1083" s="62">
        <f t="shared" si="7"/>
        <v>3</v>
      </c>
      <c r="K1083" s="61" t="str">
        <f t="shared" si="8"/>
        <v>2023-Q1</v>
      </c>
      <c r="L1083" s="63" t="str">
        <f t="shared" si="9"/>
        <v>2023-03</v>
      </c>
      <c r="M1083" s="64" t="str">
        <f t="shared" si="10"/>
        <v>2023-H1</v>
      </c>
      <c r="N1083" s="65" t="s">
        <v>80</v>
      </c>
    </row>
    <row r="1084">
      <c r="I1084" s="61" t="str">
        <f t="shared" si="6"/>
        <v>2023</v>
      </c>
      <c r="J1084" s="62">
        <f t="shared" si="7"/>
        <v>4</v>
      </c>
      <c r="K1084" s="61" t="str">
        <f t="shared" si="8"/>
        <v>2023-Q2</v>
      </c>
      <c r="L1084" s="63" t="str">
        <f t="shared" si="9"/>
        <v>2023-04</v>
      </c>
      <c r="M1084" s="64" t="str">
        <f t="shared" si="10"/>
        <v>2023-H1</v>
      </c>
      <c r="N1084" s="65" t="s">
        <v>80</v>
      </c>
    </row>
    <row r="1085">
      <c r="I1085" s="61" t="str">
        <f t="shared" si="6"/>
        <v>2023</v>
      </c>
      <c r="J1085" s="62">
        <f t="shared" si="7"/>
        <v>3</v>
      </c>
      <c r="K1085" s="61" t="str">
        <f t="shared" si="8"/>
        <v>2023-Q1</v>
      </c>
      <c r="L1085" s="63" t="str">
        <f t="shared" si="9"/>
        <v>2023-03</v>
      </c>
      <c r="M1085" s="64" t="str">
        <f t="shared" si="10"/>
        <v>2023-H1</v>
      </c>
      <c r="N1085" s="65" t="s">
        <v>80</v>
      </c>
    </row>
    <row r="1086">
      <c r="I1086" s="61" t="str">
        <f t="shared" si="6"/>
        <v>2023</v>
      </c>
      <c r="J1086" s="62">
        <f t="shared" si="7"/>
        <v>3</v>
      </c>
      <c r="K1086" s="61" t="str">
        <f t="shared" si="8"/>
        <v>2023-Q1</v>
      </c>
      <c r="L1086" s="63" t="str">
        <f t="shared" si="9"/>
        <v>2023-03</v>
      </c>
      <c r="M1086" s="64" t="str">
        <f t="shared" si="10"/>
        <v>2023-H1</v>
      </c>
      <c r="N1086" s="65" t="s">
        <v>80</v>
      </c>
    </row>
    <row r="1087">
      <c r="I1087" s="61" t="str">
        <f t="shared" si="6"/>
        <v>2023</v>
      </c>
      <c r="J1087" s="62">
        <f t="shared" si="7"/>
        <v>3</v>
      </c>
      <c r="K1087" s="61" t="str">
        <f t="shared" si="8"/>
        <v>2023-Q1</v>
      </c>
      <c r="L1087" s="63" t="str">
        <f t="shared" si="9"/>
        <v>2023-03</v>
      </c>
      <c r="M1087" s="64" t="str">
        <f t="shared" si="10"/>
        <v>2023-H1</v>
      </c>
      <c r="N1087" s="65" t="s">
        <v>80</v>
      </c>
    </row>
    <row r="1088">
      <c r="I1088" s="61" t="str">
        <f t="shared" si="6"/>
        <v>2023</v>
      </c>
      <c r="J1088" s="62">
        <f t="shared" si="7"/>
        <v>3</v>
      </c>
      <c r="K1088" s="61" t="str">
        <f t="shared" si="8"/>
        <v>2023-Q1</v>
      </c>
      <c r="L1088" s="63" t="str">
        <f t="shared" si="9"/>
        <v>2023-03</v>
      </c>
      <c r="M1088" s="64" t="str">
        <f t="shared" si="10"/>
        <v>2023-H1</v>
      </c>
      <c r="N1088" s="65" t="s">
        <v>80</v>
      </c>
    </row>
    <row r="1089">
      <c r="I1089" s="61" t="str">
        <f t="shared" si="6"/>
        <v>2023</v>
      </c>
      <c r="J1089" s="62">
        <f t="shared" si="7"/>
        <v>3</v>
      </c>
      <c r="K1089" s="61" t="str">
        <f t="shared" si="8"/>
        <v>2023-Q1</v>
      </c>
      <c r="L1089" s="63" t="str">
        <f t="shared" si="9"/>
        <v>2023-03</v>
      </c>
      <c r="M1089" s="64" t="str">
        <f t="shared" si="10"/>
        <v>2023-H1</v>
      </c>
      <c r="N1089" s="65" t="s">
        <v>80</v>
      </c>
    </row>
    <row r="1090">
      <c r="I1090" s="61" t="str">
        <f t="shared" si="6"/>
        <v>2023</v>
      </c>
      <c r="J1090" s="62">
        <f t="shared" si="7"/>
        <v>3</v>
      </c>
      <c r="K1090" s="61" t="str">
        <f t="shared" si="8"/>
        <v>2023-Q1</v>
      </c>
      <c r="L1090" s="63" t="str">
        <f t="shared" si="9"/>
        <v>2023-03</v>
      </c>
      <c r="M1090" s="64" t="str">
        <f t="shared" si="10"/>
        <v>2023-H1</v>
      </c>
      <c r="N1090" s="65" t="s">
        <v>80</v>
      </c>
    </row>
    <row r="1091">
      <c r="I1091" s="61" t="str">
        <f t="shared" si="6"/>
        <v>2023</v>
      </c>
      <c r="J1091" s="62">
        <f t="shared" si="7"/>
        <v>3</v>
      </c>
      <c r="K1091" s="61" t="str">
        <f t="shared" si="8"/>
        <v>2023-Q1</v>
      </c>
      <c r="L1091" s="63" t="str">
        <f t="shared" si="9"/>
        <v>2023-03</v>
      </c>
      <c r="M1091" s="64" t="str">
        <f t="shared" si="10"/>
        <v>2023-H1</v>
      </c>
      <c r="N1091" s="65" t="s">
        <v>80</v>
      </c>
    </row>
    <row r="1092">
      <c r="I1092" s="61" t="str">
        <f t="shared" si="6"/>
        <v>2023</v>
      </c>
      <c r="J1092" s="62">
        <f t="shared" si="7"/>
        <v>4</v>
      </c>
      <c r="K1092" s="61" t="str">
        <f t="shared" si="8"/>
        <v>2023-Q2</v>
      </c>
      <c r="L1092" s="63" t="str">
        <f t="shared" si="9"/>
        <v>2023-04</v>
      </c>
      <c r="M1092" s="64" t="str">
        <f t="shared" si="10"/>
        <v>2023-H1</v>
      </c>
      <c r="N1092" s="65" t="s">
        <v>80</v>
      </c>
    </row>
    <row r="1093">
      <c r="I1093" s="61" t="str">
        <f t="shared" si="6"/>
        <v>2023</v>
      </c>
      <c r="J1093" s="62">
        <f t="shared" si="7"/>
        <v>4</v>
      </c>
      <c r="K1093" s="61" t="str">
        <f t="shared" si="8"/>
        <v>2023-Q2</v>
      </c>
      <c r="L1093" s="63" t="str">
        <f t="shared" si="9"/>
        <v>2023-04</v>
      </c>
      <c r="M1093" s="64" t="str">
        <f t="shared" si="10"/>
        <v>2023-H1</v>
      </c>
      <c r="N1093" s="65" t="s">
        <v>80</v>
      </c>
    </row>
    <row r="1094">
      <c r="I1094" s="61" t="str">
        <f t="shared" si="6"/>
        <v>2023</v>
      </c>
      <c r="J1094" s="62">
        <f t="shared" si="7"/>
        <v>4</v>
      </c>
      <c r="K1094" s="61" t="str">
        <f t="shared" si="8"/>
        <v>2023-Q2</v>
      </c>
      <c r="L1094" s="63" t="str">
        <f t="shared" si="9"/>
        <v>2023-04</v>
      </c>
      <c r="M1094" s="64" t="str">
        <f t="shared" si="10"/>
        <v>2023-H1</v>
      </c>
      <c r="N1094" s="65" t="s">
        <v>80</v>
      </c>
    </row>
    <row r="1095">
      <c r="I1095" s="61" t="str">
        <f t="shared" si="6"/>
        <v>2023</v>
      </c>
      <c r="J1095" s="62">
        <f t="shared" si="7"/>
        <v>4</v>
      </c>
      <c r="K1095" s="61" t="str">
        <f t="shared" si="8"/>
        <v>2023-Q2</v>
      </c>
      <c r="L1095" s="63" t="str">
        <f t="shared" si="9"/>
        <v>2023-04</v>
      </c>
      <c r="M1095" s="64" t="str">
        <f t="shared" si="10"/>
        <v>2023-H1</v>
      </c>
      <c r="N1095" s="65" t="s">
        <v>80</v>
      </c>
    </row>
    <row r="1096">
      <c r="I1096" s="61" t="str">
        <f t="shared" si="6"/>
        <v>2023</v>
      </c>
      <c r="J1096" s="62">
        <f t="shared" si="7"/>
        <v>4</v>
      </c>
      <c r="K1096" s="61" t="str">
        <f t="shared" si="8"/>
        <v>2023-Q2</v>
      </c>
      <c r="L1096" s="63" t="str">
        <f t="shared" si="9"/>
        <v>2023-04</v>
      </c>
      <c r="M1096" s="64" t="str">
        <f t="shared" si="10"/>
        <v>2023-H1</v>
      </c>
      <c r="N1096" s="65" t="s">
        <v>80</v>
      </c>
    </row>
    <row r="1097">
      <c r="I1097" s="61" t="str">
        <f t="shared" si="6"/>
        <v>2023</v>
      </c>
      <c r="J1097" s="62">
        <f t="shared" si="7"/>
        <v>4</v>
      </c>
      <c r="K1097" s="61" t="str">
        <f t="shared" si="8"/>
        <v>2023-Q2</v>
      </c>
      <c r="L1097" s="63" t="str">
        <f t="shared" si="9"/>
        <v>2023-04</v>
      </c>
      <c r="M1097" s="64" t="str">
        <f t="shared" si="10"/>
        <v>2023-H1</v>
      </c>
      <c r="N1097" s="65" t="s">
        <v>80</v>
      </c>
    </row>
    <row r="1098">
      <c r="I1098" s="61" t="str">
        <f t="shared" si="6"/>
        <v>2023</v>
      </c>
      <c r="J1098" s="62">
        <f t="shared" si="7"/>
        <v>5</v>
      </c>
      <c r="K1098" s="61" t="str">
        <f t="shared" si="8"/>
        <v>2023-Q2</v>
      </c>
      <c r="L1098" s="63" t="str">
        <f t="shared" si="9"/>
        <v>2023-05</v>
      </c>
      <c r="M1098" s="64" t="str">
        <f t="shared" si="10"/>
        <v>2023-H1</v>
      </c>
      <c r="N1098" s="65" t="s">
        <v>80</v>
      </c>
    </row>
    <row r="1099">
      <c r="I1099" s="61" t="str">
        <f t="shared" si="6"/>
        <v>2023</v>
      </c>
      <c r="J1099" s="62">
        <f t="shared" si="7"/>
        <v>5</v>
      </c>
      <c r="K1099" s="61" t="str">
        <f t="shared" si="8"/>
        <v>2023-Q2</v>
      </c>
      <c r="L1099" s="63" t="str">
        <f t="shared" si="9"/>
        <v>2023-05</v>
      </c>
      <c r="M1099" s="64" t="str">
        <f t="shared" si="10"/>
        <v>2023-H1</v>
      </c>
      <c r="N1099" s="65" t="s">
        <v>80</v>
      </c>
    </row>
    <row r="1100">
      <c r="I1100" s="61" t="str">
        <f t="shared" si="6"/>
        <v>2023</v>
      </c>
      <c r="J1100" s="62">
        <f t="shared" si="7"/>
        <v>7</v>
      </c>
      <c r="K1100" s="61" t="str">
        <f t="shared" si="8"/>
        <v>2023-Q3</v>
      </c>
      <c r="L1100" s="63" t="str">
        <f t="shared" si="9"/>
        <v>2023-07</v>
      </c>
      <c r="M1100" s="64" t="str">
        <f t="shared" si="10"/>
        <v>2023-H2</v>
      </c>
      <c r="N1100" s="65" t="s">
        <v>80</v>
      </c>
    </row>
    <row r="1101">
      <c r="I1101" s="61" t="str">
        <f t="shared" si="6"/>
        <v>2023</v>
      </c>
      <c r="J1101" s="62">
        <f t="shared" si="7"/>
        <v>4</v>
      </c>
      <c r="K1101" s="61" t="str">
        <f t="shared" si="8"/>
        <v>2023-Q2</v>
      </c>
      <c r="L1101" s="63" t="str">
        <f t="shared" si="9"/>
        <v>2023-04</v>
      </c>
      <c r="M1101" s="64" t="str">
        <f t="shared" si="10"/>
        <v>2023-H1</v>
      </c>
      <c r="N1101" s="65" t="s">
        <v>80</v>
      </c>
    </row>
    <row r="1102">
      <c r="I1102" s="61" t="str">
        <f t="shared" si="6"/>
        <v>2023</v>
      </c>
      <c r="J1102" s="62">
        <f t="shared" si="7"/>
        <v>4</v>
      </c>
      <c r="K1102" s="61" t="str">
        <f t="shared" si="8"/>
        <v>2023-Q2</v>
      </c>
      <c r="L1102" s="63" t="str">
        <f t="shared" si="9"/>
        <v>2023-04</v>
      </c>
      <c r="M1102" s="64" t="str">
        <f t="shared" si="10"/>
        <v>2023-H1</v>
      </c>
      <c r="N1102" s="65" t="s">
        <v>80</v>
      </c>
    </row>
    <row r="1103">
      <c r="I1103" s="61" t="str">
        <f t="shared" si="6"/>
        <v>2023</v>
      </c>
      <c r="J1103" s="62">
        <f t="shared" si="7"/>
        <v>4</v>
      </c>
      <c r="K1103" s="61" t="str">
        <f t="shared" si="8"/>
        <v>2023-Q2</v>
      </c>
      <c r="L1103" s="63" t="str">
        <f t="shared" si="9"/>
        <v>2023-04</v>
      </c>
      <c r="M1103" s="64" t="str">
        <f t="shared" si="10"/>
        <v>2023-H1</v>
      </c>
      <c r="N1103" s="65" t="s">
        <v>80</v>
      </c>
    </row>
    <row r="1104">
      <c r="I1104" s="61" t="str">
        <f t="shared" si="6"/>
        <v>2023</v>
      </c>
      <c r="J1104" s="62">
        <f t="shared" si="7"/>
        <v>4</v>
      </c>
      <c r="K1104" s="61" t="str">
        <f t="shared" si="8"/>
        <v>2023-Q2</v>
      </c>
      <c r="L1104" s="63" t="str">
        <f t="shared" si="9"/>
        <v>2023-04</v>
      </c>
      <c r="M1104" s="64" t="str">
        <f t="shared" si="10"/>
        <v>2023-H1</v>
      </c>
      <c r="N1104" s="65" t="s">
        <v>80</v>
      </c>
    </row>
    <row r="1105">
      <c r="I1105" s="61" t="str">
        <f t="shared" si="6"/>
        <v>2023</v>
      </c>
      <c r="J1105" s="62">
        <f t="shared" si="7"/>
        <v>4</v>
      </c>
      <c r="K1105" s="61" t="str">
        <f t="shared" si="8"/>
        <v>2023-Q2</v>
      </c>
      <c r="L1105" s="63" t="str">
        <f t="shared" si="9"/>
        <v>2023-04</v>
      </c>
      <c r="M1105" s="64" t="str">
        <f t="shared" si="10"/>
        <v>2023-H1</v>
      </c>
      <c r="N1105" s="65" t="s">
        <v>80</v>
      </c>
    </row>
    <row r="1106">
      <c r="I1106" s="61" t="str">
        <f t="shared" si="6"/>
        <v>2023</v>
      </c>
      <c r="J1106" s="62">
        <f t="shared" si="7"/>
        <v>4</v>
      </c>
      <c r="K1106" s="61" t="str">
        <f t="shared" si="8"/>
        <v>2023-Q2</v>
      </c>
      <c r="L1106" s="63" t="str">
        <f t="shared" si="9"/>
        <v>2023-04</v>
      </c>
      <c r="M1106" s="64" t="str">
        <f t="shared" si="10"/>
        <v>2023-H1</v>
      </c>
      <c r="N1106" s="65" t="s">
        <v>80</v>
      </c>
    </row>
    <row r="1107">
      <c r="I1107" s="61" t="str">
        <f t="shared" si="6"/>
        <v>2023</v>
      </c>
      <c r="J1107" s="62">
        <f t="shared" si="7"/>
        <v>4</v>
      </c>
      <c r="K1107" s="61" t="str">
        <f t="shared" si="8"/>
        <v>2023-Q2</v>
      </c>
      <c r="L1107" s="63" t="str">
        <f t="shared" si="9"/>
        <v>2023-04</v>
      </c>
      <c r="M1107" s="64" t="str">
        <f t="shared" si="10"/>
        <v>2023-H1</v>
      </c>
      <c r="N1107" s="65" t="s">
        <v>80</v>
      </c>
    </row>
    <row r="1108">
      <c r="I1108" s="61" t="str">
        <f t="shared" si="6"/>
        <v>2023</v>
      </c>
      <c r="J1108" s="62">
        <f t="shared" si="7"/>
        <v>4</v>
      </c>
      <c r="K1108" s="61" t="str">
        <f t="shared" si="8"/>
        <v>2023-Q2</v>
      </c>
      <c r="L1108" s="63" t="str">
        <f t="shared" si="9"/>
        <v>2023-04</v>
      </c>
      <c r="M1108" s="64" t="str">
        <f t="shared" si="10"/>
        <v>2023-H1</v>
      </c>
      <c r="N1108" s="65" t="s">
        <v>80</v>
      </c>
    </row>
    <row r="1109">
      <c r="I1109" s="61" t="str">
        <f t="shared" si="6"/>
        <v>2023</v>
      </c>
      <c r="J1109" s="62">
        <f t="shared" si="7"/>
        <v>4</v>
      </c>
      <c r="K1109" s="61" t="str">
        <f t="shared" si="8"/>
        <v>2023-Q2</v>
      </c>
      <c r="L1109" s="63" t="str">
        <f t="shared" si="9"/>
        <v>2023-04</v>
      </c>
      <c r="M1109" s="64" t="str">
        <f t="shared" si="10"/>
        <v>2023-H1</v>
      </c>
      <c r="N1109" s="65" t="s">
        <v>80</v>
      </c>
    </row>
    <row r="1110">
      <c r="I1110" s="61" t="str">
        <f t="shared" si="6"/>
        <v>2023</v>
      </c>
      <c r="J1110" s="62">
        <f t="shared" si="7"/>
        <v>4</v>
      </c>
      <c r="K1110" s="61" t="str">
        <f t="shared" si="8"/>
        <v>2023-Q2</v>
      </c>
      <c r="L1110" s="63" t="str">
        <f t="shared" si="9"/>
        <v>2023-04</v>
      </c>
      <c r="M1110" s="64" t="str">
        <f t="shared" si="10"/>
        <v>2023-H1</v>
      </c>
      <c r="N1110" s="65" t="s">
        <v>80</v>
      </c>
    </row>
    <row r="1111">
      <c r="I1111" s="61" t="str">
        <f t="shared" si="6"/>
        <v>2023</v>
      </c>
      <c r="J1111" s="62">
        <f t="shared" si="7"/>
        <v>6</v>
      </c>
      <c r="K1111" s="61" t="str">
        <f t="shared" si="8"/>
        <v>2023-Q2</v>
      </c>
      <c r="L1111" s="63" t="str">
        <f t="shared" si="9"/>
        <v>2023-06</v>
      </c>
      <c r="M1111" s="64" t="str">
        <f t="shared" si="10"/>
        <v>2023-H1</v>
      </c>
      <c r="N1111" s="65" t="s">
        <v>80</v>
      </c>
    </row>
    <row r="1112">
      <c r="I1112" s="61" t="str">
        <f t="shared" si="6"/>
        <v>2023</v>
      </c>
      <c r="J1112" s="62">
        <f t="shared" si="7"/>
        <v>4</v>
      </c>
      <c r="K1112" s="61" t="str">
        <f t="shared" si="8"/>
        <v>2023-Q2</v>
      </c>
      <c r="L1112" s="63" t="str">
        <f t="shared" si="9"/>
        <v>2023-04</v>
      </c>
      <c r="M1112" s="64" t="str">
        <f t="shared" si="10"/>
        <v>2023-H1</v>
      </c>
      <c r="N1112" s="65" t="s">
        <v>80</v>
      </c>
    </row>
    <row r="1113">
      <c r="I1113" s="61" t="str">
        <f t="shared" si="6"/>
        <v>2023</v>
      </c>
      <c r="J1113" s="62">
        <f t="shared" si="7"/>
        <v>4</v>
      </c>
      <c r="K1113" s="61" t="str">
        <f t="shared" si="8"/>
        <v>2023-Q2</v>
      </c>
      <c r="L1113" s="63" t="str">
        <f t="shared" si="9"/>
        <v>2023-04</v>
      </c>
      <c r="M1113" s="64" t="str">
        <f t="shared" si="10"/>
        <v>2023-H1</v>
      </c>
      <c r="N1113" s="65" t="s">
        <v>80</v>
      </c>
    </row>
    <row r="1114">
      <c r="I1114" s="61" t="str">
        <f t="shared" si="6"/>
        <v>2023</v>
      </c>
      <c r="J1114" s="62">
        <f t="shared" si="7"/>
        <v>4</v>
      </c>
      <c r="K1114" s="61" t="str">
        <f t="shared" si="8"/>
        <v>2023-Q2</v>
      </c>
      <c r="L1114" s="63" t="str">
        <f t="shared" si="9"/>
        <v>2023-04</v>
      </c>
      <c r="M1114" s="64" t="str">
        <f t="shared" si="10"/>
        <v>2023-H1</v>
      </c>
      <c r="N1114" s="65" t="s">
        <v>80</v>
      </c>
    </row>
    <row r="1115">
      <c r="I1115" s="61" t="str">
        <f t="shared" si="6"/>
        <v>2023</v>
      </c>
      <c r="J1115" s="62">
        <f t="shared" si="7"/>
        <v>4</v>
      </c>
      <c r="K1115" s="61" t="str">
        <f t="shared" si="8"/>
        <v>2023-Q2</v>
      </c>
      <c r="L1115" s="63" t="str">
        <f t="shared" si="9"/>
        <v>2023-04</v>
      </c>
      <c r="M1115" s="64" t="str">
        <f t="shared" si="10"/>
        <v>2023-H1</v>
      </c>
      <c r="N1115" s="65" t="s">
        <v>80</v>
      </c>
    </row>
    <row r="1116">
      <c r="I1116" s="61" t="str">
        <f t="shared" si="6"/>
        <v>2023</v>
      </c>
      <c r="J1116" s="62">
        <f t="shared" si="7"/>
        <v>4</v>
      </c>
      <c r="K1116" s="61" t="str">
        <f t="shared" si="8"/>
        <v>2023-Q2</v>
      </c>
      <c r="L1116" s="63" t="str">
        <f t="shared" si="9"/>
        <v>2023-04</v>
      </c>
      <c r="M1116" s="64" t="str">
        <f t="shared" si="10"/>
        <v>2023-H1</v>
      </c>
      <c r="N1116" s="65" t="s">
        <v>80</v>
      </c>
    </row>
    <row r="1117">
      <c r="I1117" s="61" t="str">
        <f t="shared" si="6"/>
        <v>2023</v>
      </c>
      <c r="J1117" s="62">
        <f t="shared" si="7"/>
        <v>4</v>
      </c>
      <c r="K1117" s="61" t="str">
        <f t="shared" si="8"/>
        <v>2023-Q2</v>
      </c>
      <c r="L1117" s="63" t="str">
        <f t="shared" si="9"/>
        <v>2023-04</v>
      </c>
      <c r="M1117" s="64" t="str">
        <f t="shared" si="10"/>
        <v>2023-H1</v>
      </c>
      <c r="N1117" s="65" t="s">
        <v>80</v>
      </c>
    </row>
    <row r="1118">
      <c r="I1118" s="61" t="str">
        <f t="shared" si="6"/>
        <v>2023</v>
      </c>
      <c r="J1118" s="62">
        <f t="shared" si="7"/>
        <v>4</v>
      </c>
      <c r="K1118" s="61" t="str">
        <f t="shared" si="8"/>
        <v>2023-Q2</v>
      </c>
      <c r="L1118" s="63" t="str">
        <f t="shared" si="9"/>
        <v>2023-04</v>
      </c>
      <c r="M1118" s="64" t="str">
        <f t="shared" si="10"/>
        <v>2023-H1</v>
      </c>
      <c r="N1118" s="65" t="s">
        <v>80</v>
      </c>
    </row>
    <row r="1119">
      <c r="I1119" s="61" t="str">
        <f t="shared" si="6"/>
        <v>2023</v>
      </c>
      <c r="J1119" s="62">
        <f t="shared" si="7"/>
        <v>4</v>
      </c>
      <c r="K1119" s="61" t="str">
        <f t="shared" si="8"/>
        <v>2023-Q2</v>
      </c>
      <c r="L1119" s="63" t="str">
        <f t="shared" si="9"/>
        <v>2023-04</v>
      </c>
      <c r="M1119" s="64" t="str">
        <f t="shared" si="10"/>
        <v>2023-H1</v>
      </c>
      <c r="N1119" s="65" t="s">
        <v>80</v>
      </c>
    </row>
    <row r="1120">
      <c r="I1120" s="61" t="str">
        <f t="shared" si="6"/>
        <v>2023</v>
      </c>
      <c r="J1120" s="62">
        <f t="shared" si="7"/>
        <v>4</v>
      </c>
      <c r="K1120" s="61" t="str">
        <f t="shared" si="8"/>
        <v>2023-Q2</v>
      </c>
      <c r="L1120" s="63" t="str">
        <f t="shared" si="9"/>
        <v>2023-04</v>
      </c>
      <c r="M1120" s="64" t="str">
        <f t="shared" si="10"/>
        <v>2023-H1</v>
      </c>
      <c r="N1120" s="65" t="s">
        <v>80</v>
      </c>
    </row>
    <row r="1121">
      <c r="I1121" s="61" t="str">
        <f t="shared" si="6"/>
        <v>2023</v>
      </c>
      <c r="J1121" s="62">
        <f t="shared" si="7"/>
        <v>4</v>
      </c>
      <c r="K1121" s="61" t="str">
        <f t="shared" si="8"/>
        <v>2023-Q2</v>
      </c>
      <c r="L1121" s="63" t="str">
        <f t="shared" si="9"/>
        <v>2023-04</v>
      </c>
      <c r="M1121" s="64" t="str">
        <f t="shared" si="10"/>
        <v>2023-H1</v>
      </c>
      <c r="N1121" s="65" t="s">
        <v>80</v>
      </c>
    </row>
    <row r="1122">
      <c r="I1122" s="61" t="str">
        <f t="shared" si="6"/>
        <v>2023</v>
      </c>
      <c r="J1122" s="62">
        <f t="shared" si="7"/>
        <v>11</v>
      </c>
      <c r="K1122" s="61" t="str">
        <f t="shared" si="8"/>
        <v>2023-Q4</v>
      </c>
      <c r="L1122" s="63" t="str">
        <f t="shared" si="9"/>
        <v>2023-11</v>
      </c>
      <c r="M1122" s="64" t="str">
        <f t="shared" si="10"/>
        <v>2023-H2</v>
      </c>
      <c r="N1122" s="65" t="s">
        <v>80</v>
      </c>
    </row>
    <row r="1123">
      <c r="I1123" s="61" t="str">
        <f t="shared" si="6"/>
        <v>2023</v>
      </c>
      <c r="J1123" s="62">
        <f t="shared" si="7"/>
        <v>4</v>
      </c>
      <c r="K1123" s="61" t="str">
        <f t="shared" si="8"/>
        <v>2023-Q2</v>
      </c>
      <c r="L1123" s="63" t="str">
        <f t="shared" si="9"/>
        <v>2023-04</v>
      </c>
      <c r="M1123" s="64" t="str">
        <f t="shared" si="10"/>
        <v>2023-H1</v>
      </c>
      <c r="N1123" s="65" t="s">
        <v>80</v>
      </c>
    </row>
    <row r="1124">
      <c r="I1124" s="61" t="str">
        <f t="shared" si="6"/>
        <v>2023</v>
      </c>
      <c r="J1124" s="62">
        <f t="shared" si="7"/>
        <v>4</v>
      </c>
      <c r="K1124" s="61" t="str">
        <f t="shared" si="8"/>
        <v>2023-Q2</v>
      </c>
      <c r="L1124" s="63" t="str">
        <f t="shared" si="9"/>
        <v>2023-04</v>
      </c>
      <c r="M1124" s="64" t="str">
        <f t="shared" si="10"/>
        <v>2023-H1</v>
      </c>
      <c r="N1124" s="65" t="s">
        <v>80</v>
      </c>
    </row>
    <row r="1125">
      <c r="I1125" s="61" t="str">
        <f t="shared" si="6"/>
        <v>2023</v>
      </c>
      <c r="J1125" s="62">
        <f t="shared" si="7"/>
        <v>4</v>
      </c>
      <c r="K1125" s="61" t="str">
        <f t="shared" si="8"/>
        <v>2023-Q2</v>
      </c>
      <c r="L1125" s="63" t="str">
        <f t="shared" si="9"/>
        <v>2023-04</v>
      </c>
      <c r="M1125" s="64" t="str">
        <f t="shared" si="10"/>
        <v>2023-H1</v>
      </c>
      <c r="N1125" s="65" t="s">
        <v>80</v>
      </c>
    </row>
    <row r="1126">
      <c r="I1126" s="61" t="str">
        <f t="shared" si="6"/>
        <v>2023</v>
      </c>
      <c r="J1126" s="62">
        <f t="shared" si="7"/>
        <v>4</v>
      </c>
      <c r="K1126" s="61" t="str">
        <f t="shared" si="8"/>
        <v>2023-Q2</v>
      </c>
      <c r="L1126" s="63" t="str">
        <f t="shared" si="9"/>
        <v>2023-04</v>
      </c>
      <c r="M1126" s="64" t="str">
        <f t="shared" si="10"/>
        <v>2023-H1</v>
      </c>
      <c r="N1126" s="65" t="s">
        <v>80</v>
      </c>
    </row>
    <row r="1127">
      <c r="I1127" s="61" t="str">
        <f t="shared" si="6"/>
        <v>2023</v>
      </c>
      <c r="J1127" s="62">
        <f t="shared" si="7"/>
        <v>5</v>
      </c>
      <c r="K1127" s="61" t="str">
        <f t="shared" si="8"/>
        <v>2023-Q2</v>
      </c>
      <c r="L1127" s="63" t="str">
        <f t="shared" si="9"/>
        <v>2023-05</v>
      </c>
      <c r="M1127" s="64" t="str">
        <f t="shared" si="10"/>
        <v>2023-H1</v>
      </c>
      <c r="N1127" s="65" t="s">
        <v>80</v>
      </c>
    </row>
    <row r="1128">
      <c r="I1128" s="61" t="str">
        <f t="shared" si="6"/>
        <v>2023</v>
      </c>
      <c r="J1128" s="62">
        <f t="shared" si="7"/>
        <v>5</v>
      </c>
      <c r="K1128" s="61" t="str">
        <f t="shared" si="8"/>
        <v>2023-Q2</v>
      </c>
      <c r="L1128" s="63" t="str">
        <f t="shared" si="9"/>
        <v>2023-05</v>
      </c>
      <c r="M1128" s="64" t="str">
        <f t="shared" si="10"/>
        <v>2023-H1</v>
      </c>
      <c r="N1128" s="65" t="s">
        <v>80</v>
      </c>
    </row>
    <row r="1129">
      <c r="I1129" s="61" t="str">
        <f t="shared" si="6"/>
        <v>2023</v>
      </c>
      <c r="J1129" s="62">
        <f t="shared" si="7"/>
        <v>5</v>
      </c>
      <c r="K1129" s="61" t="str">
        <f t="shared" si="8"/>
        <v>2023-Q2</v>
      </c>
      <c r="L1129" s="63" t="str">
        <f t="shared" si="9"/>
        <v>2023-05</v>
      </c>
      <c r="M1129" s="64" t="str">
        <f t="shared" si="10"/>
        <v>2023-H1</v>
      </c>
      <c r="N1129" s="65" t="s">
        <v>80</v>
      </c>
    </row>
    <row r="1130">
      <c r="I1130" s="61" t="str">
        <f t="shared" si="6"/>
        <v>2023</v>
      </c>
      <c r="J1130" s="62">
        <f t="shared" si="7"/>
        <v>5</v>
      </c>
      <c r="K1130" s="61" t="str">
        <f t="shared" si="8"/>
        <v>2023-Q2</v>
      </c>
      <c r="L1130" s="63" t="str">
        <f t="shared" si="9"/>
        <v>2023-05</v>
      </c>
      <c r="M1130" s="64" t="str">
        <f t="shared" si="10"/>
        <v>2023-H1</v>
      </c>
      <c r="N1130" s="65" t="s">
        <v>80</v>
      </c>
    </row>
    <row r="1131">
      <c r="I1131" s="61" t="str">
        <f t="shared" si="6"/>
        <v>2023</v>
      </c>
      <c r="J1131" s="62">
        <f t="shared" si="7"/>
        <v>5</v>
      </c>
      <c r="K1131" s="61" t="str">
        <f t="shared" si="8"/>
        <v>2023-Q2</v>
      </c>
      <c r="L1131" s="63" t="str">
        <f t="shared" si="9"/>
        <v>2023-05</v>
      </c>
      <c r="M1131" s="64" t="str">
        <f t="shared" si="10"/>
        <v>2023-H1</v>
      </c>
      <c r="N1131" s="65" t="s">
        <v>80</v>
      </c>
    </row>
    <row r="1132">
      <c r="I1132" s="61" t="str">
        <f t="shared" si="6"/>
        <v>2023</v>
      </c>
      <c r="J1132" s="62">
        <f t="shared" si="7"/>
        <v>5</v>
      </c>
      <c r="K1132" s="61" t="str">
        <f t="shared" si="8"/>
        <v>2023-Q2</v>
      </c>
      <c r="L1132" s="63" t="str">
        <f t="shared" si="9"/>
        <v>2023-05</v>
      </c>
      <c r="M1132" s="64" t="str">
        <f t="shared" si="10"/>
        <v>2023-H1</v>
      </c>
      <c r="N1132" s="65" t="s">
        <v>80</v>
      </c>
    </row>
    <row r="1133">
      <c r="I1133" s="61" t="str">
        <f t="shared" si="6"/>
        <v>2023</v>
      </c>
      <c r="J1133" s="62">
        <f t="shared" si="7"/>
        <v>5</v>
      </c>
      <c r="K1133" s="61" t="str">
        <f t="shared" si="8"/>
        <v>2023-Q2</v>
      </c>
      <c r="L1133" s="63" t="str">
        <f t="shared" si="9"/>
        <v>2023-05</v>
      </c>
      <c r="M1133" s="64" t="str">
        <f t="shared" si="10"/>
        <v>2023-H1</v>
      </c>
      <c r="N1133" s="65" t="s">
        <v>80</v>
      </c>
    </row>
    <row r="1134">
      <c r="I1134" s="61" t="str">
        <f t="shared" si="6"/>
        <v>2023</v>
      </c>
      <c r="J1134" s="62">
        <f t="shared" si="7"/>
        <v>5</v>
      </c>
      <c r="K1134" s="61" t="str">
        <f t="shared" si="8"/>
        <v>2023-Q2</v>
      </c>
      <c r="L1134" s="63" t="str">
        <f t="shared" si="9"/>
        <v>2023-05</v>
      </c>
      <c r="M1134" s="64" t="str">
        <f t="shared" si="10"/>
        <v>2023-H1</v>
      </c>
      <c r="N1134" s="65" t="s">
        <v>80</v>
      </c>
    </row>
    <row r="1135">
      <c r="I1135" s="61" t="str">
        <f t="shared" si="6"/>
        <v>2023</v>
      </c>
      <c r="J1135" s="62">
        <f t="shared" si="7"/>
        <v>5</v>
      </c>
      <c r="K1135" s="61" t="str">
        <f t="shared" si="8"/>
        <v>2023-Q2</v>
      </c>
      <c r="L1135" s="63" t="str">
        <f t="shared" si="9"/>
        <v>2023-05</v>
      </c>
      <c r="M1135" s="64" t="str">
        <f t="shared" si="10"/>
        <v>2023-H1</v>
      </c>
      <c r="N1135" s="65" t="s">
        <v>80</v>
      </c>
    </row>
    <row r="1136">
      <c r="I1136" s="61" t="str">
        <f t="shared" si="6"/>
        <v>2023</v>
      </c>
      <c r="J1136" s="62">
        <f t="shared" si="7"/>
        <v>5</v>
      </c>
      <c r="K1136" s="61" t="str">
        <f t="shared" si="8"/>
        <v>2023-Q2</v>
      </c>
      <c r="L1136" s="63" t="str">
        <f t="shared" si="9"/>
        <v>2023-05</v>
      </c>
      <c r="M1136" s="64" t="str">
        <f t="shared" si="10"/>
        <v>2023-H1</v>
      </c>
      <c r="N1136" s="65" t="s">
        <v>80</v>
      </c>
    </row>
    <row r="1137">
      <c r="I1137" s="61" t="str">
        <f t="shared" si="6"/>
        <v>2023</v>
      </c>
      <c r="J1137" s="62">
        <f t="shared" si="7"/>
        <v>5</v>
      </c>
      <c r="K1137" s="61" t="str">
        <f t="shared" si="8"/>
        <v>2023-Q2</v>
      </c>
      <c r="L1137" s="63" t="str">
        <f t="shared" si="9"/>
        <v>2023-05</v>
      </c>
      <c r="M1137" s="64" t="str">
        <f t="shared" si="10"/>
        <v>2023-H1</v>
      </c>
      <c r="N1137" s="65" t="s">
        <v>80</v>
      </c>
    </row>
    <row r="1138">
      <c r="I1138" s="61" t="str">
        <f t="shared" si="6"/>
        <v>2023</v>
      </c>
      <c r="J1138" s="62">
        <f t="shared" si="7"/>
        <v>5</v>
      </c>
      <c r="K1138" s="61" t="str">
        <f t="shared" si="8"/>
        <v>2023-Q2</v>
      </c>
      <c r="L1138" s="63" t="str">
        <f t="shared" si="9"/>
        <v>2023-05</v>
      </c>
      <c r="M1138" s="64" t="str">
        <f t="shared" si="10"/>
        <v>2023-H1</v>
      </c>
      <c r="N1138" s="65" t="s">
        <v>80</v>
      </c>
    </row>
    <row r="1139">
      <c r="I1139" s="61" t="str">
        <f t="shared" si="6"/>
        <v>2023</v>
      </c>
      <c r="J1139" s="62">
        <f t="shared" si="7"/>
        <v>5</v>
      </c>
      <c r="K1139" s="61" t="str">
        <f t="shared" si="8"/>
        <v>2023-Q2</v>
      </c>
      <c r="L1139" s="63" t="str">
        <f t="shared" si="9"/>
        <v>2023-05</v>
      </c>
      <c r="M1139" s="64" t="str">
        <f t="shared" si="10"/>
        <v>2023-H1</v>
      </c>
      <c r="N1139" s="65" t="s">
        <v>80</v>
      </c>
    </row>
    <row r="1140">
      <c r="I1140" s="61" t="str">
        <f t="shared" si="6"/>
        <v>2023</v>
      </c>
      <c r="J1140" s="62">
        <f t="shared" si="7"/>
        <v>5</v>
      </c>
      <c r="K1140" s="61" t="str">
        <f t="shared" si="8"/>
        <v>2023-Q2</v>
      </c>
      <c r="L1140" s="63" t="str">
        <f t="shared" si="9"/>
        <v>2023-05</v>
      </c>
      <c r="M1140" s="64" t="str">
        <f t="shared" si="10"/>
        <v>2023-H1</v>
      </c>
      <c r="N1140" s="65" t="s">
        <v>80</v>
      </c>
    </row>
    <row r="1141">
      <c r="I1141" s="61" t="str">
        <f t="shared" si="6"/>
        <v>2023</v>
      </c>
      <c r="J1141" s="62">
        <f t="shared" si="7"/>
        <v>5</v>
      </c>
      <c r="K1141" s="61" t="str">
        <f t="shared" si="8"/>
        <v>2023-Q2</v>
      </c>
      <c r="L1141" s="63" t="str">
        <f t="shared" si="9"/>
        <v>2023-05</v>
      </c>
      <c r="M1141" s="64" t="str">
        <f t="shared" si="10"/>
        <v>2023-H1</v>
      </c>
      <c r="N1141" s="65" t="s">
        <v>80</v>
      </c>
    </row>
    <row r="1142">
      <c r="I1142" s="61" t="str">
        <f t="shared" si="6"/>
        <v>2023</v>
      </c>
      <c r="J1142" s="62">
        <f t="shared" si="7"/>
        <v>5</v>
      </c>
      <c r="K1142" s="61" t="str">
        <f t="shared" si="8"/>
        <v>2023-Q2</v>
      </c>
      <c r="L1142" s="63" t="str">
        <f t="shared" si="9"/>
        <v>2023-05</v>
      </c>
      <c r="M1142" s="64" t="str">
        <f t="shared" si="10"/>
        <v>2023-H1</v>
      </c>
      <c r="N1142" s="65" t="s">
        <v>80</v>
      </c>
    </row>
    <row r="1143">
      <c r="I1143" s="61" t="str">
        <f t="shared" si="6"/>
        <v>2023</v>
      </c>
      <c r="J1143" s="62">
        <f t="shared" si="7"/>
        <v>5</v>
      </c>
      <c r="K1143" s="61" t="str">
        <f t="shared" si="8"/>
        <v>2023-Q2</v>
      </c>
      <c r="L1143" s="63" t="str">
        <f t="shared" si="9"/>
        <v>2023-05</v>
      </c>
      <c r="M1143" s="64" t="str">
        <f t="shared" si="10"/>
        <v>2023-H1</v>
      </c>
      <c r="N1143" s="65" t="s">
        <v>80</v>
      </c>
    </row>
    <row r="1144">
      <c r="I1144" s="61" t="str">
        <f t="shared" si="6"/>
        <v>2023</v>
      </c>
      <c r="J1144" s="62">
        <f t="shared" si="7"/>
        <v>5</v>
      </c>
      <c r="K1144" s="61" t="str">
        <f t="shared" si="8"/>
        <v>2023-Q2</v>
      </c>
      <c r="L1144" s="63" t="str">
        <f t="shared" si="9"/>
        <v>2023-05</v>
      </c>
      <c r="M1144" s="64" t="str">
        <f t="shared" si="10"/>
        <v>2023-H1</v>
      </c>
      <c r="N1144" s="65" t="s">
        <v>80</v>
      </c>
    </row>
    <row r="1145">
      <c r="I1145" s="61" t="str">
        <f t="shared" si="6"/>
        <v>2023</v>
      </c>
      <c r="J1145" s="62">
        <f t="shared" si="7"/>
        <v>5</v>
      </c>
      <c r="K1145" s="61" t="str">
        <f t="shared" si="8"/>
        <v>2023-Q2</v>
      </c>
      <c r="L1145" s="63" t="str">
        <f t="shared" si="9"/>
        <v>2023-05</v>
      </c>
      <c r="M1145" s="64" t="str">
        <f t="shared" si="10"/>
        <v>2023-H1</v>
      </c>
      <c r="N1145" s="65" t="s">
        <v>80</v>
      </c>
    </row>
    <row r="1146">
      <c r="I1146" s="61" t="str">
        <f t="shared" si="6"/>
        <v>2023</v>
      </c>
      <c r="J1146" s="62">
        <f t="shared" si="7"/>
        <v>5</v>
      </c>
      <c r="K1146" s="61" t="str">
        <f t="shared" si="8"/>
        <v>2023-Q2</v>
      </c>
      <c r="L1146" s="63" t="str">
        <f t="shared" si="9"/>
        <v>2023-05</v>
      </c>
      <c r="M1146" s="64" t="str">
        <f t="shared" si="10"/>
        <v>2023-H1</v>
      </c>
      <c r="N1146" s="65" t="s">
        <v>80</v>
      </c>
    </row>
    <row r="1147">
      <c r="I1147" s="61" t="str">
        <f t="shared" si="6"/>
        <v>2023</v>
      </c>
      <c r="J1147" s="62">
        <f t="shared" si="7"/>
        <v>5</v>
      </c>
      <c r="K1147" s="61" t="str">
        <f t="shared" si="8"/>
        <v>2023-Q2</v>
      </c>
      <c r="L1147" s="63" t="str">
        <f t="shared" si="9"/>
        <v>2023-05</v>
      </c>
      <c r="M1147" s="64" t="str">
        <f t="shared" si="10"/>
        <v>2023-H1</v>
      </c>
      <c r="N1147" s="65" t="s">
        <v>80</v>
      </c>
    </row>
    <row r="1148">
      <c r="I1148" s="61" t="str">
        <f t="shared" si="6"/>
        <v>2023</v>
      </c>
      <c r="J1148" s="62">
        <f t="shared" si="7"/>
        <v>5</v>
      </c>
      <c r="K1148" s="61" t="str">
        <f t="shared" si="8"/>
        <v>2023-Q2</v>
      </c>
      <c r="L1148" s="63" t="str">
        <f t="shared" si="9"/>
        <v>2023-05</v>
      </c>
      <c r="M1148" s="64" t="str">
        <f t="shared" si="10"/>
        <v>2023-H1</v>
      </c>
      <c r="N1148" s="65" t="s">
        <v>80</v>
      </c>
    </row>
    <row r="1149">
      <c r="I1149" s="61" t="str">
        <f t="shared" si="6"/>
        <v>2023</v>
      </c>
      <c r="J1149" s="62">
        <f t="shared" si="7"/>
        <v>5</v>
      </c>
      <c r="K1149" s="61" t="str">
        <f t="shared" si="8"/>
        <v>2023-Q2</v>
      </c>
      <c r="L1149" s="63" t="str">
        <f t="shared" si="9"/>
        <v>2023-05</v>
      </c>
      <c r="M1149" s="64" t="str">
        <f t="shared" si="10"/>
        <v>2023-H1</v>
      </c>
      <c r="N1149" s="65" t="s">
        <v>80</v>
      </c>
    </row>
    <row r="1150">
      <c r="I1150" s="61" t="str">
        <f t="shared" si="6"/>
        <v>2023</v>
      </c>
      <c r="J1150" s="62">
        <f t="shared" si="7"/>
        <v>6</v>
      </c>
      <c r="K1150" s="61" t="str">
        <f t="shared" si="8"/>
        <v>2023-Q2</v>
      </c>
      <c r="L1150" s="63" t="str">
        <f t="shared" si="9"/>
        <v>2023-06</v>
      </c>
      <c r="M1150" s="64" t="str">
        <f t="shared" si="10"/>
        <v>2023-H1</v>
      </c>
      <c r="N1150" s="65" t="s">
        <v>80</v>
      </c>
    </row>
    <row r="1151">
      <c r="I1151" s="61" t="str">
        <f t="shared" si="6"/>
        <v>2023</v>
      </c>
      <c r="J1151" s="62">
        <f t="shared" si="7"/>
        <v>6</v>
      </c>
      <c r="K1151" s="61" t="str">
        <f t="shared" si="8"/>
        <v>2023-Q2</v>
      </c>
      <c r="L1151" s="63" t="str">
        <f t="shared" si="9"/>
        <v>2023-06</v>
      </c>
      <c r="M1151" s="64" t="str">
        <f t="shared" si="10"/>
        <v>2023-H1</v>
      </c>
      <c r="N1151" s="65" t="s">
        <v>80</v>
      </c>
    </row>
    <row r="1152">
      <c r="I1152" s="61" t="str">
        <f t="shared" si="6"/>
        <v>2023</v>
      </c>
      <c r="J1152" s="62">
        <f t="shared" si="7"/>
        <v>6</v>
      </c>
      <c r="K1152" s="61" t="str">
        <f t="shared" si="8"/>
        <v>2023-Q2</v>
      </c>
      <c r="L1152" s="63" t="str">
        <f t="shared" si="9"/>
        <v>2023-06</v>
      </c>
      <c r="M1152" s="64" t="str">
        <f t="shared" si="10"/>
        <v>2023-H1</v>
      </c>
      <c r="N1152" s="65" t="s">
        <v>80</v>
      </c>
    </row>
    <row r="1153">
      <c r="I1153" s="61" t="str">
        <f t="shared" si="6"/>
        <v>2023</v>
      </c>
      <c r="J1153" s="62">
        <f t="shared" si="7"/>
        <v>6</v>
      </c>
      <c r="K1153" s="61" t="str">
        <f t="shared" si="8"/>
        <v>2023-Q2</v>
      </c>
      <c r="L1153" s="63" t="str">
        <f t="shared" si="9"/>
        <v>2023-06</v>
      </c>
      <c r="M1153" s="64" t="str">
        <f t="shared" si="10"/>
        <v>2023-H1</v>
      </c>
      <c r="N1153" s="65" t="s">
        <v>80</v>
      </c>
    </row>
    <row r="1154">
      <c r="I1154" s="61" t="str">
        <f t="shared" si="6"/>
        <v>2023</v>
      </c>
      <c r="J1154" s="62">
        <f t="shared" si="7"/>
        <v>5</v>
      </c>
      <c r="K1154" s="61" t="str">
        <f t="shared" si="8"/>
        <v>2023-Q2</v>
      </c>
      <c r="L1154" s="63" t="str">
        <f t="shared" si="9"/>
        <v>2023-05</v>
      </c>
      <c r="M1154" s="64" t="str">
        <f t="shared" si="10"/>
        <v>2023-H1</v>
      </c>
      <c r="N1154" s="65" t="s">
        <v>80</v>
      </c>
    </row>
    <row r="1155">
      <c r="I1155" s="61" t="str">
        <f t="shared" si="6"/>
        <v>2023</v>
      </c>
      <c r="J1155" s="62">
        <f t="shared" si="7"/>
        <v>5</v>
      </c>
      <c r="K1155" s="61" t="str">
        <f t="shared" si="8"/>
        <v>2023-Q2</v>
      </c>
      <c r="L1155" s="63" t="str">
        <f t="shared" si="9"/>
        <v>2023-05</v>
      </c>
      <c r="M1155" s="64" t="str">
        <f t="shared" si="10"/>
        <v>2023-H1</v>
      </c>
      <c r="N1155" s="65" t="s">
        <v>80</v>
      </c>
    </row>
    <row r="1156">
      <c r="I1156" s="61" t="str">
        <f t="shared" si="6"/>
        <v>2023</v>
      </c>
      <c r="J1156" s="62">
        <f t="shared" si="7"/>
        <v>11</v>
      </c>
      <c r="K1156" s="61" t="str">
        <f t="shared" si="8"/>
        <v>2023-Q4</v>
      </c>
      <c r="L1156" s="63" t="str">
        <f t="shared" si="9"/>
        <v>2023-11</v>
      </c>
      <c r="M1156" s="64" t="str">
        <f t="shared" si="10"/>
        <v>2023-H2</v>
      </c>
      <c r="N1156" s="65" t="s">
        <v>80</v>
      </c>
    </row>
    <row r="1157">
      <c r="I1157" s="61" t="str">
        <f t="shared" si="6"/>
        <v>2023</v>
      </c>
      <c r="J1157" s="62">
        <f t="shared" si="7"/>
        <v>6</v>
      </c>
      <c r="K1157" s="61" t="str">
        <f t="shared" si="8"/>
        <v>2023-Q2</v>
      </c>
      <c r="L1157" s="63" t="str">
        <f t="shared" si="9"/>
        <v>2023-06</v>
      </c>
      <c r="M1157" s="64" t="str">
        <f t="shared" si="10"/>
        <v>2023-H1</v>
      </c>
      <c r="N1157" s="65" t="s">
        <v>80</v>
      </c>
    </row>
    <row r="1158">
      <c r="I1158" s="61" t="str">
        <f t="shared" si="6"/>
        <v>2023</v>
      </c>
      <c r="J1158" s="62">
        <f t="shared" si="7"/>
        <v>5</v>
      </c>
      <c r="K1158" s="61" t="str">
        <f t="shared" si="8"/>
        <v>2023-Q2</v>
      </c>
      <c r="L1158" s="63" t="str">
        <f t="shared" si="9"/>
        <v>2023-05</v>
      </c>
      <c r="M1158" s="64" t="str">
        <f t="shared" si="10"/>
        <v>2023-H1</v>
      </c>
      <c r="N1158" s="65" t="s">
        <v>80</v>
      </c>
    </row>
    <row r="1159">
      <c r="I1159" s="61" t="str">
        <f t="shared" si="6"/>
        <v>2023</v>
      </c>
      <c r="J1159" s="62">
        <f t="shared" si="7"/>
        <v>5</v>
      </c>
      <c r="K1159" s="61" t="str">
        <f t="shared" si="8"/>
        <v>2023-Q2</v>
      </c>
      <c r="L1159" s="63" t="str">
        <f t="shared" si="9"/>
        <v>2023-05</v>
      </c>
      <c r="M1159" s="64" t="str">
        <f t="shared" si="10"/>
        <v>2023-H1</v>
      </c>
      <c r="N1159" s="65" t="s">
        <v>80</v>
      </c>
    </row>
    <row r="1160">
      <c r="I1160" s="61" t="str">
        <f t="shared" si="6"/>
        <v>2023</v>
      </c>
      <c r="J1160" s="62">
        <f t="shared" si="7"/>
        <v>6</v>
      </c>
      <c r="K1160" s="61" t="str">
        <f t="shared" si="8"/>
        <v>2023-Q2</v>
      </c>
      <c r="L1160" s="63" t="str">
        <f t="shared" si="9"/>
        <v>2023-06</v>
      </c>
      <c r="M1160" s="64" t="str">
        <f t="shared" si="10"/>
        <v>2023-H1</v>
      </c>
      <c r="N1160" s="65" t="s">
        <v>80</v>
      </c>
    </row>
    <row r="1161">
      <c r="I1161" s="61" t="str">
        <f t="shared" si="6"/>
        <v>2023</v>
      </c>
      <c r="J1161" s="62">
        <f t="shared" si="7"/>
        <v>6</v>
      </c>
      <c r="K1161" s="61" t="str">
        <f t="shared" si="8"/>
        <v>2023-Q2</v>
      </c>
      <c r="L1161" s="63" t="str">
        <f t="shared" si="9"/>
        <v>2023-06</v>
      </c>
      <c r="M1161" s="64" t="str">
        <f t="shared" si="10"/>
        <v>2023-H1</v>
      </c>
      <c r="N1161" s="65" t="s">
        <v>80</v>
      </c>
    </row>
    <row r="1162">
      <c r="I1162" s="61" t="str">
        <f t="shared" si="6"/>
        <v>2023</v>
      </c>
      <c r="J1162" s="62">
        <f t="shared" si="7"/>
        <v>6</v>
      </c>
      <c r="K1162" s="61" t="str">
        <f t="shared" si="8"/>
        <v>2023-Q2</v>
      </c>
      <c r="L1162" s="63" t="str">
        <f t="shared" si="9"/>
        <v>2023-06</v>
      </c>
      <c r="M1162" s="64" t="str">
        <f t="shared" si="10"/>
        <v>2023-H1</v>
      </c>
      <c r="N1162" s="65" t="s">
        <v>80</v>
      </c>
    </row>
    <row r="1163">
      <c r="I1163" s="61" t="str">
        <f t="shared" si="6"/>
        <v>2023</v>
      </c>
      <c r="J1163" s="62">
        <f t="shared" si="7"/>
        <v>6</v>
      </c>
      <c r="K1163" s="61" t="str">
        <f t="shared" si="8"/>
        <v>2023-Q2</v>
      </c>
      <c r="L1163" s="63" t="str">
        <f t="shared" si="9"/>
        <v>2023-06</v>
      </c>
      <c r="M1163" s="64" t="str">
        <f t="shared" si="10"/>
        <v>2023-H1</v>
      </c>
      <c r="N1163" s="65" t="s">
        <v>80</v>
      </c>
    </row>
    <row r="1164">
      <c r="I1164" s="61" t="str">
        <f t="shared" si="6"/>
        <v>2023</v>
      </c>
      <c r="J1164" s="62">
        <f t="shared" si="7"/>
        <v>6</v>
      </c>
      <c r="K1164" s="61" t="str">
        <f t="shared" si="8"/>
        <v>2023-Q2</v>
      </c>
      <c r="L1164" s="63" t="str">
        <f t="shared" si="9"/>
        <v>2023-06</v>
      </c>
      <c r="M1164" s="64" t="str">
        <f t="shared" si="10"/>
        <v>2023-H1</v>
      </c>
      <c r="N1164" s="65" t="s">
        <v>80</v>
      </c>
    </row>
    <row r="1165">
      <c r="I1165" s="61" t="str">
        <f t="shared" si="6"/>
        <v>2023</v>
      </c>
      <c r="J1165" s="62">
        <f t="shared" si="7"/>
        <v>6</v>
      </c>
      <c r="K1165" s="61" t="str">
        <f t="shared" si="8"/>
        <v>2023-Q2</v>
      </c>
      <c r="L1165" s="63" t="str">
        <f t="shared" si="9"/>
        <v>2023-06</v>
      </c>
      <c r="M1165" s="64" t="str">
        <f t="shared" si="10"/>
        <v>2023-H1</v>
      </c>
      <c r="N1165" s="65" t="s">
        <v>80</v>
      </c>
    </row>
    <row r="1166">
      <c r="I1166" s="61" t="str">
        <f t="shared" si="6"/>
        <v>2023</v>
      </c>
      <c r="J1166" s="62">
        <f t="shared" si="7"/>
        <v>6</v>
      </c>
      <c r="K1166" s="61" t="str">
        <f t="shared" si="8"/>
        <v>2023-Q2</v>
      </c>
      <c r="L1166" s="63" t="str">
        <f t="shared" si="9"/>
        <v>2023-06</v>
      </c>
      <c r="M1166" s="64" t="str">
        <f t="shared" si="10"/>
        <v>2023-H1</v>
      </c>
      <c r="N1166" s="65" t="s">
        <v>80</v>
      </c>
    </row>
    <row r="1167">
      <c r="I1167" s="61" t="str">
        <f t="shared" si="6"/>
        <v>2023</v>
      </c>
      <c r="J1167" s="62">
        <f t="shared" si="7"/>
        <v>6</v>
      </c>
      <c r="K1167" s="61" t="str">
        <f t="shared" si="8"/>
        <v>2023-Q2</v>
      </c>
      <c r="L1167" s="63" t="str">
        <f t="shared" si="9"/>
        <v>2023-06</v>
      </c>
      <c r="M1167" s="64" t="str">
        <f t="shared" si="10"/>
        <v>2023-H1</v>
      </c>
      <c r="N1167" s="65" t="s">
        <v>80</v>
      </c>
    </row>
    <row r="1168">
      <c r="I1168" s="61" t="str">
        <f t="shared" si="6"/>
        <v>2023</v>
      </c>
      <c r="J1168" s="62">
        <f t="shared" si="7"/>
        <v>6</v>
      </c>
      <c r="K1168" s="61" t="str">
        <f t="shared" si="8"/>
        <v>2023-Q2</v>
      </c>
      <c r="L1168" s="63" t="str">
        <f t="shared" si="9"/>
        <v>2023-06</v>
      </c>
      <c r="M1168" s="64" t="str">
        <f t="shared" si="10"/>
        <v>2023-H1</v>
      </c>
      <c r="N1168" s="65" t="s">
        <v>80</v>
      </c>
    </row>
    <row r="1169">
      <c r="I1169" s="61" t="str">
        <f t="shared" si="6"/>
        <v>2023</v>
      </c>
      <c r="J1169" s="62">
        <f t="shared" si="7"/>
        <v>6</v>
      </c>
      <c r="K1169" s="61" t="str">
        <f t="shared" si="8"/>
        <v>2023-Q2</v>
      </c>
      <c r="L1169" s="63" t="str">
        <f t="shared" si="9"/>
        <v>2023-06</v>
      </c>
      <c r="M1169" s="64" t="str">
        <f t="shared" si="10"/>
        <v>2023-H1</v>
      </c>
      <c r="N1169" s="65" t="s">
        <v>80</v>
      </c>
    </row>
    <row r="1170">
      <c r="I1170" s="61" t="str">
        <f t="shared" si="6"/>
        <v>2023</v>
      </c>
      <c r="J1170" s="62">
        <f t="shared" si="7"/>
        <v>6</v>
      </c>
      <c r="K1170" s="61" t="str">
        <f t="shared" si="8"/>
        <v>2023-Q2</v>
      </c>
      <c r="L1170" s="63" t="str">
        <f t="shared" si="9"/>
        <v>2023-06</v>
      </c>
      <c r="M1170" s="64" t="str">
        <f t="shared" si="10"/>
        <v>2023-H1</v>
      </c>
      <c r="N1170" s="65" t="s">
        <v>80</v>
      </c>
    </row>
    <row r="1171">
      <c r="I1171" s="61" t="str">
        <f t="shared" si="6"/>
        <v>2023</v>
      </c>
      <c r="J1171" s="62">
        <f t="shared" si="7"/>
        <v>6</v>
      </c>
      <c r="K1171" s="61" t="str">
        <f t="shared" si="8"/>
        <v>2023-Q2</v>
      </c>
      <c r="L1171" s="63" t="str">
        <f t="shared" si="9"/>
        <v>2023-06</v>
      </c>
      <c r="M1171" s="64" t="str">
        <f t="shared" si="10"/>
        <v>2023-H1</v>
      </c>
      <c r="N1171" s="65" t="s">
        <v>80</v>
      </c>
    </row>
    <row r="1172">
      <c r="I1172" s="61" t="str">
        <f t="shared" si="6"/>
        <v>2023</v>
      </c>
      <c r="J1172" s="62">
        <f t="shared" si="7"/>
        <v>6</v>
      </c>
      <c r="K1172" s="61" t="str">
        <f t="shared" si="8"/>
        <v>2023-Q2</v>
      </c>
      <c r="L1172" s="63" t="str">
        <f t="shared" si="9"/>
        <v>2023-06</v>
      </c>
      <c r="M1172" s="64" t="str">
        <f t="shared" si="10"/>
        <v>2023-H1</v>
      </c>
      <c r="N1172" s="65" t="s">
        <v>80</v>
      </c>
    </row>
    <row r="1173">
      <c r="I1173" s="61" t="str">
        <f t="shared" si="6"/>
        <v>2023</v>
      </c>
      <c r="J1173" s="62">
        <f t="shared" si="7"/>
        <v>6</v>
      </c>
      <c r="K1173" s="61" t="str">
        <f t="shared" si="8"/>
        <v>2023-Q2</v>
      </c>
      <c r="L1173" s="63" t="str">
        <f t="shared" si="9"/>
        <v>2023-06</v>
      </c>
      <c r="M1173" s="64" t="str">
        <f t="shared" si="10"/>
        <v>2023-H1</v>
      </c>
      <c r="N1173" s="65" t="s">
        <v>80</v>
      </c>
    </row>
    <row r="1174">
      <c r="I1174" s="61" t="str">
        <f t="shared" si="6"/>
        <v>2023</v>
      </c>
      <c r="J1174" s="62">
        <f t="shared" si="7"/>
        <v>6</v>
      </c>
      <c r="K1174" s="61" t="str">
        <f t="shared" si="8"/>
        <v>2023-Q2</v>
      </c>
      <c r="L1174" s="63" t="str">
        <f t="shared" si="9"/>
        <v>2023-06</v>
      </c>
      <c r="M1174" s="64" t="str">
        <f t="shared" si="10"/>
        <v>2023-H1</v>
      </c>
      <c r="N1174" s="65" t="s">
        <v>80</v>
      </c>
    </row>
    <row r="1175">
      <c r="I1175" s="61" t="str">
        <f t="shared" si="6"/>
        <v>2023</v>
      </c>
      <c r="J1175" s="62">
        <f t="shared" si="7"/>
        <v>6</v>
      </c>
      <c r="K1175" s="61" t="str">
        <f t="shared" si="8"/>
        <v>2023-Q2</v>
      </c>
      <c r="L1175" s="63" t="str">
        <f t="shared" si="9"/>
        <v>2023-06</v>
      </c>
      <c r="M1175" s="64" t="str">
        <f t="shared" si="10"/>
        <v>2023-H1</v>
      </c>
      <c r="N1175" s="65" t="s">
        <v>80</v>
      </c>
    </row>
    <row r="1176">
      <c r="I1176" s="61" t="str">
        <f t="shared" si="6"/>
        <v>2023</v>
      </c>
      <c r="J1176" s="62">
        <f t="shared" si="7"/>
        <v>6</v>
      </c>
      <c r="K1176" s="61" t="str">
        <f t="shared" si="8"/>
        <v>2023-Q2</v>
      </c>
      <c r="L1176" s="63" t="str">
        <f t="shared" si="9"/>
        <v>2023-06</v>
      </c>
      <c r="M1176" s="64" t="str">
        <f t="shared" si="10"/>
        <v>2023-H1</v>
      </c>
      <c r="N1176" s="65" t="s">
        <v>80</v>
      </c>
    </row>
    <row r="1177">
      <c r="I1177" s="61" t="str">
        <f t="shared" si="6"/>
        <v>2023</v>
      </c>
      <c r="J1177" s="62">
        <f t="shared" si="7"/>
        <v>6</v>
      </c>
      <c r="K1177" s="61" t="str">
        <f t="shared" si="8"/>
        <v>2023-Q2</v>
      </c>
      <c r="L1177" s="63" t="str">
        <f t="shared" si="9"/>
        <v>2023-06</v>
      </c>
      <c r="M1177" s="64" t="str">
        <f t="shared" si="10"/>
        <v>2023-H1</v>
      </c>
      <c r="N1177" s="65" t="s">
        <v>80</v>
      </c>
    </row>
    <row r="1178">
      <c r="I1178" s="61" t="str">
        <f t="shared" si="6"/>
        <v>2023</v>
      </c>
      <c r="J1178" s="62">
        <f t="shared" si="7"/>
        <v>6</v>
      </c>
      <c r="K1178" s="61" t="str">
        <f t="shared" si="8"/>
        <v>2023-Q2</v>
      </c>
      <c r="L1178" s="63" t="str">
        <f t="shared" si="9"/>
        <v>2023-06</v>
      </c>
      <c r="M1178" s="64" t="str">
        <f t="shared" si="10"/>
        <v>2023-H1</v>
      </c>
      <c r="N1178" s="65" t="s">
        <v>80</v>
      </c>
    </row>
    <row r="1179">
      <c r="I1179" s="61" t="str">
        <f t="shared" si="6"/>
        <v>2023</v>
      </c>
      <c r="J1179" s="62">
        <f t="shared" si="7"/>
        <v>6</v>
      </c>
      <c r="K1179" s="61" t="str">
        <f t="shared" si="8"/>
        <v>2023-Q2</v>
      </c>
      <c r="L1179" s="63" t="str">
        <f t="shared" si="9"/>
        <v>2023-06</v>
      </c>
      <c r="M1179" s="64" t="str">
        <f t="shared" si="10"/>
        <v>2023-H1</v>
      </c>
      <c r="N1179" s="65" t="s">
        <v>80</v>
      </c>
    </row>
    <row r="1180">
      <c r="I1180" s="61" t="str">
        <f t="shared" si="6"/>
        <v>2023</v>
      </c>
      <c r="J1180" s="62">
        <f t="shared" si="7"/>
        <v>6</v>
      </c>
      <c r="K1180" s="61" t="str">
        <f t="shared" si="8"/>
        <v>2023-Q2</v>
      </c>
      <c r="L1180" s="63" t="str">
        <f t="shared" si="9"/>
        <v>2023-06</v>
      </c>
      <c r="M1180" s="64" t="str">
        <f t="shared" si="10"/>
        <v>2023-H1</v>
      </c>
      <c r="N1180" s="65" t="s">
        <v>80</v>
      </c>
    </row>
    <row r="1181">
      <c r="I1181" s="61" t="str">
        <f t="shared" si="6"/>
        <v>2023</v>
      </c>
      <c r="J1181" s="62">
        <f t="shared" si="7"/>
        <v>6</v>
      </c>
      <c r="K1181" s="61" t="str">
        <f t="shared" si="8"/>
        <v>2023-Q2</v>
      </c>
      <c r="L1181" s="63" t="str">
        <f t="shared" si="9"/>
        <v>2023-06</v>
      </c>
      <c r="M1181" s="64" t="str">
        <f t="shared" si="10"/>
        <v>2023-H1</v>
      </c>
      <c r="N1181" s="65" t="s">
        <v>80</v>
      </c>
    </row>
    <row r="1182">
      <c r="I1182" s="61" t="str">
        <f t="shared" si="6"/>
        <v>2023</v>
      </c>
      <c r="J1182" s="62">
        <f t="shared" si="7"/>
        <v>6</v>
      </c>
      <c r="K1182" s="61" t="str">
        <f t="shared" si="8"/>
        <v>2023-Q2</v>
      </c>
      <c r="L1182" s="63" t="str">
        <f t="shared" si="9"/>
        <v>2023-06</v>
      </c>
      <c r="M1182" s="64" t="str">
        <f t="shared" si="10"/>
        <v>2023-H1</v>
      </c>
      <c r="N1182" s="65" t="s">
        <v>80</v>
      </c>
    </row>
    <row r="1183">
      <c r="I1183" s="61" t="str">
        <f t="shared" si="6"/>
        <v>2023</v>
      </c>
      <c r="J1183" s="62">
        <f t="shared" si="7"/>
        <v>6</v>
      </c>
      <c r="K1183" s="61" t="str">
        <f t="shared" si="8"/>
        <v>2023-Q2</v>
      </c>
      <c r="L1183" s="63" t="str">
        <f t="shared" si="9"/>
        <v>2023-06</v>
      </c>
      <c r="M1183" s="64" t="str">
        <f t="shared" si="10"/>
        <v>2023-H1</v>
      </c>
      <c r="N1183" s="65" t="s">
        <v>80</v>
      </c>
    </row>
    <row r="1184">
      <c r="I1184" s="61" t="str">
        <f t="shared" si="6"/>
        <v>2023</v>
      </c>
      <c r="J1184" s="62">
        <f t="shared" si="7"/>
        <v>6</v>
      </c>
      <c r="K1184" s="61" t="str">
        <f t="shared" si="8"/>
        <v>2023-Q2</v>
      </c>
      <c r="L1184" s="63" t="str">
        <f t="shared" si="9"/>
        <v>2023-06</v>
      </c>
      <c r="M1184" s="64" t="str">
        <f t="shared" si="10"/>
        <v>2023-H1</v>
      </c>
      <c r="N1184" s="65" t="s">
        <v>80</v>
      </c>
    </row>
    <row r="1185">
      <c r="I1185" s="61" t="str">
        <f t="shared" si="6"/>
        <v>2023</v>
      </c>
      <c r="J1185" s="62">
        <f t="shared" si="7"/>
        <v>6</v>
      </c>
      <c r="K1185" s="61" t="str">
        <f t="shared" si="8"/>
        <v>2023-Q2</v>
      </c>
      <c r="L1185" s="63" t="str">
        <f t="shared" si="9"/>
        <v>2023-06</v>
      </c>
      <c r="M1185" s="64" t="str">
        <f t="shared" si="10"/>
        <v>2023-H1</v>
      </c>
      <c r="N1185" s="65" t="s">
        <v>80</v>
      </c>
    </row>
    <row r="1186">
      <c r="I1186" s="61" t="str">
        <f t="shared" si="6"/>
        <v>2023</v>
      </c>
      <c r="J1186" s="62">
        <f t="shared" si="7"/>
        <v>6</v>
      </c>
      <c r="K1186" s="61" t="str">
        <f t="shared" si="8"/>
        <v>2023-Q2</v>
      </c>
      <c r="L1186" s="63" t="str">
        <f t="shared" si="9"/>
        <v>2023-06</v>
      </c>
      <c r="M1186" s="64" t="str">
        <f t="shared" si="10"/>
        <v>2023-H1</v>
      </c>
      <c r="N1186" s="65" t="s">
        <v>80</v>
      </c>
    </row>
    <row r="1187">
      <c r="I1187" s="61" t="str">
        <f t="shared" si="6"/>
        <v>2023</v>
      </c>
      <c r="J1187" s="62">
        <f t="shared" si="7"/>
        <v>6</v>
      </c>
      <c r="K1187" s="61" t="str">
        <f t="shared" si="8"/>
        <v>2023-Q2</v>
      </c>
      <c r="L1187" s="63" t="str">
        <f t="shared" si="9"/>
        <v>2023-06</v>
      </c>
      <c r="M1187" s="64" t="str">
        <f t="shared" si="10"/>
        <v>2023-H1</v>
      </c>
      <c r="N1187" s="65" t="s">
        <v>80</v>
      </c>
    </row>
    <row r="1188">
      <c r="I1188" s="61" t="str">
        <f t="shared" si="6"/>
        <v>2023</v>
      </c>
      <c r="J1188" s="62">
        <f t="shared" si="7"/>
        <v>6</v>
      </c>
      <c r="K1188" s="61" t="str">
        <f t="shared" si="8"/>
        <v>2023-Q2</v>
      </c>
      <c r="L1188" s="63" t="str">
        <f t="shared" si="9"/>
        <v>2023-06</v>
      </c>
      <c r="M1188" s="64" t="str">
        <f t="shared" si="10"/>
        <v>2023-H1</v>
      </c>
      <c r="N1188" s="65" t="s">
        <v>80</v>
      </c>
    </row>
    <row r="1189">
      <c r="I1189" s="61" t="str">
        <f t="shared" si="6"/>
        <v>2023</v>
      </c>
      <c r="J1189" s="62">
        <f t="shared" si="7"/>
        <v>6</v>
      </c>
      <c r="K1189" s="61" t="str">
        <f t="shared" si="8"/>
        <v>2023-Q2</v>
      </c>
      <c r="L1189" s="63" t="str">
        <f t="shared" si="9"/>
        <v>2023-06</v>
      </c>
      <c r="M1189" s="64" t="str">
        <f t="shared" si="10"/>
        <v>2023-H1</v>
      </c>
      <c r="N1189" s="65" t="s">
        <v>80</v>
      </c>
    </row>
    <row r="1190">
      <c r="I1190" s="61" t="str">
        <f t="shared" si="6"/>
        <v>2023</v>
      </c>
      <c r="J1190" s="62">
        <f t="shared" si="7"/>
        <v>6</v>
      </c>
      <c r="K1190" s="61" t="str">
        <f t="shared" si="8"/>
        <v>2023-Q2</v>
      </c>
      <c r="L1190" s="63" t="str">
        <f t="shared" si="9"/>
        <v>2023-06</v>
      </c>
      <c r="M1190" s="64" t="str">
        <f t="shared" si="10"/>
        <v>2023-H1</v>
      </c>
      <c r="N1190" s="65" t="s">
        <v>80</v>
      </c>
    </row>
    <row r="1191">
      <c r="I1191" s="61" t="str">
        <f t="shared" si="6"/>
        <v>2023</v>
      </c>
      <c r="J1191" s="62">
        <f t="shared" si="7"/>
        <v>7</v>
      </c>
      <c r="K1191" s="61" t="str">
        <f t="shared" si="8"/>
        <v>2023-Q3</v>
      </c>
      <c r="L1191" s="63" t="str">
        <f t="shared" si="9"/>
        <v>2023-07</v>
      </c>
      <c r="M1191" s="64" t="str">
        <f t="shared" si="10"/>
        <v>2023-H2</v>
      </c>
      <c r="N1191" s="65" t="s">
        <v>80</v>
      </c>
    </row>
    <row r="1192">
      <c r="I1192" s="61" t="str">
        <f t="shared" si="6"/>
        <v>2023</v>
      </c>
      <c r="J1192" s="62">
        <f t="shared" si="7"/>
        <v>7</v>
      </c>
      <c r="K1192" s="61" t="str">
        <f t="shared" si="8"/>
        <v>2023-Q3</v>
      </c>
      <c r="L1192" s="63" t="str">
        <f t="shared" si="9"/>
        <v>2023-07</v>
      </c>
      <c r="M1192" s="64" t="str">
        <f t="shared" si="10"/>
        <v>2023-H2</v>
      </c>
      <c r="N1192" s="65" t="s">
        <v>80</v>
      </c>
    </row>
    <row r="1193">
      <c r="I1193" s="61" t="str">
        <f t="shared" si="6"/>
        <v>2023</v>
      </c>
      <c r="J1193" s="62">
        <f t="shared" si="7"/>
        <v>6</v>
      </c>
      <c r="K1193" s="61" t="str">
        <f t="shared" si="8"/>
        <v>2023-Q2</v>
      </c>
      <c r="L1193" s="63" t="str">
        <f t="shared" si="9"/>
        <v>2023-06</v>
      </c>
      <c r="M1193" s="64" t="str">
        <f t="shared" si="10"/>
        <v>2023-H1</v>
      </c>
      <c r="N1193" s="65" t="s">
        <v>80</v>
      </c>
    </row>
    <row r="1194">
      <c r="I1194" s="61" t="str">
        <f t="shared" si="6"/>
        <v>2023</v>
      </c>
      <c r="J1194" s="62">
        <f t="shared" si="7"/>
        <v>6</v>
      </c>
      <c r="K1194" s="61" t="str">
        <f t="shared" si="8"/>
        <v>2023-Q2</v>
      </c>
      <c r="L1194" s="63" t="str">
        <f t="shared" si="9"/>
        <v>2023-06</v>
      </c>
      <c r="M1194" s="64" t="str">
        <f t="shared" si="10"/>
        <v>2023-H1</v>
      </c>
      <c r="N1194" s="65" t="s">
        <v>80</v>
      </c>
    </row>
    <row r="1195">
      <c r="I1195" s="61" t="str">
        <f t="shared" si="6"/>
        <v>2023</v>
      </c>
      <c r="J1195" s="62">
        <f t="shared" si="7"/>
        <v>6</v>
      </c>
      <c r="K1195" s="61" t="str">
        <f t="shared" si="8"/>
        <v>2023-Q2</v>
      </c>
      <c r="L1195" s="63" t="str">
        <f t="shared" si="9"/>
        <v>2023-06</v>
      </c>
      <c r="M1195" s="64" t="str">
        <f t="shared" si="10"/>
        <v>2023-H1</v>
      </c>
      <c r="N1195" s="65" t="s">
        <v>80</v>
      </c>
    </row>
    <row r="1196">
      <c r="I1196" s="61" t="str">
        <f t="shared" si="6"/>
        <v>2023</v>
      </c>
      <c r="J1196" s="62">
        <f t="shared" si="7"/>
        <v>6</v>
      </c>
      <c r="K1196" s="61" t="str">
        <f t="shared" si="8"/>
        <v>2023-Q2</v>
      </c>
      <c r="L1196" s="63" t="str">
        <f t="shared" si="9"/>
        <v>2023-06</v>
      </c>
      <c r="M1196" s="64" t="str">
        <f t="shared" si="10"/>
        <v>2023-H1</v>
      </c>
      <c r="N1196" s="65" t="s">
        <v>80</v>
      </c>
    </row>
    <row r="1197">
      <c r="I1197" s="61" t="str">
        <f t="shared" si="6"/>
        <v>2023</v>
      </c>
      <c r="J1197" s="62">
        <f t="shared" si="7"/>
        <v>6</v>
      </c>
      <c r="K1197" s="61" t="str">
        <f t="shared" si="8"/>
        <v>2023-Q2</v>
      </c>
      <c r="L1197" s="63" t="str">
        <f t="shared" si="9"/>
        <v>2023-06</v>
      </c>
      <c r="M1197" s="64" t="str">
        <f t="shared" si="10"/>
        <v>2023-H1</v>
      </c>
      <c r="N1197" s="65" t="s">
        <v>80</v>
      </c>
    </row>
    <row r="1198">
      <c r="I1198" s="61" t="str">
        <f t="shared" si="6"/>
        <v>2023</v>
      </c>
      <c r="J1198" s="62">
        <f t="shared" si="7"/>
        <v>6</v>
      </c>
      <c r="K1198" s="61" t="str">
        <f t="shared" si="8"/>
        <v>2023-Q2</v>
      </c>
      <c r="L1198" s="63" t="str">
        <f t="shared" si="9"/>
        <v>2023-06</v>
      </c>
      <c r="M1198" s="64" t="str">
        <f t="shared" si="10"/>
        <v>2023-H1</v>
      </c>
      <c r="N1198" s="65" t="s">
        <v>80</v>
      </c>
    </row>
    <row r="1199">
      <c r="I1199" s="61" t="str">
        <f t="shared" si="6"/>
        <v>2023</v>
      </c>
      <c r="J1199" s="62">
        <f t="shared" si="7"/>
        <v>6</v>
      </c>
      <c r="K1199" s="61" t="str">
        <f t="shared" si="8"/>
        <v>2023-Q2</v>
      </c>
      <c r="L1199" s="63" t="str">
        <f t="shared" si="9"/>
        <v>2023-06</v>
      </c>
      <c r="M1199" s="64" t="str">
        <f t="shared" si="10"/>
        <v>2023-H1</v>
      </c>
      <c r="N1199" s="65" t="s">
        <v>80</v>
      </c>
    </row>
    <row r="1200">
      <c r="I1200" s="61" t="str">
        <f t="shared" si="6"/>
        <v>2023</v>
      </c>
      <c r="J1200" s="62">
        <f t="shared" si="7"/>
        <v>6</v>
      </c>
      <c r="K1200" s="61" t="str">
        <f t="shared" si="8"/>
        <v>2023-Q2</v>
      </c>
      <c r="L1200" s="63" t="str">
        <f t="shared" si="9"/>
        <v>2023-06</v>
      </c>
      <c r="M1200" s="64" t="str">
        <f t="shared" si="10"/>
        <v>2023-H1</v>
      </c>
      <c r="N1200" s="65" t="s">
        <v>80</v>
      </c>
    </row>
    <row r="1201">
      <c r="I1201" s="61" t="str">
        <f t="shared" si="6"/>
        <v>2023</v>
      </c>
      <c r="J1201" s="62">
        <f t="shared" si="7"/>
        <v>6</v>
      </c>
      <c r="K1201" s="61" t="str">
        <f t="shared" si="8"/>
        <v>2023-Q2</v>
      </c>
      <c r="L1201" s="63" t="str">
        <f t="shared" si="9"/>
        <v>2023-06</v>
      </c>
      <c r="M1201" s="64" t="str">
        <f t="shared" si="10"/>
        <v>2023-H1</v>
      </c>
      <c r="N1201" s="65" t="s">
        <v>80</v>
      </c>
    </row>
    <row r="1202">
      <c r="I1202" s="61" t="str">
        <f t="shared" si="6"/>
        <v>2023</v>
      </c>
      <c r="J1202" s="62">
        <f t="shared" si="7"/>
        <v>6</v>
      </c>
      <c r="K1202" s="61" t="str">
        <f t="shared" si="8"/>
        <v>2023-Q2</v>
      </c>
      <c r="L1202" s="63" t="str">
        <f t="shared" si="9"/>
        <v>2023-06</v>
      </c>
      <c r="M1202" s="64" t="str">
        <f t="shared" si="10"/>
        <v>2023-H1</v>
      </c>
      <c r="N1202" s="65" t="s">
        <v>80</v>
      </c>
    </row>
    <row r="1203">
      <c r="I1203" s="61" t="str">
        <f t="shared" si="6"/>
        <v>2023</v>
      </c>
      <c r="J1203" s="62">
        <f t="shared" si="7"/>
        <v>6</v>
      </c>
      <c r="K1203" s="61" t="str">
        <f t="shared" si="8"/>
        <v>2023-Q2</v>
      </c>
      <c r="L1203" s="63" t="str">
        <f t="shared" si="9"/>
        <v>2023-06</v>
      </c>
      <c r="M1203" s="64" t="str">
        <f t="shared" si="10"/>
        <v>2023-H1</v>
      </c>
      <c r="N1203" s="65" t="s">
        <v>80</v>
      </c>
    </row>
    <row r="1204">
      <c r="I1204" s="61" t="str">
        <f t="shared" si="6"/>
        <v>2023</v>
      </c>
      <c r="J1204" s="62">
        <f t="shared" si="7"/>
        <v>6</v>
      </c>
      <c r="K1204" s="61" t="str">
        <f t="shared" si="8"/>
        <v>2023-Q2</v>
      </c>
      <c r="L1204" s="63" t="str">
        <f t="shared" si="9"/>
        <v>2023-06</v>
      </c>
      <c r="M1204" s="64" t="str">
        <f t="shared" si="10"/>
        <v>2023-H1</v>
      </c>
      <c r="N1204" s="65" t="s">
        <v>80</v>
      </c>
    </row>
    <row r="1205">
      <c r="I1205" s="61" t="str">
        <f t="shared" si="6"/>
        <v>2023</v>
      </c>
      <c r="J1205" s="62">
        <f t="shared" si="7"/>
        <v>6</v>
      </c>
      <c r="K1205" s="61" t="str">
        <f t="shared" si="8"/>
        <v>2023-Q2</v>
      </c>
      <c r="L1205" s="63" t="str">
        <f t="shared" si="9"/>
        <v>2023-06</v>
      </c>
      <c r="M1205" s="64" t="str">
        <f t="shared" si="10"/>
        <v>2023-H1</v>
      </c>
      <c r="N1205" s="65" t="s">
        <v>80</v>
      </c>
    </row>
    <row r="1206">
      <c r="I1206" s="61" t="str">
        <f t="shared" si="6"/>
        <v>2023</v>
      </c>
      <c r="J1206" s="62">
        <f t="shared" si="7"/>
        <v>6</v>
      </c>
      <c r="K1206" s="61" t="str">
        <f t="shared" si="8"/>
        <v>2023-Q2</v>
      </c>
      <c r="L1206" s="63" t="str">
        <f t="shared" si="9"/>
        <v>2023-06</v>
      </c>
      <c r="M1206" s="64" t="str">
        <f t="shared" si="10"/>
        <v>2023-H1</v>
      </c>
      <c r="N1206" s="65" t="s">
        <v>80</v>
      </c>
    </row>
    <row r="1207">
      <c r="I1207" s="61" t="str">
        <f t="shared" si="6"/>
        <v>2023</v>
      </c>
      <c r="J1207" s="62">
        <f t="shared" si="7"/>
        <v>6</v>
      </c>
      <c r="K1207" s="61" t="str">
        <f t="shared" si="8"/>
        <v>2023-Q2</v>
      </c>
      <c r="L1207" s="63" t="str">
        <f t="shared" si="9"/>
        <v>2023-06</v>
      </c>
      <c r="M1207" s="64" t="str">
        <f t="shared" si="10"/>
        <v>2023-H1</v>
      </c>
      <c r="N1207" s="65" t="s">
        <v>80</v>
      </c>
    </row>
    <row r="1208">
      <c r="I1208" s="61" t="str">
        <f t="shared" si="6"/>
        <v>2023</v>
      </c>
      <c r="J1208" s="62">
        <f t="shared" si="7"/>
        <v>6</v>
      </c>
      <c r="K1208" s="61" t="str">
        <f t="shared" si="8"/>
        <v>2023-Q2</v>
      </c>
      <c r="L1208" s="63" t="str">
        <f t="shared" si="9"/>
        <v>2023-06</v>
      </c>
      <c r="M1208" s="64" t="str">
        <f t="shared" si="10"/>
        <v>2023-H1</v>
      </c>
      <c r="N1208" s="65" t="s">
        <v>80</v>
      </c>
    </row>
    <row r="1209">
      <c r="I1209" s="61" t="str">
        <f t="shared" si="6"/>
        <v>2023</v>
      </c>
      <c r="J1209" s="62">
        <f t="shared" si="7"/>
        <v>6</v>
      </c>
      <c r="K1209" s="61" t="str">
        <f t="shared" si="8"/>
        <v>2023-Q2</v>
      </c>
      <c r="L1209" s="63" t="str">
        <f t="shared" si="9"/>
        <v>2023-06</v>
      </c>
      <c r="M1209" s="64" t="str">
        <f t="shared" si="10"/>
        <v>2023-H1</v>
      </c>
      <c r="N1209" s="65" t="s">
        <v>80</v>
      </c>
    </row>
    <row r="1210">
      <c r="I1210" s="61" t="str">
        <f t="shared" si="6"/>
        <v>2023</v>
      </c>
      <c r="J1210" s="62">
        <f t="shared" si="7"/>
        <v>6</v>
      </c>
      <c r="K1210" s="61" t="str">
        <f t="shared" si="8"/>
        <v>2023-Q2</v>
      </c>
      <c r="L1210" s="63" t="str">
        <f t="shared" si="9"/>
        <v>2023-06</v>
      </c>
      <c r="M1210" s="64" t="str">
        <f t="shared" si="10"/>
        <v>2023-H1</v>
      </c>
      <c r="N1210" s="65" t="s">
        <v>80</v>
      </c>
    </row>
    <row r="1211">
      <c r="I1211" s="61" t="str">
        <f t="shared" si="6"/>
        <v>2023</v>
      </c>
      <c r="J1211" s="62">
        <f t="shared" si="7"/>
        <v>6</v>
      </c>
      <c r="K1211" s="61" t="str">
        <f t="shared" si="8"/>
        <v>2023-Q2</v>
      </c>
      <c r="L1211" s="63" t="str">
        <f t="shared" si="9"/>
        <v>2023-06</v>
      </c>
      <c r="M1211" s="64" t="str">
        <f t="shared" si="10"/>
        <v>2023-H1</v>
      </c>
      <c r="N1211" s="65" t="s">
        <v>80</v>
      </c>
    </row>
    <row r="1212">
      <c r="I1212" s="61" t="str">
        <f t="shared" si="6"/>
        <v>2023</v>
      </c>
      <c r="J1212" s="62">
        <f t="shared" si="7"/>
        <v>6</v>
      </c>
      <c r="K1212" s="61" t="str">
        <f t="shared" si="8"/>
        <v>2023-Q2</v>
      </c>
      <c r="L1212" s="63" t="str">
        <f t="shared" si="9"/>
        <v>2023-06</v>
      </c>
      <c r="M1212" s="64" t="str">
        <f t="shared" si="10"/>
        <v>2023-H1</v>
      </c>
      <c r="N1212" s="65" t="s">
        <v>80</v>
      </c>
    </row>
    <row r="1213">
      <c r="I1213" s="61" t="str">
        <f t="shared" si="6"/>
        <v>2023</v>
      </c>
      <c r="J1213" s="62">
        <f t="shared" si="7"/>
        <v>6</v>
      </c>
      <c r="K1213" s="61" t="str">
        <f t="shared" si="8"/>
        <v>2023-Q2</v>
      </c>
      <c r="L1213" s="63" t="str">
        <f t="shared" si="9"/>
        <v>2023-06</v>
      </c>
      <c r="M1213" s="64" t="str">
        <f t="shared" si="10"/>
        <v>2023-H1</v>
      </c>
      <c r="N1213" s="65" t="s">
        <v>80</v>
      </c>
    </row>
    <row r="1214">
      <c r="I1214" s="61" t="str">
        <f t="shared" si="6"/>
        <v>2023</v>
      </c>
      <c r="J1214" s="62">
        <f t="shared" si="7"/>
        <v>6</v>
      </c>
      <c r="K1214" s="61" t="str">
        <f t="shared" si="8"/>
        <v>2023-Q2</v>
      </c>
      <c r="L1214" s="63" t="str">
        <f t="shared" si="9"/>
        <v>2023-06</v>
      </c>
      <c r="M1214" s="64" t="str">
        <f t="shared" si="10"/>
        <v>2023-H1</v>
      </c>
      <c r="N1214" s="65" t="s">
        <v>80</v>
      </c>
    </row>
    <row r="1215">
      <c r="I1215" s="61" t="str">
        <f t="shared" si="6"/>
        <v>2023</v>
      </c>
      <c r="J1215" s="62">
        <f t="shared" si="7"/>
        <v>6</v>
      </c>
      <c r="K1215" s="61" t="str">
        <f t="shared" si="8"/>
        <v>2023-Q2</v>
      </c>
      <c r="L1215" s="63" t="str">
        <f t="shared" si="9"/>
        <v>2023-06</v>
      </c>
      <c r="M1215" s="64" t="str">
        <f t="shared" si="10"/>
        <v>2023-H1</v>
      </c>
      <c r="N1215" s="65" t="s">
        <v>80</v>
      </c>
    </row>
    <row r="1216">
      <c r="I1216" s="61" t="str">
        <f t="shared" si="6"/>
        <v>2023</v>
      </c>
      <c r="J1216" s="62">
        <f t="shared" si="7"/>
        <v>6</v>
      </c>
      <c r="K1216" s="61" t="str">
        <f t="shared" si="8"/>
        <v>2023-Q2</v>
      </c>
      <c r="L1216" s="63" t="str">
        <f t="shared" si="9"/>
        <v>2023-06</v>
      </c>
      <c r="M1216" s="64" t="str">
        <f t="shared" si="10"/>
        <v>2023-H1</v>
      </c>
      <c r="N1216" s="65" t="s">
        <v>80</v>
      </c>
    </row>
    <row r="1217">
      <c r="I1217" s="61" t="str">
        <f t="shared" si="6"/>
        <v>2023</v>
      </c>
      <c r="J1217" s="62">
        <f t="shared" si="7"/>
        <v>6</v>
      </c>
      <c r="K1217" s="61" t="str">
        <f t="shared" si="8"/>
        <v>2023-Q2</v>
      </c>
      <c r="L1217" s="63" t="str">
        <f t="shared" si="9"/>
        <v>2023-06</v>
      </c>
      <c r="M1217" s="64" t="str">
        <f t="shared" si="10"/>
        <v>2023-H1</v>
      </c>
      <c r="N1217" s="65" t="s">
        <v>80</v>
      </c>
    </row>
    <row r="1218">
      <c r="I1218" s="61" t="str">
        <f t="shared" si="6"/>
        <v>2023</v>
      </c>
      <c r="J1218" s="62">
        <f t="shared" si="7"/>
        <v>6</v>
      </c>
      <c r="K1218" s="61" t="str">
        <f t="shared" si="8"/>
        <v>2023-Q2</v>
      </c>
      <c r="L1218" s="63" t="str">
        <f t="shared" si="9"/>
        <v>2023-06</v>
      </c>
      <c r="M1218" s="64" t="str">
        <f t="shared" si="10"/>
        <v>2023-H1</v>
      </c>
      <c r="N1218" s="65" t="s">
        <v>80</v>
      </c>
    </row>
    <row r="1219">
      <c r="I1219" s="61" t="str">
        <f t="shared" si="6"/>
        <v>2023</v>
      </c>
      <c r="J1219" s="62">
        <f t="shared" si="7"/>
        <v>6</v>
      </c>
      <c r="K1219" s="61" t="str">
        <f t="shared" si="8"/>
        <v>2023-Q2</v>
      </c>
      <c r="L1219" s="63" t="str">
        <f t="shared" si="9"/>
        <v>2023-06</v>
      </c>
      <c r="M1219" s="64" t="str">
        <f t="shared" si="10"/>
        <v>2023-H1</v>
      </c>
      <c r="N1219" s="65" t="s">
        <v>80</v>
      </c>
    </row>
    <row r="1220">
      <c r="I1220" s="61" t="str">
        <f t="shared" si="6"/>
        <v>2023</v>
      </c>
      <c r="J1220" s="62">
        <f t="shared" si="7"/>
        <v>6</v>
      </c>
      <c r="K1220" s="61" t="str">
        <f t="shared" si="8"/>
        <v>2023-Q2</v>
      </c>
      <c r="L1220" s="63" t="str">
        <f t="shared" si="9"/>
        <v>2023-06</v>
      </c>
      <c r="M1220" s="64" t="str">
        <f t="shared" si="10"/>
        <v>2023-H1</v>
      </c>
      <c r="N1220" s="65" t="s">
        <v>80</v>
      </c>
    </row>
    <row r="1221">
      <c r="I1221" s="61" t="str">
        <f t="shared" si="6"/>
        <v>2023</v>
      </c>
      <c r="J1221" s="62">
        <f t="shared" si="7"/>
        <v>6</v>
      </c>
      <c r="K1221" s="61" t="str">
        <f t="shared" si="8"/>
        <v>2023-Q2</v>
      </c>
      <c r="L1221" s="63" t="str">
        <f t="shared" si="9"/>
        <v>2023-06</v>
      </c>
      <c r="M1221" s="64" t="str">
        <f t="shared" si="10"/>
        <v>2023-H1</v>
      </c>
      <c r="N1221" s="65" t="s">
        <v>80</v>
      </c>
    </row>
    <row r="1222">
      <c r="I1222" s="61" t="str">
        <f t="shared" si="6"/>
        <v>2023</v>
      </c>
      <c r="J1222" s="62">
        <f t="shared" si="7"/>
        <v>6</v>
      </c>
      <c r="K1222" s="61" t="str">
        <f t="shared" si="8"/>
        <v>2023-Q2</v>
      </c>
      <c r="L1222" s="63" t="str">
        <f t="shared" si="9"/>
        <v>2023-06</v>
      </c>
      <c r="M1222" s="64" t="str">
        <f t="shared" si="10"/>
        <v>2023-H1</v>
      </c>
      <c r="N1222" s="65" t="s">
        <v>80</v>
      </c>
    </row>
    <row r="1223">
      <c r="I1223" s="61" t="str">
        <f t="shared" si="6"/>
        <v>2023</v>
      </c>
      <c r="J1223" s="62">
        <f t="shared" si="7"/>
        <v>6</v>
      </c>
      <c r="K1223" s="61" t="str">
        <f t="shared" si="8"/>
        <v>2023-Q2</v>
      </c>
      <c r="L1223" s="63" t="str">
        <f t="shared" si="9"/>
        <v>2023-06</v>
      </c>
      <c r="M1223" s="64" t="str">
        <f t="shared" si="10"/>
        <v>2023-H1</v>
      </c>
      <c r="N1223" s="65" t="s">
        <v>80</v>
      </c>
    </row>
    <row r="1224">
      <c r="I1224" s="61" t="str">
        <f t="shared" si="6"/>
        <v>2023</v>
      </c>
      <c r="J1224" s="62">
        <f t="shared" si="7"/>
        <v>6</v>
      </c>
      <c r="K1224" s="61" t="str">
        <f t="shared" si="8"/>
        <v>2023-Q2</v>
      </c>
      <c r="L1224" s="63" t="str">
        <f t="shared" si="9"/>
        <v>2023-06</v>
      </c>
      <c r="M1224" s="64" t="str">
        <f t="shared" si="10"/>
        <v>2023-H1</v>
      </c>
      <c r="N1224" s="65" t="s">
        <v>80</v>
      </c>
    </row>
    <row r="1225">
      <c r="I1225" s="61" t="str">
        <f t="shared" si="6"/>
        <v>2023</v>
      </c>
      <c r="J1225" s="62">
        <f t="shared" si="7"/>
        <v>6</v>
      </c>
      <c r="K1225" s="61" t="str">
        <f t="shared" si="8"/>
        <v>2023-Q2</v>
      </c>
      <c r="L1225" s="63" t="str">
        <f t="shared" si="9"/>
        <v>2023-06</v>
      </c>
      <c r="M1225" s="64" t="str">
        <f t="shared" si="10"/>
        <v>2023-H1</v>
      </c>
      <c r="N1225" s="65" t="s">
        <v>80</v>
      </c>
    </row>
    <row r="1226">
      <c r="I1226" s="61" t="str">
        <f t="shared" si="6"/>
        <v>2023</v>
      </c>
      <c r="J1226" s="62">
        <f t="shared" si="7"/>
        <v>6</v>
      </c>
      <c r="K1226" s="61" t="str">
        <f t="shared" si="8"/>
        <v>2023-Q2</v>
      </c>
      <c r="L1226" s="63" t="str">
        <f t="shared" si="9"/>
        <v>2023-06</v>
      </c>
      <c r="M1226" s="64" t="str">
        <f t="shared" si="10"/>
        <v>2023-H1</v>
      </c>
      <c r="N1226" s="65" t="s">
        <v>80</v>
      </c>
    </row>
    <row r="1227">
      <c r="I1227" s="61" t="str">
        <f t="shared" si="6"/>
        <v>2023</v>
      </c>
      <c r="J1227" s="62">
        <f t="shared" si="7"/>
        <v>6</v>
      </c>
      <c r="K1227" s="61" t="str">
        <f t="shared" si="8"/>
        <v>2023-Q2</v>
      </c>
      <c r="L1227" s="63" t="str">
        <f t="shared" si="9"/>
        <v>2023-06</v>
      </c>
      <c r="M1227" s="64" t="str">
        <f t="shared" si="10"/>
        <v>2023-H1</v>
      </c>
      <c r="N1227" s="65" t="s">
        <v>80</v>
      </c>
    </row>
    <row r="1228">
      <c r="I1228" s="61" t="str">
        <f t="shared" si="6"/>
        <v>2023</v>
      </c>
      <c r="J1228" s="62">
        <f t="shared" si="7"/>
        <v>6</v>
      </c>
      <c r="K1228" s="61" t="str">
        <f t="shared" si="8"/>
        <v>2023-Q2</v>
      </c>
      <c r="L1228" s="63" t="str">
        <f t="shared" si="9"/>
        <v>2023-06</v>
      </c>
      <c r="M1228" s="64" t="str">
        <f t="shared" si="10"/>
        <v>2023-H1</v>
      </c>
      <c r="N1228" s="65" t="s">
        <v>80</v>
      </c>
    </row>
    <row r="1229">
      <c r="I1229" s="61" t="str">
        <f t="shared" si="6"/>
        <v>2023</v>
      </c>
      <c r="J1229" s="62">
        <f t="shared" si="7"/>
        <v>6</v>
      </c>
      <c r="K1229" s="61" t="str">
        <f t="shared" si="8"/>
        <v>2023-Q2</v>
      </c>
      <c r="L1229" s="63" t="str">
        <f t="shared" si="9"/>
        <v>2023-06</v>
      </c>
      <c r="M1229" s="64" t="str">
        <f t="shared" si="10"/>
        <v>2023-H1</v>
      </c>
      <c r="N1229" s="65" t="s">
        <v>80</v>
      </c>
    </row>
    <row r="1230">
      <c r="I1230" s="61" t="str">
        <f t="shared" si="6"/>
        <v>2023</v>
      </c>
      <c r="J1230" s="62">
        <f t="shared" si="7"/>
        <v>6</v>
      </c>
      <c r="K1230" s="61" t="str">
        <f t="shared" si="8"/>
        <v>2023-Q2</v>
      </c>
      <c r="L1230" s="63" t="str">
        <f t="shared" si="9"/>
        <v>2023-06</v>
      </c>
      <c r="M1230" s="64" t="str">
        <f t="shared" si="10"/>
        <v>2023-H1</v>
      </c>
      <c r="N1230" s="65" t="s">
        <v>80</v>
      </c>
    </row>
    <row r="1231">
      <c r="I1231" s="61" t="str">
        <f t="shared" si="6"/>
        <v>2023</v>
      </c>
      <c r="J1231" s="62">
        <f t="shared" si="7"/>
        <v>6</v>
      </c>
      <c r="K1231" s="61" t="str">
        <f t="shared" si="8"/>
        <v>2023-Q2</v>
      </c>
      <c r="L1231" s="63" t="str">
        <f t="shared" si="9"/>
        <v>2023-06</v>
      </c>
      <c r="M1231" s="64" t="str">
        <f t="shared" si="10"/>
        <v>2023-H1</v>
      </c>
      <c r="N1231" s="65" t="s">
        <v>80</v>
      </c>
    </row>
    <row r="1232">
      <c r="I1232" s="61" t="str">
        <f t="shared" si="6"/>
        <v>2023</v>
      </c>
      <c r="J1232" s="62">
        <f t="shared" si="7"/>
        <v>7</v>
      </c>
      <c r="K1232" s="61" t="str">
        <f t="shared" si="8"/>
        <v>2023-Q3</v>
      </c>
      <c r="L1232" s="63" t="str">
        <f t="shared" si="9"/>
        <v>2023-07</v>
      </c>
      <c r="M1232" s="64" t="str">
        <f t="shared" si="10"/>
        <v>2023-H2</v>
      </c>
      <c r="N1232" s="65" t="s">
        <v>80</v>
      </c>
    </row>
    <row r="1233">
      <c r="I1233" s="61" t="str">
        <f t="shared" si="6"/>
        <v>2023</v>
      </c>
      <c r="J1233" s="62">
        <f t="shared" si="7"/>
        <v>7</v>
      </c>
      <c r="K1233" s="61" t="str">
        <f t="shared" si="8"/>
        <v>2023-Q3</v>
      </c>
      <c r="L1233" s="63" t="str">
        <f t="shared" si="9"/>
        <v>2023-07</v>
      </c>
      <c r="M1233" s="64" t="str">
        <f t="shared" si="10"/>
        <v>2023-H2</v>
      </c>
      <c r="N1233" s="65" t="s">
        <v>80</v>
      </c>
    </row>
    <row r="1234">
      <c r="I1234" s="61" t="str">
        <f t="shared" si="6"/>
        <v>2023</v>
      </c>
      <c r="J1234" s="62">
        <f t="shared" si="7"/>
        <v>7</v>
      </c>
      <c r="K1234" s="61" t="str">
        <f t="shared" si="8"/>
        <v>2023-Q3</v>
      </c>
      <c r="L1234" s="63" t="str">
        <f t="shared" si="9"/>
        <v>2023-07</v>
      </c>
      <c r="M1234" s="64" t="str">
        <f t="shared" si="10"/>
        <v>2023-H2</v>
      </c>
      <c r="N1234" s="65" t="s">
        <v>80</v>
      </c>
    </row>
    <row r="1235">
      <c r="I1235" s="61" t="str">
        <f t="shared" si="6"/>
        <v>2023</v>
      </c>
      <c r="J1235" s="62">
        <f t="shared" si="7"/>
        <v>7</v>
      </c>
      <c r="K1235" s="61" t="str">
        <f t="shared" si="8"/>
        <v>2023-Q3</v>
      </c>
      <c r="L1235" s="63" t="str">
        <f t="shared" si="9"/>
        <v>2023-07</v>
      </c>
      <c r="M1235" s="64" t="str">
        <f t="shared" si="10"/>
        <v>2023-H2</v>
      </c>
      <c r="N1235" s="65" t="s">
        <v>80</v>
      </c>
    </row>
    <row r="1236">
      <c r="I1236" s="61" t="str">
        <f t="shared" si="6"/>
        <v>2023</v>
      </c>
      <c r="J1236" s="62">
        <f t="shared" si="7"/>
        <v>7</v>
      </c>
      <c r="K1236" s="61" t="str">
        <f t="shared" si="8"/>
        <v>2023-Q3</v>
      </c>
      <c r="L1236" s="63" t="str">
        <f t="shared" si="9"/>
        <v>2023-07</v>
      </c>
      <c r="M1236" s="64" t="str">
        <f t="shared" si="10"/>
        <v>2023-H2</v>
      </c>
      <c r="N1236" s="65" t="s">
        <v>80</v>
      </c>
    </row>
    <row r="1237">
      <c r="I1237" s="61" t="str">
        <f t="shared" si="6"/>
        <v>2023</v>
      </c>
      <c r="J1237" s="62">
        <f t="shared" si="7"/>
        <v>7</v>
      </c>
      <c r="K1237" s="61" t="str">
        <f t="shared" si="8"/>
        <v>2023-Q3</v>
      </c>
      <c r="L1237" s="63" t="str">
        <f t="shared" si="9"/>
        <v>2023-07</v>
      </c>
      <c r="M1237" s="64" t="str">
        <f t="shared" si="10"/>
        <v>2023-H2</v>
      </c>
      <c r="N1237" s="65" t="s">
        <v>80</v>
      </c>
    </row>
    <row r="1238">
      <c r="I1238" s="61" t="str">
        <f t="shared" si="6"/>
        <v>2023</v>
      </c>
      <c r="J1238" s="62">
        <f t="shared" si="7"/>
        <v>7</v>
      </c>
      <c r="K1238" s="61" t="str">
        <f t="shared" si="8"/>
        <v>2023-Q3</v>
      </c>
      <c r="L1238" s="63" t="str">
        <f t="shared" si="9"/>
        <v>2023-07</v>
      </c>
      <c r="M1238" s="64" t="str">
        <f t="shared" si="10"/>
        <v>2023-H2</v>
      </c>
      <c r="N1238" s="65" t="s">
        <v>80</v>
      </c>
    </row>
    <row r="1239">
      <c r="I1239" s="61" t="str">
        <f t="shared" si="6"/>
        <v>2023</v>
      </c>
      <c r="J1239" s="62">
        <f t="shared" si="7"/>
        <v>7</v>
      </c>
      <c r="K1239" s="61" t="str">
        <f t="shared" si="8"/>
        <v>2023-Q3</v>
      </c>
      <c r="L1239" s="63" t="str">
        <f t="shared" si="9"/>
        <v>2023-07</v>
      </c>
      <c r="M1239" s="64" t="str">
        <f t="shared" si="10"/>
        <v>2023-H2</v>
      </c>
      <c r="N1239" s="65" t="s">
        <v>80</v>
      </c>
    </row>
    <row r="1240">
      <c r="I1240" s="61" t="str">
        <f t="shared" si="6"/>
        <v>2023</v>
      </c>
      <c r="J1240" s="62">
        <f t="shared" si="7"/>
        <v>7</v>
      </c>
      <c r="K1240" s="61" t="str">
        <f t="shared" si="8"/>
        <v>2023-Q3</v>
      </c>
      <c r="L1240" s="63" t="str">
        <f t="shared" si="9"/>
        <v>2023-07</v>
      </c>
      <c r="M1240" s="64" t="str">
        <f t="shared" si="10"/>
        <v>2023-H2</v>
      </c>
      <c r="N1240" s="65" t="s">
        <v>80</v>
      </c>
    </row>
    <row r="1241">
      <c r="I1241" s="61" t="str">
        <f t="shared" si="6"/>
        <v>2023</v>
      </c>
      <c r="J1241" s="62">
        <f t="shared" si="7"/>
        <v>7</v>
      </c>
      <c r="K1241" s="61" t="str">
        <f t="shared" si="8"/>
        <v>2023-Q3</v>
      </c>
      <c r="L1241" s="63" t="str">
        <f t="shared" si="9"/>
        <v>2023-07</v>
      </c>
      <c r="M1241" s="64" t="str">
        <f t="shared" si="10"/>
        <v>2023-H2</v>
      </c>
      <c r="N1241" s="65" t="s">
        <v>80</v>
      </c>
    </row>
    <row r="1242">
      <c r="I1242" s="61" t="str">
        <f t="shared" si="6"/>
        <v>2023</v>
      </c>
      <c r="J1242" s="62">
        <f t="shared" si="7"/>
        <v>7</v>
      </c>
      <c r="K1242" s="61" t="str">
        <f t="shared" si="8"/>
        <v>2023-Q3</v>
      </c>
      <c r="L1242" s="63" t="str">
        <f t="shared" si="9"/>
        <v>2023-07</v>
      </c>
      <c r="M1242" s="64" t="str">
        <f t="shared" si="10"/>
        <v>2023-H2</v>
      </c>
      <c r="N1242" s="65" t="s">
        <v>80</v>
      </c>
    </row>
    <row r="1243">
      <c r="I1243" s="61" t="str">
        <f t="shared" si="6"/>
        <v>2023</v>
      </c>
      <c r="J1243" s="62">
        <f t="shared" si="7"/>
        <v>7</v>
      </c>
      <c r="K1243" s="61" t="str">
        <f t="shared" si="8"/>
        <v>2023-Q3</v>
      </c>
      <c r="L1243" s="63" t="str">
        <f t="shared" si="9"/>
        <v>2023-07</v>
      </c>
      <c r="M1243" s="64" t="str">
        <f t="shared" si="10"/>
        <v>2023-H2</v>
      </c>
      <c r="N1243" s="65" t="s">
        <v>80</v>
      </c>
    </row>
    <row r="1244">
      <c r="I1244" s="61" t="str">
        <f t="shared" si="6"/>
        <v>2023</v>
      </c>
      <c r="J1244" s="62">
        <f t="shared" si="7"/>
        <v>7</v>
      </c>
      <c r="K1244" s="61" t="str">
        <f t="shared" si="8"/>
        <v>2023-Q3</v>
      </c>
      <c r="L1244" s="63" t="str">
        <f t="shared" si="9"/>
        <v>2023-07</v>
      </c>
      <c r="M1244" s="64" t="str">
        <f t="shared" si="10"/>
        <v>2023-H2</v>
      </c>
      <c r="N1244" s="65" t="s">
        <v>80</v>
      </c>
    </row>
    <row r="1245">
      <c r="I1245" s="61" t="str">
        <f t="shared" si="6"/>
        <v>2023</v>
      </c>
      <c r="J1245" s="62">
        <f t="shared" si="7"/>
        <v>7</v>
      </c>
      <c r="K1245" s="61" t="str">
        <f t="shared" si="8"/>
        <v>2023-Q3</v>
      </c>
      <c r="L1245" s="63" t="str">
        <f t="shared" si="9"/>
        <v>2023-07</v>
      </c>
      <c r="M1245" s="64" t="str">
        <f t="shared" si="10"/>
        <v>2023-H2</v>
      </c>
      <c r="N1245" s="65" t="s">
        <v>80</v>
      </c>
    </row>
    <row r="1246">
      <c r="I1246" s="61" t="str">
        <f t="shared" si="6"/>
        <v>2023</v>
      </c>
      <c r="J1246" s="62">
        <f t="shared" si="7"/>
        <v>7</v>
      </c>
      <c r="K1246" s="61" t="str">
        <f t="shared" si="8"/>
        <v>2023-Q3</v>
      </c>
      <c r="L1246" s="63" t="str">
        <f t="shared" si="9"/>
        <v>2023-07</v>
      </c>
      <c r="M1246" s="64" t="str">
        <f t="shared" si="10"/>
        <v>2023-H2</v>
      </c>
      <c r="N1246" s="65" t="s">
        <v>80</v>
      </c>
    </row>
    <row r="1247">
      <c r="I1247" s="61" t="str">
        <f t="shared" si="6"/>
        <v>2023</v>
      </c>
      <c r="J1247" s="62">
        <f t="shared" si="7"/>
        <v>7</v>
      </c>
      <c r="K1247" s="61" t="str">
        <f t="shared" si="8"/>
        <v>2023-Q3</v>
      </c>
      <c r="L1247" s="63" t="str">
        <f t="shared" si="9"/>
        <v>2023-07</v>
      </c>
      <c r="M1247" s="64" t="str">
        <f t="shared" si="10"/>
        <v>2023-H2</v>
      </c>
      <c r="N1247" s="65" t="s">
        <v>80</v>
      </c>
    </row>
    <row r="1248">
      <c r="I1248" s="61" t="str">
        <f t="shared" si="6"/>
        <v>2023</v>
      </c>
      <c r="J1248" s="62">
        <f t="shared" si="7"/>
        <v>7</v>
      </c>
      <c r="K1248" s="61" t="str">
        <f t="shared" si="8"/>
        <v>2023-Q3</v>
      </c>
      <c r="L1248" s="63" t="str">
        <f t="shared" si="9"/>
        <v>2023-07</v>
      </c>
      <c r="M1248" s="64" t="str">
        <f t="shared" si="10"/>
        <v>2023-H2</v>
      </c>
      <c r="N1248" s="65" t="s">
        <v>80</v>
      </c>
    </row>
    <row r="1249">
      <c r="I1249" s="61" t="str">
        <f t="shared" si="6"/>
        <v>2023</v>
      </c>
      <c r="J1249" s="62">
        <f t="shared" si="7"/>
        <v>7</v>
      </c>
      <c r="K1249" s="61" t="str">
        <f t="shared" si="8"/>
        <v>2023-Q3</v>
      </c>
      <c r="L1249" s="63" t="str">
        <f t="shared" si="9"/>
        <v>2023-07</v>
      </c>
      <c r="M1249" s="64" t="str">
        <f t="shared" si="10"/>
        <v>2023-H2</v>
      </c>
      <c r="N1249" s="65" t="s">
        <v>80</v>
      </c>
    </row>
    <row r="1250">
      <c r="I1250" s="61" t="str">
        <f t="shared" si="6"/>
        <v>2023</v>
      </c>
      <c r="J1250" s="62">
        <f t="shared" si="7"/>
        <v>7</v>
      </c>
      <c r="K1250" s="61" t="str">
        <f t="shared" si="8"/>
        <v>2023-Q3</v>
      </c>
      <c r="L1250" s="63" t="str">
        <f t="shared" si="9"/>
        <v>2023-07</v>
      </c>
      <c r="M1250" s="64" t="str">
        <f t="shared" si="10"/>
        <v>2023-H2</v>
      </c>
      <c r="N1250" s="65" t="s">
        <v>80</v>
      </c>
    </row>
    <row r="1251">
      <c r="I1251" s="61" t="str">
        <f t="shared" si="6"/>
        <v>2023</v>
      </c>
      <c r="J1251" s="62">
        <f t="shared" si="7"/>
        <v>7</v>
      </c>
      <c r="K1251" s="61" t="str">
        <f t="shared" si="8"/>
        <v>2023-Q3</v>
      </c>
      <c r="L1251" s="63" t="str">
        <f t="shared" si="9"/>
        <v>2023-07</v>
      </c>
      <c r="M1251" s="64" t="str">
        <f t="shared" si="10"/>
        <v>2023-H2</v>
      </c>
      <c r="N1251" s="65" t="s">
        <v>80</v>
      </c>
    </row>
    <row r="1252">
      <c r="I1252" s="61" t="str">
        <f t="shared" si="6"/>
        <v>2023</v>
      </c>
      <c r="J1252" s="62">
        <f t="shared" si="7"/>
        <v>7</v>
      </c>
      <c r="K1252" s="61" t="str">
        <f t="shared" si="8"/>
        <v>2023-Q3</v>
      </c>
      <c r="L1252" s="63" t="str">
        <f t="shared" si="9"/>
        <v>2023-07</v>
      </c>
      <c r="M1252" s="64" t="str">
        <f t="shared" si="10"/>
        <v>2023-H2</v>
      </c>
      <c r="N1252" s="65" t="s">
        <v>80</v>
      </c>
    </row>
    <row r="1253">
      <c r="I1253" s="61" t="str">
        <f t="shared" si="6"/>
        <v>2023</v>
      </c>
      <c r="J1253" s="62">
        <f t="shared" si="7"/>
        <v>7</v>
      </c>
      <c r="K1253" s="61" t="str">
        <f t="shared" si="8"/>
        <v>2023-Q3</v>
      </c>
      <c r="L1253" s="63" t="str">
        <f t="shared" si="9"/>
        <v>2023-07</v>
      </c>
      <c r="M1253" s="64" t="str">
        <f t="shared" si="10"/>
        <v>2023-H2</v>
      </c>
      <c r="N1253" s="65" t="s">
        <v>80</v>
      </c>
    </row>
    <row r="1254">
      <c r="I1254" s="61" t="str">
        <f t="shared" si="6"/>
        <v>2023</v>
      </c>
      <c r="J1254" s="62">
        <f t="shared" si="7"/>
        <v>7</v>
      </c>
      <c r="K1254" s="61" t="str">
        <f t="shared" si="8"/>
        <v>2023-Q3</v>
      </c>
      <c r="L1254" s="63" t="str">
        <f t="shared" si="9"/>
        <v>2023-07</v>
      </c>
      <c r="M1254" s="64" t="str">
        <f t="shared" si="10"/>
        <v>2023-H2</v>
      </c>
      <c r="N1254" s="65" t="s">
        <v>80</v>
      </c>
    </row>
    <row r="1255">
      <c r="I1255" s="61" t="str">
        <f t="shared" si="6"/>
        <v>2023</v>
      </c>
      <c r="J1255" s="62">
        <f t="shared" si="7"/>
        <v>8</v>
      </c>
      <c r="K1255" s="61" t="str">
        <f t="shared" si="8"/>
        <v>2023-Q3</v>
      </c>
      <c r="L1255" s="63" t="str">
        <f t="shared" si="9"/>
        <v>2023-08</v>
      </c>
      <c r="M1255" s="64" t="str">
        <f t="shared" si="10"/>
        <v>2023-H2</v>
      </c>
      <c r="N1255" s="65" t="s">
        <v>80</v>
      </c>
    </row>
    <row r="1256">
      <c r="I1256" s="61" t="str">
        <f t="shared" si="6"/>
        <v>2023</v>
      </c>
      <c r="J1256" s="62">
        <f t="shared" si="7"/>
        <v>9</v>
      </c>
      <c r="K1256" s="61" t="str">
        <f t="shared" si="8"/>
        <v>2023-Q3</v>
      </c>
      <c r="L1256" s="63" t="str">
        <f t="shared" si="9"/>
        <v>2023-09</v>
      </c>
      <c r="M1256" s="64" t="str">
        <f t="shared" si="10"/>
        <v>2023-H2</v>
      </c>
      <c r="N1256" s="65" t="s">
        <v>80</v>
      </c>
    </row>
    <row r="1257">
      <c r="I1257" s="61" t="str">
        <f t="shared" si="6"/>
        <v>2023</v>
      </c>
      <c r="J1257" s="62">
        <f t="shared" si="7"/>
        <v>8</v>
      </c>
      <c r="K1257" s="61" t="str">
        <f t="shared" si="8"/>
        <v>2023-Q3</v>
      </c>
      <c r="L1257" s="63" t="str">
        <f t="shared" si="9"/>
        <v>2023-08</v>
      </c>
      <c r="M1257" s="64" t="str">
        <f t="shared" si="10"/>
        <v>2023-H2</v>
      </c>
      <c r="N1257" s="65" t="s">
        <v>80</v>
      </c>
    </row>
    <row r="1258">
      <c r="I1258" s="61" t="str">
        <f t="shared" si="6"/>
        <v>2023</v>
      </c>
      <c r="J1258" s="62">
        <f t="shared" si="7"/>
        <v>8</v>
      </c>
      <c r="K1258" s="61" t="str">
        <f t="shared" si="8"/>
        <v>2023-Q3</v>
      </c>
      <c r="L1258" s="63" t="str">
        <f t="shared" si="9"/>
        <v>2023-08</v>
      </c>
      <c r="M1258" s="64" t="str">
        <f t="shared" si="10"/>
        <v>2023-H2</v>
      </c>
      <c r="N1258" s="65" t="s">
        <v>80</v>
      </c>
    </row>
    <row r="1259">
      <c r="I1259" s="61" t="str">
        <f t="shared" si="6"/>
        <v>2023</v>
      </c>
      <c r="J1259" s="62">
        <f t="shared" si="7"/>
        <v>8</v>
      </c>
      <c r="K1259" s="61" t="str">
        <f t="shared" si="8"/>
        <v>2023-Q3</v>
      </c>
      <c r="L1259" s="63" t="str">
        <f t="shared" si="9"/>
        <v>2023-08</v>
      </c>
      <c r="M1259" s="64" t="str">
        <f t="shared" si="10"/>
        <v>2023-H2</v>
      </c>
      <c r="N1259" s="65" t="s">
        <v>80</v>
      </c>
    </row>
    <row r="1260">
      <c r="I1260" s="61" t="str">
        <f t="shared" si="6"/>
        <v>2023</v>
      </c>
      <c r="J1260" s="62">
        <f t="shared" si="7"/>
        <v>8</v>
      </c>
      <c r="K1260" s="61" t="str">
        <f t="shared" si="8"/>
        <v>2023-Q3</v>
      </c>
      <c r="L1260" s="63" t="str">
        <f t="shared" si="9"/>
        <v>2023-08</v>
      </c>
      <c r="M1260" s="64" t="str">
        <f t="shared" si="10"/>
        <v>2023-H2</v>
      </c>
      <c r="N1260" s="65" t="s">
        <v>80</v>
      </c>
    </row>
    <row r="1261">
      <c r="I1261" s="61" t="str">
        <f t="shared" si="6"/>
        <v>2023</v>
      </c>
      <c r="J1261" s="62">
        <f t="shared" si="7"/>
        <v>8</v>
      </c>
      <c r="K1261" s="61" t="str">
        <f t="shared" si="8"/>
        <v>2023-Q3</v>
      </c>
      <c r="L1261" s="63" t="str">
        <f t="shared" si="9"/>
        <v>2023-08</v>
      </c>
      <c r="M1261" s="64" t="str">
        <f t="shared" si="10"/>
        <v>2023-H2</v>
      </c>
      <c r="N1261" s="65" t="s">
        <v>80</v>
      </c>
    </row>
    <row r="1262">
      <c r="I1262" s="61" t="str">
        <f t="shared" si="6"/>
        <v>2023</v>
      </c>
      <c r="J1262" s="62">
        <f t="shared" si="7"/>
        <v>10</v>
      </c>
      <c r="K1262" s="61" t="str">
        <f t="shared" si="8"/>
        <v>2023-Q4</v>
      </c>
      <c r="L1262" s="63" t="str">
        <f t="shared" si="9"/>
        <v>2023-10</v>
      </c>
      <c r="M1262" s="64" t="str">
        <f t="shared" si="10"/>
        <v>2023-H2</v>
      </c>
      <c r="N1262" s="65" t="s">
        <v>80</v>
      </c>
    </row>
    <row r="1263">
      <c r="I1263" s="61" t="str">
        <f t="shared" si="6"/>
        <v>2023</v>
      </c>
      <c r="J1263" s="62">
        <f t="shared" si="7"/>
        <v>8</v>
      </c>
      <c r="K1263" s="61" t="str">
        <f t="shared" si="8"/>
        <v>2023-Q3</v>
      </c>
      <c r="L1263" s="63" t="str">
        <f t="shared" si="9"/>
        <v>2023-08</v>
      </c>
      <c r="M1263" s="64" t="str">
        <f t="shared" si="10"/>
        <v>2023-H2</v>
      </c>
      <c r="N1263" s="65" t="s">
        <v>80</v>
      </c>
    </row>
    <row r="1264">
      <c r="I1264" s="61" t="str">
        <f t="shared" si="6"/>
        <v>2023</v>
      </c>
      <c r="J1264" s="62">
        <f t="shared" si="7"/>
        <v>8</v>
      </c>
      <c r="K1264" s="61" t="str">
        <f t="shared" si="8"/>
        <v>2023-Q3</v>
      </c>
      <c r="L1264" s="63" t="str">
        <f t="shared" si="9"/>
        <v>2023-08</v>
      </c>
      <c r="M1264" s="64" t="str">
        <f t="shared" si="10"/>
        <v>2023-H2</v>
      </c>
      <c r="N1264" s="65" t="s">
        <v>80</v>
      </c>
    </row>
    <row r="1265">
      <c r="I1265" s="61" t="str">
        <f t="shared" si="6"/>
        <v>2023</v>
      </c>
      <c r="J1265" s="62">
        <f t="shared" si="7"/>
        <v>8</v>
      </c>
      <c r="K1265" s="61" t="str">
        <f t="shared" si="8"/>
        <v>2023-Q3</v>
      </c>
      <c r="L1265" s="63" t="str">
        <f t="shared" si="9"/>
        <v>2023-08</v>
      </c>
      <c r="M1265" s="64" t="str">
        <f t="shared" si="10"/>
        <v>2023-H2</v>
      </c>
      <c r="N1265" s="65" t="s">
        <v>80</v>
      </c>
    </row>
    <row r="1266">
      <c r="I1266" s="61" t="str">
        <f t="shared" si="6"/>
        <v>2023</v>
      </c>
      <c r="J1266" s="62">
        <f t="shared" si="7"/>
        <v>8</v>
      </c>
      <c r="K1266" s="61" t="str">
        <f t="shared" si="8"/>
        <v>2023-Q3</v>
      </c>
      <c r="L1266" s="63" t="str">
        <f t="shared" si="9"/>
        <v>2023-08</v>
      </c>
      <c r="M1266" s="64" t="str">
        <f t="shared" si="10"/>
        <v>2023-H2</v>
      </c>
      <c r="N1266" s="65" t="s">
        <v>80</v>
      </c>
    </row>
    <row r="1267">
      <c r="I1267" s="61" t="str">
        <f t="shared" si="6"/>
        <v>2023</v>
      </c>
      <c r="J1267" s="62">
        <f t="shared" si="7"/>
        <v>8</v>
      </c>
      <c r="K1267" s="61" t="str">
        <f t="shared" si="8"/>
        <v>2023-Q3</v>
      </c>
      <c r="L1267" s="63" t="str">
        <f t="shared" si="9"/>
        <v>2023-08</v>
      </c>
      <c r="M1267" s="64" t="str">
        <f t="shared" si="10"/>
        <v>2023-H2</v>
      </c>
      <c r="N1267" s="65" t="s">
        <v>80</v>
      </c>
    </row>
    <row r="1268">
      <c r="I1268" s="61" t="str">
        <f t="shared" si="6"/>
        <v>2023</v>
      </c>
      <c r="J1268" s="62">
        <f t="shared" si="7"/>
        <v>8</v>
      </c>
      <c r="K1268" s="61" t="str">
        <f t="shared" si="8"/>
        <v>2023-Q3</v>
      </c>
      <c r="L1268" s="63" t="str">
        <f t="shared" si="9"/>
        <v>2023-08</v>
      </c>
      <c r="M1268" s="64" t="str">
        <f t="shared" si="10"/>
        <v>2023-H2</v>
      </c>
      <c r="N1268" s="65" t="s">
        <v>80</v>
      </c>
    </row>
    <row r="1269">
      <c r="I1269" s="61" t="str">
        <f t="shared" si="6"/>
        <v>2023</v>
      </c>
      <c r="J1269" s="62">
        <f t="shared" si="7"/>
        <v>8</v>
      </c>
      <c r="K1269" s="61" t="str">
        <f t="shared" si="8"/>
        <v>2023-Q3</v>
      </c>
      <c r="L1269" s="63" t="str">
        <f t="shared" si="9"/>
        <v>2023-08</v>
      </c>
      <c r="M1269" s="64" t="str">
        <f t="shared" si="10"/>
        <v>2023-H2</v>
      </c>
      <c r="N1269" s="65" t="s">
        <v>80</v>
      </c>
    </row>
    <row r="1270">
      <c r="I1270" s="61" t="str">
        <f t="shared" si="6"/>
        <v>2023</v>
      </c>
      <c r="J1270" s="62">
        <f t="shared" si="7"/>
        <v>8</v>
      </c>
      <c r="K1270" s="61" t="str">
        <f t="shared" si="8"/>
        <v>2023-Q3</v>
      </c>
      <c r="L1270" s="63" t="str">
        <f t="shared" si="9"/>
        <v>2023-08</v>
      </c>
      <c r="M1270" s="64" t="str">
        <f t="shared" si="10"/>
        <v>2023-H2</v>
      </c>
      <c r="N1270" s="65" t="s">
        <v>80</v>
      </c>
    </row>
    <row r="1271">
      <c r="I1271" s="61" t="str">
        <f t="shared" si="6"/>
        <v>2023</v>
      </c>
      <c r="J1271" s="62">
        <f t="shared" si="7"/>
        <v>8</v>
      </c>
      <c r="K1271" s="61" t="str">
        <f t="shared" si="8"/>
        <v>2023-Q3</v>
      </c>
      <c r="L1271" s="63" t="str">
        <f t="shared" si="9"/>
        <v>2023-08</v>
      </c>
      <c r="M1271" s="64" t="str">
        <f t="shared" si="10"/>
        <v>2023-H2</v>
      </c>
      <c r="N1271" s="65" t="s">
        <v>80</v>
      </c>
    </row>
    <row r="1272">
      <c r="I1272" s="61" t="str">
        <f t="shared" si="6"/>
        <v>2023</v>
      </c>
      <c r="J1272" s="62">
        <f t="shared" si="7"/>
        <v>8</v>
      </c>
      <c r="K1272" s="61" t="str">
        <f t="shared" si="8"/>
        <v>2023-Q3</v>
      </c>
      <c r="L1272" s="63" t="str">
        <f t="shared" si="9"/>
        <v>2023-08</v>
      </c>
      <c r="M1272" s="64" t="str">
        <f t="shared" si="10"/>
        <v>2023-H2</v>
      </c>
      <c r="N1272" s="65" t="s">
        <v>80</v>
      </c>
    </row>
    <row r="1273">
      <c r="I1273" s="61" t="str">
        <f t="shared" si="6"/>
        <v>2023</v>
      </c>
      <c r="J1273" s="62">
        <f t="shared" si="7"/>
        <v>8</v>
      </c>
      <c r="K1273" s="61" t="str">
        <f t="shared" si="8"/>
        <v>2023-Q3</v>
      </c>
      <c r="L1273" s="63" t="str">
        <f t="shared" si="9"/>
        <v>2023-08</v>
      </c>
      <c r="M1273" s="64" t="str">
        <f t="shared" si="10"/>
        <v>2023-H2</v>
      </c>
      <c r="N1273" s="65" t="s">
        <v>80</v>
      </c>
    </row>
    <row r="1274">
      <c r="I1274" s="61" t="str">
        <f t="shared" si="6"/>
        <v>2023</v>
      </c>
      <c r="J1274" s="62">
        <f t="shared" si="7"/>
        <v>8</v>
      </c>
      <c r="K1274" s="61" t="str">
        <f t="shared" si="8"/>
        <v>2023-Q3</v>
      </c>
      <c r="L1274" s="63" t="str">
        <f t="shared" si="9"/>
        <v>2023-08</v>
      </c>
      <c r="M1274" s="64" t="str">
        <f t="shared" si="10"/>
        <v>2023-H2</v>
      </c>
      <c r="N1274" s="65" t="s">
        <v>80</v>
      </c>
    </row>
    <row r="1275">
      <c r="I1275" s="61" t="str">
        <f t="shared" si="6"/>
        <v>2023</v>
      </c>
      <c r="J1275" s="62">
        <f t="shared" si="7"/>
        <v>8</v>
      </c>
      <c r="K1275" s="61" t="str">
        <f t="shared" si="8"/>
        <v>2023-Q3</v>
      </c>
      <c r="L1275" s="63" t="str">
        <f t="shared" si="9"/>
        <v>2023-08</v>
      </c>
      <c r="M1275" s="64" t="str">
        <f t="shared" si="10"/>
        <v>2023-H2</v>
      </c>
      <c r="N1275" s="65" t="s">
        <v>80</v>
      </c>
    </row>
    <row r="1276">
      <c r="I1276" s="61" t="str">
        <f t="shared" si="6"/>
        <v>2023</v>
      </c>
      <c r="J1276" s="62">
        <f t="shared" si="7"/>
        <v>8</v>
      </c>
      <c r="K1276" s="61" t="str">
        <f t="shared" si="8"/>
        <v>2023-Q3</v>
      </c>
      <c r="L1276" s="63" t="str">
        <f t="shared" si="9"/>
        <v>2023-08</v>
      </c>
      <c r="M1276" s="64" t="str">
        <f t="shared" si="10"/>
        <v>2023-H2</v>
      </c>
      <c r="N1276" s="65" t="s">
        <v>80</v>
      </c>
    </row>
    <row r="1277">
      <c r="I1277" s="61" t="str">
        <f t="shared" si="6"/>
        <v>2023</v>
      </c>
      <c r="J1277" s="62">
        <f t="shared" si="7"/>
        <v>8</v>
      </c>
      <c r="K1277" s="61" t="str">
        <f t="shared" si="8"/>
        <v>2023-Q3</v>
      </c>
      <c r="L1277" s="63" t="str">
        <f t="shared" si="9"/>
        <v>2023-08</v>
      </c>
      <c r="M1277" s="64" t="str">
        <f t="shared" si="10"/>
        <v>2023-H2</v>
      </c>
      <c r="N1277" s="65" t="s">
        <v>80</v>
      </c>
    </row>
    <row r="1278">
      <c r="I1278" s="61" t="str">
        <f t="shared" si="6"/>
        <v>2023</v>
      </c>
      <c r="J1278" s="62">
        <f t="shared" si="7"/>
        <v>8</v>
      </c>
      <c r="K1278" s="61" t="str">
        <f t="shared" si="8"/>
        <v>2023-Q3</v>
      </c>
      <c r="L1278" s="63" t="str">
        <f t="shared" si="9"/>
        <v>2023-08</v>
      </c>
      <c r="M1278" s="64" t="str">
        <f t="shared" si="10"/>
        <v>2023-H2</v>
      </c>
      <c r="N1278" s="65" t="s">
        <v>80</v>
      </c>
    </row>
    <row r="1279">
      <c r="I1279" s="61" t="str">
        <f t="shared" si="6"/>
        <v>2023</v>
      </c>
      <c r="J1279" s="62">
        <f t="shared" si="7"/>
        <v>8</v>
      </c>
      <c r="K1279" s="61" t="str">
        <f t="shared" si="8"/>
        <v>2023-Q3</v>
      </c>
      <c r="L1279" s="63" t="str">
        <f t="shared" si="9"/>
        <v>2023-08</v>
      </c>
      <c r="M1279" s="64" t="str">
        <f t="shared" si="10"/>
        <v>2023-H2</v>
      </c>
      <c r="N1279" s="65" t="s">
        <v>80</v>
      </c>
    </row>
    <row r="1280">
      <c r="I1280" s="61" t="str">
        <f t="shared" si="6"/>
        <v>2023</v>
      </c>
      <c r="J1280" s="62">
        <f t="shared" si="7"/>
        <v>8</v>
      </c>
      <c r="K1280" s="61" t="str">
        <f t="shared" si="8"/>
        <v>2023-Q3</v>
      </c>
      <c r="L1280" s="63" t="str">
        <f t="shared" si="9"/>
        <v>2023-08</v>
      </c>
      <c r="M1280" s="64" t="str">
        <f t="shared" si="10"/>
        <v>2023-H2</v>
      </c>
      <c r="N1280" s="65" t="s">
        <v>80</v>
      </c>
    </row>
    <row r="1281">
      <c r="I1281" s="61" t="str">
        <f t="shared" si="6"/>
        <v>2023</v>
      </c>
      <c r="J1281" s="62">
        <f t="shared" si="7"/>
        <v>8</v>
      </c>
      <c r="K1281" s="61" t="str">
        <f t="shared" si="8"/>
        <v>2023-Q3</v>
      </c>
      <c r="L1281" s="63" t="str">
        <f t="shared" si="9"/>
        <v>2023-08</v>
      </c>
      <c r="M1281" s="64" t="str">
        <f t="shared" si="10"/>
        <v>2023-H2</v>
      </c>
      <c r="N1281" s="65" t="s">
        <v>80</v>
      </c>
    </row>
    <row r="1282">
      <c r="I1282" s="61" t="str">
        <f t="shared" si="6"/>
        <v>2023</v>
      </c>
      <c r="J1282" s="62">
        <f t="shared" si="7"/>
        <v>8</v>
      </c>
      <c r="K1282" s="61" t="str">
        <f t="shared" si="8"/>
        <v>2023-Q3</v>
      </c>
      <c r="L1282" s="63" t="str">
        <f t="shared" si="9"/>
        <v>2023-08</v>
      </c>
      <c r="M1282" s="64" t="str">
        <f t="shared" si="10"/>
        <v>2023-H2</v>
      </c>
      <c r="N1282" s="65" t="s">
        <v>80</v>
      </c>
    </row>
    <row r="1283">
      <c r="I1283" s="61" t="str">
        <f t="shared" si="6"/>
        <v>2023</v>
      </c>
      <c r="J1283" s="62">
        <f t="shared" si="7"/>
        <v>8</v>
      </c>
      <c r="K1283" s="61" t="str">
        <f t="shared" si="8"/>
        <v>2023-Q3</v>
      </c>
      <c r="L1283" s="63" t="str">
        <f t="shared" si="9"/>
        <v>2023-08</v>
      </c>
      <c r="M1283" s="64" t="str">
        <f t="shared" si="10"/>
        <v>2023-H2</v>
      </c>
      <c r="N1283" s="65" t="s">
        <v>80</v>
      </c>
    </row>
    <row r="1284">
      <c r="I1284" s="61" t="str">
        <f t="shared" si="6"/>
        <v>2023</v>
      </c>
      <c r="J1284" s="62">
        <f t="shared" si="7"/>
        <v>8</v>
      </c>
      <c r="K1284" s="61" t="str">
        <f t="shared" si="8"/>
        <v>2023-Q3</v>
      </c>
      <c r="L1284" s="63" t="str">
        <f t="shared" si="9"/>
        <v>2023-08</v>
      </c>
      <c r="M1284" s="64" t="str">
        <f t="shared" si="10"/>
        <v>2023-H2</v>
      </c>
      <c r="N1284" s="65" t="s">
        <v>80</v>
      </c>
    </row>
    <row r="1285">
      <c r="I1285" s="61" t="str">
        <f t="shared" si="6"/>
        <v>2023</v>
      </c>
      <c r="J1285" s="62">
        <f t="shared" si="7"/>
        <v>8</v>
      </c>
      <c r="K1285" s="61" t="str">
        <f t="shared" si="8"/>
        <v>2023-Q3</v>
      </c>
      <c r="L1285" s="63" t="str">
        <f t="shared" si="9"/>
        <v>2023-08</v>
      </c>
      <c r="M1285" s="64" t="str">
        <f t="shared" si="10"/>
        <v>2023-H2</v>
      </c>
      <c r="N1285" s="65" t="s">
        <v>80</v>
      </c>
    </row>
    <row r="1286">
      <c r="I1286" s="61" t="str">
        <f t="shared" si="6"/>
        <v>2023</v>
      </c>
      <c r="J1286" s="62">
        <f t="shared" si="7"/>
        <v>8</v>
      </c>
      <c r="K1286" s="61" t="str">
        <f t="shared" si="8"/>
        <v>2023-Q3</v>
      </c>
      <c r="L1286" s="63" t="str">
        <f t="shared" si="9"/>
        <v>2023-08</v>
      </c>
      <c r="M1286" s="64" t="str">
        <f t="shared" si="10"/>
        <v>2023-H2</v>
      </c>
      <c r="N1286" s="65" t="s">
        <v>80</v>
      </c>
    </row>
    <row r="1287">
      <c r="I1287" s="61" t="str">
        <f t="shared" si="6"/>
        <v>2023</v>
      </c>
      <c r="J1287" s="62">
        <f t="shared" si="7"/>
        <v>8</v>
      </c>
      <c r="K1287" s="61" t="str">
        <f t="shared" si="8"/>
        <v>2023-Q3</v>
      </c>
      <c r="L1287" s="63" t="str">
        <f t="shared" si="9"/>
        <v>2023-08</v>
      </c>
      <c r="M1287" s="64" t="str">
        <f t="shared" si="10"/>
        <v>2023-H2</v>
      </c>
      <c r="N1287" s="65" t="s">
        <v>80</v>
      </c>
    </row>
    <row r="1288">
      <c r="I1288" s="61" t="str">
        <f t="shared" si="6"/>
        <v>2023</v>
      </c>
      <c r="J1288" s="62">
        <f t="shared" si="7"/>
        <v>8</v>
      </c>
      <c r="K1288" s="61" t="str">
        <f t="shared" si="8"/>
        <v>2023-Q3</v>
      </c>
      <c r="L1288" s="63" t="str">
        <f t="shared" si="9"/>
        <v>2023-08</v>
      </c>
      <c r="M1288" s="64" t="str">
        <f t="shared" si="10"/>
        <v>2023-H2</v>
      </c>
      <c r="N1288" s="65" t="s">
        <v>80</v>
      </c>
    </row>
    <row r="1289">
      <c r="I1289" s="61" t="str">
        <f t="shared" si="6"/>
        <v>2023</v>
      </c>
      <c r="J1289" s="62">
        <f t="shared" si="7"/>
        <v>8</v>
      </c>
      <c r="K1289" s="61" t="str">
        <f t="shared" si="8"/>
        <v>2023-Q3</v>
      </c>
      <c r="L1289" s="63" t="str">
        <f t="shared" si="9"/>
        <v>2023-08</v>
      </c>
      <c r="M1289" s="64" t="str">
        <f t="shared" si="10"/>
        <v>2023-H2</v>
      </c>
      <c r="N1289" s="65" t="s">
        <v>80</v>
      </c>
    </row>
    <row r="1290">
      <c r="I1290" s="61" t="str">
        <f t="shared" si="6"/>
        <v>2023</v>
      </c>
      <c r="J1290" s="62">
        <f t="shared" si="7"/>
        <v>8</v>
      </c>
      <c r="K1290" s="61" t="str">
        <f t="shared" si="8"/>
        <v>2023-Q3</v>
      </c>
      <c r="L1290" s="63" t="str">
        <f t="shared" si="9"/>
        <v>2023-08</v>
      </c>
      <c r="M1290" s="64" t="str">
        <f t="shared" si="10"/>
        <v>2023-H2</v>
      </c>
      <c r="N1290" s="65" t="s">
        <v>80</v>
      </c>
    </row>
    <row r="1291">
      <c r="I1291" s="61" t="str">
        <f t="shared" si="6"/>
        <v>2023</v>
      </c>
      <c r="J1291" s="62">
        <f t="shared" si="7"/>
        <v>8</v>
      </c>
      <c r="K1291" s="61" t="str">
        <f t="shared" si="8"/>
        <v>2023-Q3</v>
      </c>
      <c r="L1291" s="63" t="str">
        <f t="shared" si="9"/>
        <v>2023-08</v>
      </c>
      <c r="M1291" s="64" t="str">
        <f t="shared" si="10"/>
        <v>2023-H2</v>
      </c>
      <c r="N1291" s="65" t="s">
        <v>80</v>
      </c>
    </row>
    <row r="1292">
      <c r="I1292" s="61" t="str">
        <f t="shared" si="6"/>
        <v>2023</v>
      </c>
      <c r="J1292" s="62">
        <f t="shared" si="7"/>
        <v>10</v>
      </c>
      <c r="K1292" s="61" t="str">
        <f t="shared" si="8"/>
        <v>2023-Q4</v>
      </c>
      <c r="L1292" s="63" t="str">
        <f t="shared" si="9"/>
        <v>2023-10</v>
      </c>
      <c r="M1292" s="64" t="str">
        <f t="shared" si="10"/>
        <v>2023-H2</v>
      </c>
      <c r="N1292" s="65" t="s">
        <v>80</v>
      </c>
    </row>
    <row r="1293">
      <c r="I1293" s="61" t="str">
        <f t="shared" si="6"/>
        <v>2023</v>
      </c>
      <c r="J1293" s="62">
        <f t="shared" si="7"/>
        <v>9</v>
      </c>
      <c r="K1293" s="61" t="str">
        <f t="shared" si="8"/>
        <v>2023-Q3</v>
      </c>
      <c r="L1293" s="63" t="str">
        <f t="shared" si="9"/>
        <v>2023-09</v>
      </c>
      <c r="M1293" s="64" t="str">
        <f t="shared" si="10"/>
        <v>2023-H2</v>
      </c>
      <c r="N1293" s="65" t="s">
        <v>80</v>
      </c>
    </row>
    <row r="1294">
      <c r="I1294" s="61" t="str">
        <f t="shared" si="6"/>
        <v>2023</v>
      </c>
      <c r="J1294" s="62">
        <f t="shared" si="7"/>
        <v>9</v>
      </c>
      <c r="K1294" s="61" t="str">
        <f t="shared" si="8"/>
        <v>2023-Q3</v>
      </c>
      <c r="L1294" s="63" t="str">
        <f t="shared" si="9"/>
        <v>2023-09</v>
      </c>
      <c r="M1294" s="64" t="str">
        <f t="shared" si="10"/>
        <v>2023-H2</v>
      </c>
      <c r="N1294" s="65" t="s">
        <v>80</v>
      </c>
    </row>
    <row r="1295">
      <c r="I1295" s="61" t="str">
        <f t="shared" si="6"/>
        <v>2023</v>
      </c>
      <c r="J1295" s="62">
        <f t="shared" si="7"/>
        <v>10</v>
      </c>
      <c r="K1295" s="61" t="str">
        <f t="shared" si="8"/>
        <v>2023-Q4</v>
      </c>
      <c r="L1295" s="63" t="str">
        <f t="shared" si="9"/>
        <v>2023-10</v>
      </c>
      <c r="M1295" s="64" t="str">
        <f t="shared" si="10"/>
        <v>2023-H2</v>
      </c>
      <c r="N1295" s="65" t="s">
        <v>80</v>
      </c>
    </row>
    <row r="1296">
      <c r="I1296" s="61" t="str">
        <f t="shared" si="6"/>
        <v>2023</v>
      </c>
      <c r="J1296" s="62">
        <f t="shared" si="7"/>
        <v>9</v>
      </c>
      <c r="K1296" s="61" t="str">
        <f t="shared" si="8"/>
        <v>2023-Q3</v>
      </c>
      <c r="L1296" s="63" t="str">
        <f t="shared" si="9"/>
        <v>2023-09</v>
      </c>
      <c r="M1296" s="64" t="str">
        <f t="shared" si="10"/>
        <v>2023-H2</v>
      </c>
      <c r="N1296" s="65" t="s">
        <v>80</v>
      </c>
    </row>
    <row r="1297">
      <c r="I1297" s="61" t="str">
        <f t="shared" si="6"/>
        <v>2023</v>
      </c>
      <c r="J1297" s="62">
        <f t="shared" si="7"/>
        <v>9</v>
      </c>
      <c r="K1297" s="61" t="str">
        <f t="shared" si="8"/>
        <v>2023-Q3</v>
      </c>
      <c r="L1297" s="63" t="str">
        <f t="shared" si="9"/>
        <v>2023-09</v>
      </c>
      <c r="M1297" s="64" t="str">
        <f t="shared" si="10"/>
        <v>2023-H2</v>
      </c>
      <c r="N1297" s="65" t="s">
        <v>80</v>
      </c>
    </row>
    <row r="1298">
      <c r="I1298" s="61" t="str">
        <f t="shared" si="6"/>
        <v>2023</v>
      </c>
      <c r="J1298" s="62">
        <f t="shared" si="7"/>
        <v>9</v>
      </c>
      <c r="K1298" s="61" t="str">
        <f t="shared" si="8"/>
        <v>2023-Q3</v>
      </c>
      <c r="L1298" s="63" t="str">
        <f t="shared" si="9"/>
        <v>2023-09</v>
      </c>
      <c r="M1298" s="64" t="str">
        <f t="shared" si="10"/>
        <v>2023-H2</v>
      </c>
      <c r="N1298" s="65" t="s">
        <v>80</v>
      </c>
    </row>
    <row r="1299">
      <c r="I1299" s="61" t="str">
        <f t="shared" si="6"/>
        <v>2023</v>
      </c>
      <c r="J1299" s="62">
        <f t="shared" si="7"/>
        <v>9</v>
      </c>
      <c r="K1299" s="61" t="str">
        <f t="shared" si="8"/>
        <v>2023-Q3</v>
      </c>
      <c r="L1299" s="63" t="str">
        <f t="shared" si="9"/>
        <v>2023-09</v>
      </c>
      <c r="M1299" s="64" t="str">
        <f t="shared" si="10"/>
        <v>2023-H2</v>
      </c>
      <c r="N1299" s="65" t="s">
        <v>80</v>
      </c>
    </row>
    <row r="1300">
      <c r="I1300" s="61" t="str">
        <f t="shared" si="6"/>
        <v>2023</v>
      </c>
      <c r="J1300" s="62">
        <f t="shared" si="7"/>
        <v>9</v>
      </c>
      <c r="K1300" s="61" t="str">
        <f t="shared" si="8"/>
        <v>2023-Q3</v>
      </c>
      <c r="L1300" s="63" t="str">
        <f t="shared" si="9"/>
        <v>2023-09</v>
      </c>
      <c r="M1300" s="64" t="str">
        <f t="shared" si="10"/>
        <v>2023-H2</v>
      </c>
      <c r="N1300" s="65" t="s">
        <v>80</v>
      </c>
    </row>
    <row r="1301">
      <c r="I1301" s="61" t="str">
        <f t="shared" si="6"/>
        <v>2023</v>
      </c>
      <c r="J1301" s="62">
        <f t="shared" si="7"/>
        <v>9</v>
      </c>
      <c r="K1301" s="61" t="str">
        <f t="shared" si="8"/>
        <v>2023-Q3</v>
      </c>
      <c r="L1301" s="63" t="str">
        <f t="shared" si="9"/>
        <v>2023-09</v>
      </c>
      <c r="M1301" s="64" t="str">
        <f t="shared" si="10"/>
        <v>2023-H2</v>
      </c>
      <c r="N1301" s="65" t="s">
        <v>80</v>
      </c>
    </row>
    <row r="1302">
      <c r="I1302" s="61" t="str">
        <f t="shared" si="6"/>
        <v>2023</v>
      </c>
      <c r="J1302" s="62">
        <f t="shared" si="7"/>
        <v>9</v>
      </c>
      <c r="K1302" s="61" t="str">
        <f t="shared" si="8"/>
        <v>2023-Q3</v>
      </c>
      <c r="L1302" s="63" t="str">
        <f t="shared" si="9"/>
        <v>2023-09</v>
      </c>
      <c r="M1302" s="64" t="str">
        <f t="shared" si="10"/>
        <v>2023-H2</v>
      </c>
      <c r="N1302" s="65" t="s">
        <v>80</v>
      </c>
    </row>
    <row r="1303">
      <c r="I1303" s="61" t="str">
        <f t="shared" si="6"/>
        <v>2023</v>
      </c>
      <c r="J1303" s="62">
        <f t="shared" si="7"/>
        <v>9</v>
      </c>
      <c r="K1303" s="61" t="str">
        <f t="shared" si="8"/>
        <v>2023-Q3</v>
      </c>
      <c r="L1303" s="63" t="str">
        <f t="shared" si="9"/>
        <v>2023-09</v>
      </c>
      <c r="M1303" s="64" t="str">
        <f t="shared" si="10"/>
        <v>2023-H2</v>
      </c>
      <c r="N1303" s="65" t="s">
        <v>80</v>
      </c>
    </row>
    <row r="1304">
      <c r="I1304" s="61" t="str">
        <f t="shared" si="6"/>
        <v>2023</v>
      </c>
      <c r="J1304" s="62">
        <f t="shared" si="7"/>
        <v>9</v>
      </c>
      <c r="K1304" s="61" t="str">
        <f t="shared" si="8"/>
        <v>2023-Q3</v>
      </c>
      <c r="L1304" s="63" t="str">
        <f t="shared" si="9"/>
        <v>2023-09</v>
      </c>
      <c r="M1304" s="64" t="str">
        <f t="shared" si="10"/>
        <v>2023-H2</v>
      </c>
      <c r="N1304" s="65" t="s">
        <v>80</v>
      </c>
    </row>
    <row r="1305">
      <c r="I1305" s="61" t="str">
        <f t="shared" si="6"/>
        <v>2023</v>
      </c>
      <c r="J1305" s="62">
        <f t="shared" si="7"/>
        <v>9</v>
      </c>
      <c r="K1305" s="61" t="str">
        <f t="shared" si="8"/>
        <v>2023-Q3</v>
      </c>
      <c r="L1305" s="63" t="str">
        <f t="shared" si="9"/>
        <v>2023-09</v>
      </c>
      <c r="M1305" s="64" t="str">
        <f t="shared" si="10"/>
        <v>2023-H2</v>
      </c>
      <c r="N1305" s="65" t="s">
        <v>80</v>
      </c>
    </row>
    <row r="1306">
      <c r="I1306" s="61" t="str">
        <f t="shared" si="6"/>
        <v>2023</v>
      </c>
      <c r="J1306" s="62">
        <f t="shared" si="7"/>
        <v>9</v>
      </c>
      <c r="K1306" s="61" t="str">
        <f t="shared" si="8"/>
        <v>2023-Q3</v>
      </c>
      <c r="L1306" s="63" t="str">
        <f t="shared" si="9"/>
        <v>2023-09</v>
      </c>
      <c r="M1306" s="64" t="str">
        <f t="shared" si="10"/>
        <v>2023-H2</v>
      </c>
      <c r="N1306" s="65" t="s">
        <v>80</v>
      </c>
    </row>
    <row r="1307">
      <c r="I1307" s="61" t="str">
        <f t="shared" si="6"/>
        <v>2023</v>
      </c>
      <c r="J1307" s="62">
        <f t="shared" si="7"/>
        <v>9</v>
      </c>
      <c r="K1307" s="61" t="str">
        <f t="shared" si="8"/>
        <v>2023-Q3</v>
      </c>
      <c r="L1307" s="63" t="str">
        <f t="shared" si="9"/>
        <v>2023-09</v>
      </c>
      <c r="M1307" s="64" t="str">
        <f t="shared" si="10"/>
        <v>2023-H2</v>
      </c>
      <c r="N1307" s="65" t="s">
        <v>80</v>
      </c>
    </row>
    <row r="1308">
      <c r="I1308" s="61" t="str">
        <f t="shared" si="6"/>
        <v>2023</v>
      </c>
      <c r="J1308" s="62">
        <f t="shared" si="7"/>
        <v>9</v>
      </c>
      <c r="K1308" s="61" t="str">
        <f t="shared" si="8"/>
        <v>2023-Q3</v>
      </c>
      <c r="L1308" s="63" t="str">
        <f t="shared" si="9"/>
        <v>2023-09</v>
      </c>
      <c r="M1308" s="64" t="str">
        <f t="shared" si="10"/>
        <v>2023-H2</v>
      </c>
      <c r="N1308" s="65" t="s">
        <v>80</v>
      </c>
    </row>
    <row r="1309">
      <c r="I1309" s="61" t="str">
        <f t="shared" si="6"/>
        <v>2023</v>
      </c>
      <c r="J1309" s="62">
        <f t="shared" si="7"/>
        <v>9</v>
      </c>
      <c r="K1309" s="61" t="str">
        <f t="shared" si="8"/>
        <v>2023-Q3</v>
      </c>
      <c r="L1309" s="63" t="str">
        <f t="shared" si="9"/>
        <v>2023-09</v>
      </c>
      <c r="M1309" s="64" t="str">
        <f t="shared" si="10"/>
        <v>2023-H2</v>
      </c>
      <c r="N1309" s="65" t="s">
        <v>80</v>
      </c>
    </row>
    <row r="1310">
      <c r="I1310" s="61" t="str">
        <f t="shared" si="6"/>
        <v>2023</v>
      </c>
      <c r="J1310" s="62">
        <f t="shared" si="7"/>
        <v>9</v>
      </c>
      <c r="K1310" s="61" t="str">
        <f t="shared" si="8"/>
        <v>2023-Q3</v>
      </c>
      <c r="L1310" s="63" t="str">
        <f t="shared" si="9"/>
        <v>2023-09</v>
      </c>
      <c r="M1310" s="64" t="str">
        <f t="shared" si="10"/>
        <v>2023-H2</v>
      </c>
      <c r="N1310" s="65" t="s">
        <v>80</v>
      </c>
    </row>
    <row r="1311">
      <c r="I1311" s="61" t="str">
        <f t="shared" si="6"/>
        <v>2023</v>
      </c>
      <c r="J1311" s="62">
        <f t="shared" si="7"/>
        <v>9</v>
      </c>
      <c r="K1311" s="61" t="str">
        <f t="shared" si="8"/>
        <v>2023-Q3</v>
      </c>
      <c r="L1311" s="63" t="str">
        <f t="shared" si="9"/>
        <v>2023-09</v>
      </c>
      <c r="M1311" s="64" t="str">
        <f t="shared" si="10"/>
        <v>2023-H2</v>
      </c>
      <c r="N1311" s="65" t="s">
        <v>80</v>
      </c>
    </row>
    <row r="1312">
      <c r="I1312" s="61" t="str">
        <f t="shared" si="6"/>
        <v>2023</v>
      </c>
      <c r="J1312" s="62">
        <f t="shared" si="7"/>
        <v>9</v>
      </c>
      <c r="K1312" s="61" t="str">
        <f t="shared" si="8"/>
        <v>2023-Q3</v>
      </c>
      <c r="L1312" s="63" t="str">
        <f t="shared" si="9"/>
        <v>2023-09</v>
      </c>
      <c r="M1312" s="64" t="str">
        <f t="shared" si="10"/>
        <v>2023-H2</v>
      </c>
      <c r="N1312" s="65" t="s">
        <v>80</v>
      </c>
    </row>
    <row r="1313">
      <c r="I1313" s="61" t="str">
        <f t="shared" si="6"/>
        <v>2023</v>
      </c>
      <c r="J1313" s="62">
        <f t="shared" si="7"/>
        <v>9</v>
      </c>
      <c r="K1313" s="61" t="str">
        <f t="shared" si="8"/>
        <v>2023-Q3</v>
      </c>
      <c r="L1313" s="63" t="str">
        <f t="shared" si="9"/>
        <v>2023-09</v>
      </c>
      <c r="M1313" s="64" t="str">
        <f t="shared" si="10"/>
        <v>2023-H2</v>
      </c>
      <c r="N1313" s="65" t="s">
        <v>80</v>
      </c>
    </row>
    <row r="1314">
      <c r="I1314" s="61" t="str">
        <f t="shared" si="6"/>
        <v>2023</v>
      </c>
      <c r="J1314" s="62">
        <f t="shared" si="7"/>
        <v>9</v>
      </c>
      <c r="K1314" s="61" t="str">
        <f t="shared" si="8"/>
        <v>2023-Q3</v>
      </c>
      <c r="L1314" s="63" t="str">
        <f t="shared" si="9"/>
        <v>2023-09</v>
      </c>
      <c r="M1314" s="64" t="str">
        <f t="shared" si="10"/>
        <v>2023-H2</v>
      </c>
      <c r="N1314" s="65" t="s">
        <v>80</v>
      </c>
    </row>
    <row r="1315">
      <c r="I1315" s="61" t="str">
        <f t="shared" si="6"/>
        <v>2023</v>
      </c>
      <c r="J1315" s="62">
        <f t="shared" si="7"/>
        <v>9</v>
      </c>
      <c r="K1315" s="61" t="str">
        <f t="shared" si="8"/>
        <v>2023-Q3</v>
      </c>
      <c r="L1315" s="63" t="str">
        <f t="shared" si="9"/>
        <v>2023-09</v>
      </c>
      <c r="M1315" s="64" t="str">
        <f t="shared" si="10"/>
        <v>2023-H2</v>
      </c>
      <c r="N1315" s="65" t="s">
        <v>80</v>
      </c>
    </row>
    <row r="1316">
      <c r="I1316" s="61" t="str">
        <f t="shared" si="6"/>
        <v>2023</v>
      </c>
      <c r="J1316" s="62">
        <f t="shared" si="7"/>
        <v>9</v>
      </c>
      <c r="K1316" s="61" t="str">
        <f t="shared" si="8"/>
        <v>2023-Q3</v>
      </c>
      <c r="L1316" s="63" t="str">
        <f t="shared" si="9"/>
        <v>2023-09</v>
      </c>
      <c r="M1316" s="64" t="str">
        <f t="shared" si="10"/>
        <v>2023-H2</v>
      </c>
      <c r="N1316" s="65" t="s">
        <v>80</v>
      </c>
    </row>
    <row r="1317">
      <c r="I1317" s="61" t="str">
        <f t="shared" si="6"/>
        <v>2023</v>
      </c>
      <c r="J1317" s="62">
        <f t="shared" si="7"/>
        <v>9</v>
      </c>
      <c r="K1317" s="61" t="str">
        <f t="shared" si="8"/>
        <v>2023-Q3</v>
      </c>
      <c r="L1317" s="63" t="str">
        <f t="shared" si="9"/>
        <v>2023-09</v>
      </c>
      <c r="M1317" s="64" t="str">
        <f t="shared" si="10"/>
        <v>2023-H2</v>
      </c>
      <c r="N1317" s="65" t="s">
        <v>80</v>
      </c>
    </row>
    <row r="1318">
      <c r="I1318" s="61" t="str">
        <f t="shared" si="6"/>
        <v>2023</v>
      </c>
      <c r="J1318" s="62">
        <f t="shared" si="7"/>
        <v>10</v>
      </c>
      <c r="K1318" s="61" t="str">
        <f t="shared" si="8"/>
        <v>2023-Q4</v>
      </c>
      <c r="L1318" s="63" t="str">
        <f t="shared" si="9"/>
        <v>2023-10</v>
      </c>
      <c r="M1318" s="64" t="str">
        <f t="shared" si="10"/>
        <v>2023-H2</v>
      </c>
      <c r="N1318" s="65" t="s">
        <v>80</v>
      </c>
    </row>
    <row r="1319">
      <c r="I1319" s="61" t="str">
        <f t="shared" si="6"/>
        <v>2023</v>
      </c>
      <c r="J1319" s="62">
        <f t="shared" si="7"/>
        <v>9</v>
      </c>
      <c r="K1319" s="61" t="str">
        <f t="shared" si="8"/>
        <v>2023-Q3</v>
      </c>
      <c r="L1319" s="63" t="str">
        <f t="shared" si="9"/>
        <v>2023-09</v>
      </c>
      <c r="M1319" s="64" t="str">
        <f t="shared" si="10"/>
        <v>2023-H2</v>
      </c>
      <c r="N1319" s="65" t="s">
        <v>80</v>
      </c>
    </row>
    <row r="1320">
      <c r="I1320" s="61" t="str">
        <f t="shared" si="6"/>
        <v>2023</v>
      </c>
      <c r="J1320" s="62">
        <f t="shared" si="7"/>
        <v>9</v>
      </c>
      <c r="K1320" s="61" t="str">
        <f t="shared" si="8"/>
        <v>2023-Q3</v>
      </c>
      <c r="L1320" s="63" t="str">
        <f t="shared" si="9"/>
        <v>2023-09</v>
      </c>
      <c r="M1320" s="64" t="str">
        <f t="shared" si="10"/>
        <v>2023-H2</v>
      </c>
      <c r="N1320" s="65" t="s">
        <v>80</v>
      </c>
    </row>
    <row r="1321">
      <c r="I1321" s="61" t="str">
        <f t="shared" si="6"/>
        <v>2023</v>
      </c>
      <c r="J1321" s="62">
        <f t="shared" si="7"/>
        <v>9</v>
      </c>
      <c r="K1321" s="61" t="str">
        <f t="shared" si="8"/>
        <v>2023-Q3</v>
      </c>
      <c r="L1321" s="63" t="str">
        <f t="shared" si="9"/>
        <v>2023-09</v>
      </c>
      <c r="M1321" s="64" t="str">
        <f t="shared" si="10"/>
        <v>2023-H2</v>
      </c>
      <c r="N1321" s="65" t="s">
        <v>80</v>
      </c>
    </row>
    <row r="1322">
      <c r="I1322" s="61" t="str">
        <f t="shared" si="6"/>
        <v>2023</v>
      </c>
      <c r="J1322" s="62">
        <f t="shared" si="7"/>
        <v>10</v>
      </c>
      <c r="K1322" s="61" t="str">
        <f t="shared" si="8"/>
        <v>2023-Q4</v>
      </c>
      <c r="L1322" s="63" t="str">
        <f t="shared" si="9"/>
        <v>2023-10</v>
      </c>
      <c r="M1322" s="64" t="str">
        <f t="shared" si="10"/>
        <v>2023-H2</v>
      </c>
      <c r="N1322" s="65" t="s">
        <v>80</v>
      </c>
    </row>
    <row r="1323">
      <c r="I1323" s="61" t="str">
        <f t="shared" si="6"/>
        <v>2023</v>
      </c>
      <c r="J1323" s="62">
        <f t="shared" si="7"/>
        <v>10</v>
      </c>
      <c r="K1323" s="61" t="str">
        <f t="shared" si="8"/>
        <v>2023-Q4</v>
      </c>
      <c r="L1323" s="63" t="str">
        <f t="shared" si="9"/>
        <v>2023-10</v>
      </c>
      <c r="M1323" s="64" t="str">
        <f t="shared" si="10"/>
        <v>2023-H2</v>
      </c>
      <c r="N1323" s="65" t="s">
        <v>80</v>
      </c>
    </row>
    <row r="1324">
      <c r="I1324" s="61" t="str">
        <f t="shared" si="6"/>
        <v>2023</v>
      </c>
      <c r="J1324" s="62">
        <f t="shared" si="7"/>
        <v>10</v>
      </c>
      <c r="K1324" s="61" t="str">
        <f t="shared" si="8"/>
        <v>2023-Q4</v>
      </c>
      <c r="L1324" s="63" t="str">
        <f t="shared" si="9"/>
        <v>2023-10</v>
      </c>
      <c r="M1324" s="64" t="str">
        <f t="shared" si="10"/>
        <v>2023-H2</v>
      </c>
      <c r="N1324" s="65" t="s">
        <v>80</v>
      </c>
    </row>
    <row r="1325">
      <c r="I1325" s="61" t="str">
        <f t="shared" si="6"/>
        <v>2023</v>
      </c>
      <c r="J1325" s="62">
        <f t="shared" si="7"/>
        <v>10</v>
      </c>
      <c r="K1325" s="61" t="str">
        <f t="shared" si="8"/>
        <v>2023-Q4</v>
      </c>
      <c r="L1325" s="63" t="str">
        <f t="shared" si="9"/>
        <v>2023-10</v>
      </c>
      <c r="M1325" s="64" t="str">
        <f t="shared" si="10"/>
        <v>2023-H2</v>
      </c>
      <c r="N1325" s="65" t="s">
        <v>80</v>
      </c>
    </row>
    <row r="1326">
      <c r="I1326" s="61" t="str">
        <f t="shared" si="6"/>
        <v>2023</v>
      </c>
      <c r="J1326" s="62">
        <f t="shared" si="7"/>
        <v>10</v>
      </c>
      <c r="K1326" s="61" t="str">
        <f t="shared" si="8"/>
        <v>2023-Q4</v>
      </c>
      <c r="L1326" s="63" t="str">
        <f t="shared" si="9"/>
        <v>2023-10</v>
      </c>
      <c r="M1326" s="64" t="str">
        <f t="shared" si="10"/>
        <v>2023-H2</v>
      </c>
      <c r="N1326" s="65" t="s">
        <v>80</v>
      </c>
    </row>
    <row r="1327">
      <c r="I1327" s="61" t="str">
        <f t="shared" si="6"/>
        <v>2023</v>
      </c>
      <c r="J1327" s="62">
        <f t="shared" si="7"/>
        <v>10</v>
      </c>
      <c r="K1327" s="61" t="str">
        <f t="shared" si="8"/>
        <v>2023-Q4</v>
      </c>
      <c r="L1327" s="63" t="str">
        <f t="shared" si="9"/>
        <v>2023-10</v>
      </c>
      <c r="M1327" s="64" t="str">
        <f t="shared" si="10"/>
        <v>2023-H2</v>
      </c>
      <c r="N1327" s="65" t="s">
        <v>80</v>
      </c>
    </row>
    <row r="1328">
      <c r="I1328" s="61" t="str">
        <f t="shared" si="6"/>
        <v>2023</v>
      </c>
      <c r="J1328" s="62">
        <f t="shared" si="7"/>
        <v>10</v>
      </c>
      <c r="K1328" s="61" t="str">
        <f t="shared" si="8"/>
        <v>2023-Q4</v>
      </c>
      <c r="L1328" s="63" t="str">
        <f t="shared" si="9"/>
        <v>2023-10</v>
      </c>
      <c r="M1328" s="64" t="str">
        <f t="shared" si="10"/>
        <v>2023-H2</v>
      </c>
      <c r="N1328" s="65" t="s">
        <v>80</v>
      </c>
    </row>
    <row r="1329">
      <c r="I1329" s="61" t="str">
        <f t="shared" si="6"/>
        <v>2023</v>
      </c>
      <c r="J1329" s="62">
        <f t="shared" si="7"/>
        <v>10</v>
      </c>
      <c r="K1329" s="61" t="str">
        <f t="shared" si="8"/>
        <v>2023-Q4</v>
      </c>
      <c r="L1329" s="63" t="str">
        <f t="shared" si="9"/>
        <v>2023-10</v>
      </c>
      <c r="M1329" s="64" t="str">
        <f t="shared" si="10"/>
        <v>2023-H2</v>
      </c>
      <c r="N1329" s="65" t="s">
        <v>80</v>
      </c>
    </row>
    <row r="1330">
      <c r="I1330" s="61" t="str">
        <f t="shared" si="6"/>
        <v>2023</v>
      </c>
      <c r="J1330" s="62">
        <f t="shared" si="7"/>
        <v>10</v>
      </c>
      <c r="K1330" s="61" t="str">
        <f t="shared" si="8"/>
        <v>2023-Q4</v>
      </c>
      <c r="L1330" s="63" t="str">
        <f t="shared" si="9"/>
        <v>2023-10</v>
      </c>
      <c r="M1330" s="64" t="str">
        <f t="shared" si="10"/>
        <v>2023-H2</v>
      </c>
      <c r="N1330" s="65" t="s">
        <v>80</v>
      </c>
    </row>
    <row r="1331">
      <c r="I1331" s="61" t="str">
        <f t="shared" si="6"/>
        <v>2023</v>
      </c>
      <c r="J1331" s="62">
        <f t="shared" si="7"/>
        <v>10</v>
      </c>
      <c r="K1331" s="61" t="str">
        <f t="shared" si="8"/>
        <v>2023-Q4</v>
      </c>
      <c r="L1331" s="63" t="str">
        <f t="shared" si="9"/>
        <v>2023-10</v>
      </c>
      <c r="M1331" s="64" t="str">
        <f t="shared" si="10"/>
        <v>2023-H2</v>
      </c>
      <c r="N1331" s="65" t="s">
        <v>80</v>
      </c>
    </row>
    <row r="1332">
      <c r="I1332" s="61" t="str">
        <f t="shared" si="6"/>
        <v>2023</v>
      </c>
      <c r="J1332" s="62">
        <f t="shared" si="7"/>
        <v>10</v>
      </c>
      <c r="K1332" s="61" t="str">
        <f t="shared" si="8"/>
        <v>2023-Q4</v>
      </c>
      <c r="L1332" s="63" t="str">
        <f t="shared" si="9"/>
        <v>2023-10</v>
      </c>
      <c r="M1332" s="64" t="str">
        <f t="shared" si="10"/>
        <v>2023-H2</v>
      </c>
      <c r="N1332" s="65" t="s">
        <v>80</v>
      </c>
    </row>
    <row r="1333">
      <c r="I1333" s="61" t="str">
        <f t="shared" si="6"/>
        <v>2023</v>
      </c>
      <c r="J1333" s="62">
        <f t="shared" si="7"/>
        <v>10</v>
      </c>
      <c r="K1333" s="61" t="str">
        <f t="shared" si="8"/>
        <v>2023-Q4</v>
      </c>
      <c r="L1333" s="63" t="str">
        <f t="shared" si="9"/>
        <v>2023-10</v>
      </c>
      <c r="M1333" s="64" t="str">
        <f t="shared" si="10"/>
        <v>2023-H2</v>
      </c>
      <c r="N1333" s="65" t="s">
        <v>80</v>
      </c>
    </row>
    <row r="1334">
      <c r="I1334" s="61" t="str">
        <f t="shared" si="6"/>
        <v>2023</v>
      </c>
      <c r="J1334" s="62">
        <f t="shared" si="7"/>
        <v>10</v>
      </c>
      <c r="K1334" s="61" t="str">
        <f t="shared" si="8"/>
        <v>2023-Q4</v>
      </c>
      <c r="L1334" s="63" t="str">
        <f t="shared" si="9"/>
        <v>2023-10</v>
      </c>
      <c r="M1334" s="64" t="str">
        <f t="shared" si="10"/>
        <v>2023-H2</v>
      </c>
      <c r="N1334" s="65" t="s">
        <v>80</v>
      </c>
    </row>
    <row r="1335">
      <c r="I1335" s="61" t="str">
        <f t="shared" si="6"/>
        <v>2023</v>
      </c>
      <c r="J1335" s="62">
        <f t="shared" si="7"/>
        <v>10</v>
      </c>
      <c r="K1335" s="61" t="str">
        <f t="shared" si="8"/>
        <v>2023-Q4</v>
      </c>
      <c r="L1335" s="63" t="str">
        <f t="shared" si="9"/>
        <v>2023-10</v>
      </c>
      <c r="M1335" s="64" t="str">
        <f t="shared" si="10"/>
        <v>2023-H2</v>
      </c>
      <c r="N1335" s="65" t="s">
        <v>80</v>
      </c>
    </row>
    <row r="1336">
      <c r="I1336" s="61" t="str">
        <f t="shared" si="6"/>
        <v>2023</v>
      </c>
      <c r="J1336" s="62">
        <f t="shared" si="7"/>
        <v>10</v>
      </c>
      <c r="K1336" s="61" t="str">
        <f t="shared" si="8"/>
        <v>2023-Q4</v>
      </c>
      <c r="L1336" s="63" t="str">
        <f t="shared" si="9"/>
        <v>2023-10</v>
      </c>
      <c r="M1336" s="64" t="str">
        <f t="shared" si="10"/>
        <v>2023-H2</v>
      </c>
      <c r="N1336" s="65" t="s">
        <v>80</v>
      </c>
    </row>
    <row r="1337">
      <c r="I1337" s="61" t="str">
        <f t="shared" si="6"/>
        <v>2023</v>
      </c>
      <c r="J1337" s="62">
        <f t="shared" si="7"/>
        <v>10</v>
      </c>
      <c r="K1337" s="61" t="str">
        <f t="shared" si="8"/>
        <v>2023-Q4</v>
      </c>
      <c r="L1337" s="63" t="str">
        <f t="shared" si="9"/>
        <v>2023-10</v>
      </c>
      <c r="M1337" s="64" t="str">
        <f t="shared" si="10"/>
        <v>2023-H2</v>
      </c>
      <c r="N1337" s="65" t="s">
        <v>80</v>
      </c>
    </row>
    <row r="1338">
      <c r="I1338" s="61" t="str">
        <f t="shared" si="6"/>
        <v>2023</v>
      </c>
      <c r="J1338" s="62">
        <f t="shared" si="7"/>
        <v>10</v>
      </c>
      <c r="K1338" s="61" t="str">
        <f t="shared" si="8"/>
        <v>2023-Q4</v>
      </c>
      <c r="L1338" s="63" t="str">
        <f t="shared" si="9"/>
        <v>2023-10</v>
      </c>
      <c r="M1338" s="64" t="str">
        <f t="shared" si="10"/>
        <v>2023-H2</v>
      </c>
      <c r="N1338" s="65" t="s">
        <v>80</v>
      </c>
    </row>
    <row r="1339">
      <c r="I1339" s="61" t="str">
        <f t="shared" si="6"/>
        <v>2023</v>
      </c>
      <c r="J1339" s="62">
        <f t="shared" si="7"/>
        <v>10</v>
      </c>
      <c r="K1339" s="61" t="str">
        <f t="shared" si="8"/>
        <v>2023-Q4</v>
      </c>
      <c r="L1339" s="63" t="str">
        <f t="shared" si="9"/>
        <v>2023-10</v>
      </c>
      <c r="M1339" s="64" t="str">
        <f t="shared" si="10"/>
        <v>2023-H2</v>
      </c>
      <c r="N1339" s="65" t="s">
        <v>80</v>
      </c>
    </row>
    <row r="1340">
      <c r="I1340" s="61" t="str">
        <f t="shared" si="6"/>
        <v>2023</v>
      </c>
      <c r="J1340" s="62">
        <f t="shared" si="7"/>
        <v>10</v>
      </c>
      <c r="K1340" s="61" t="str">
        <f t="shared" si="8"/>
        <v>2023-Q4</v>
      </c>
      <c r="L1340" s="63" t="str">
        <f t="shared" si="9"/>
        <v>2023-10</v>
      </c>
      <c r="M1340" s="64" t="str">
        <f t="shared" si="10"/>
        <v>2023-H2</v>
      </c>
      <c r="N1340" s="65" t="s">
        <v>80</v>
      </c>
    </row>
    <row r="1341">
      <c r="I1341" s="61" t="str">
        <f t="shared" si="6"/>
        <v>2023</v>
      </c>
      <c r="J1341" s="62">
        <f t="shared" si="7"/>
        <v>10</v>
      </c>
      <c r="K1341" s="61" t="str">
        <f t="shared" si="8"/>
        <v>2023-Q4</v>
      </c>
      <c r="L1341" s="63" t="str">
        <f t="shared" si="9"/>
        <v>2023-10</v>
      </c>
      <c r="M1341" s="64" t="str">
        <f t="shared" si="10"/>
        <v>2023-H2</v>
      </c>
      <c r="N1341" s="65" t="s">
        <v>80</v>
      </c>
    </row>
    <row r="1342">
      <c r="I1342" s="61" t="str">
        <f t="shared" si="6"/>
        <v>2023</v>
      </c>
      <c r="J1342" s="62">
        <f t="shared" si="7"/>
        <v>10</v>
      </c>
      <c r="K1342" s="61" t="str">
        <f t="shared" si="8"/>
        <v>2023-Q4</v>
      </c>
      <c r="L1342" s="63" t="str">
        <f t="shared" si="9"/>
        <v>2023-10</v>
      </c>
      <c r="M1342" s="64" t="str">
        <f t="shared" si="10"/>
        <v>2023-H2</v>
      </c>
      <c r="N1342" s="65" t="s">
        <v>80</v>
      </c>
    </row>
    <row r="1343">
      <c r="I1343" s="61" t="str">
        <f t="shared" si="6"/>
        <v>2023</v>
      </c>
      <c r="J1343" s="62">
        <f t="shared" si="7"/>
        <v>10</v>
      </c>
      <c r="K1343" s="61" t="str">
        <f t="shared" si="8"/>
        <v>2023-Q4</v>
      </c>
      <c r="L1343" s="63" t="str">
        <f t="shared" si="9"/>
        <v>2023-10</v>
      </c>
      <c r="M1343" s="64" t="str">
        <f t="shared" si="10"/>
        <v>2023-H2</v>
      </c>
      <c r="N1343" s="65" t="s">
        <v>80</v>
      </c>
    </row>
    <row r="1344">
      <c r="I1344" s="61" t="str">
        <f t="shared" si="6"/>
        <v>2023</v>
      </c>
      <c r="J1344" s="62">
        <f t="shared" si="7"/>
        <v>10</v>
      </c>
      <c r="K1344" s="61" t="str">
        <f t="shared" si="8"/>
        <v>2023-Q4</v>
      </c>
      <c r="L1344" s="63" t="str">
        <f t="shared" si="9"/>
        <v>2023-10</v>
      </c>
      <c r="M1344" s="64" t="str">
        <f t="shared" si="10"/>
        <v>2023-H2</v>
      </c>
      <c r="N1344" s="65" t="s">
        <v>80</v>
      </c>
    </row>
    <row r="1345">
      <c r="I1345" s="61" t="str">
        <f t="shared" si="6"/>
        <v>2023</v>
      </c>
      <c r="J1345" s="62">
        <f t="shared" si="7"/>
        <v>10</v>
      </c>
      <c r="K1345" s="61" t="str">
        <f t="shared" si="8"/>
        <v>2023-Q4</v>
      </c>
      <c r="L1345" s="63" t="str">
        <f t="shared" si="9"/>
        <v>2023-10</v>
      </c>
      <c r="M1345" s="64" t="str">
        <f t="shared" si="10"/>
        <v>2023-H2</v>
      </c>
      <c r="N1345" s="65" t="s">
        <v>80</v>
      </c>
    </row>
    <row r="1346">
      <c r="I1346" s="61" t="str">
        <f t="shared" si="6"/>
        <v>2023</v>
      </c>
      <c r="J1346" s="62">
        <f t="shared" si="7"/>
        <v>10</v>
      </c>
      <c r="K1346" s="61" t="str">
        <f t="shared" si="8"/>
        <v>2023-Q4</v>
      </c>
      <c r="L1346" s="63" t="str">
        <f t="shared" si="9"/>
        <v>2023-10</v>
      </c>
      <c r="M1346" s="64" t="str">
        <f t="shared" si="10"/>
        <v>2023-H2</v>
      </c>
      <c r="N1346" s="65" t="s">
        <v>80</v>
      </c>
    </row>
    <row r="1347">
      <c r="I1347" s="61" t="str">
        <f t="shared" si="6"/>
        <v>2023</v>
      </c>
      <c r="J1347" s="62">
        <f t="shared" si="7"/>
        <v>10</v>
      </c>
      <c r="K1347" s="61" t="str">
        <f t="shared" si="8"/>
        <v>2023-Q4</v>
      </c>
      <c r="L1347" s="63" t="str">
        <f t="shared" si="9"/>
        <v>2023-10</v>
      </c>
      <c r="M1347" s="64" t="str">
        <f t="shared" si="10"/>
        <v>2023-H2</v>
      </c>
      <c r="N1347" s="65" t="s">
        <v>80</v>
      </c>
    </row>
    <row r="1348">
      <c r="I1348" s="61" t="str">
        <f t="shared" si="6"/>
        <v>2023</v>
      </c>
      <c r="J1348" s="62">
        <f t="shared" si="7"/>
        <v>10</v>
      </c>
      <c r="K1348" s="61" t="str">
        <f t="shared" si="8"/>
        <v>2023-Q4</v>
      </c>
      <c r="L1348" s="63" t="str">
        <f t="shared" si="9"/>
        <v>2023-10</v>
      </c>
      <c r="M1348" s="64" t="str">
        <f t="shared" si="10"/>
        <v>2023-H2</v>
      </c>
      <c r="N1348" s="65" t="s">
        <v>80</v>
      </c>
    </row>
    <row r="1349">
      <c r="I1349" s="61" t="str">
        <f t="shared" si="6"/>
        <v>2023</v>
      </c>
      <c r="J1349" s="62">
        <f t="shared" si="7"/>
        <v>10</v>
      </c>
      <c r="K1349" s="61" t="str">
        <f t="shared" si="8"/>
        <v>2023-Q4</v>
      </c>
      <c r="L1349" s="63" t="str">
        <f t="shared" si="9"/>
        <v>2023-10</v>
      </c>
      <c r="M1349" s="64" t="str">
        <f t="shared" si="10"/>
        <v>2023-H2</v>
      </c>
      <c r="N1349" s="65" t="s">
        <v>80</v>
      </c>
    </row>
    <row r="1350">
      <c r="I1350" s="61" t="str">
        <f t="shared" si="6"/>
        <v>2023</v>
      </c>
      <c r="J1350" s="62">
        <f t="shared" si="7"/>
        <v>12</v>
      </c>
      <c r="K1350" s="61" t="str">
        <f t="shared" si="8"/>
        <v>2023-Q4</v>
      </c>
      <c r="L1350" s="63" t="str">
        <f t="shared" si="9"/>
        <v>2023-12</v>
      </c>
      <c r="M1350" s="64" t="str">
        <f t="shared" si="10"/>
        <v>2023-H2</v>
      </c>
      <c r="N1350" s="65" t="s">
        <v>80</v>
      </c>
    </row>
    <row r="1351">
      <c r="I1351" s="61" t="str">
        <f t="shared" si="6"/>
        <v>2023</v>
      </c>
      <c r="J1351" s="62">
        <f t="shared" si="7"/>
        <v>10</v>
      </c>
      <c r="K1351" s="61" t="str">
        <f t="shared" si="8"/>
        <v>2023-Q4</v>
      </c>
      <c r="L1351" s="63" t="str">
        <f t="shared" si="9"/>
        <v>2023-10</v>
      </c>
      <c r="M1351" s="64" t="str">
        <f t="shared" si="10"/>
        <v>2023-H2</v>
      </c>
      <c r="N1351" s="65" t="s">
        <v>80</v>
      </c>
    </row>
    <row r="1352">
      <c r="I1352" s="61" t="str">
        <f t="shared" si="6"/>
        <v>2023</v>
      </c>
      <c r="J1352" s="62">
        <f t="shared" si="7"/>
        <v>10</v>
      </c>
      <c r="K1352" s="61" t="str">
        <f t="shared" si="8"/>
        <v>2023-Q4</v>
      </c>
      <c r="L1352" s="63" t="str">
        <f t="shared" si="9"/>
        <v>2023-10</v>
      </c>
      <c r="M1352" s="64" t="str">
        <f t="shared" si="10"/>
        <v>2023-H2</v>
      </c>
      <c r="N1352" s="65" t="s">
        <v>80</v>
      </c>
    </row>
    <row r="1353">
      <c r="I1353" s="61" t="str">
        <f t="shared" si="6"/>
        <v>2023</v>
      </c>
      <c r="J1353" s="62">
        <f t="shared" si="7"/>
        <v>10</v>
      </c>
      <c r="K1353" s="61" t="str">
        <f t="shared" si="8"/>
        <v>2023-Q4</v>
      </c>
      <c r="L1353" s="63" t="str">
        <f t="shared" si="9"/>
        <v>2023-10</v>
      </c>
      <c r="M1353" s="64" t="str">
        <f t="shared" si="10"/>
        <v>2023-H2</v>
      </c>
      <c r="N1353" s="65" t="s">
        <v>80</v>
      </c>
    </row>
    <row r="1354">
      <c r="I1354" s="61" t="str">
        <f t="shared" si="6"/>
        <v>2023</v>
      </c>
      <c r="J1354" s="62">
        <f t="shared" si="7"/>
        <v>10</v>
      </c>
      <c r="K1354" s="61" t="str">
        <f t="shared" si="8"/>
        <v>2023-Q4</v>
      </c>
      <c r="L1354" s="63" t="str">
        <f t="shared" si="9"/>
        <v>2023-10</v>
      </c>
      <c r="M1354" s="64" t="str">
        <f t="shared" si="10"/>
        <v>2023-H2</v>
      </c>
      <c r="N1354" s="65" t="s">
        <v>80</v>
      </c>
    </row>
    <row r="1355">
      <c r="I1355" s="61" t="str">
        <f t="shared" si="6"/>
        <v>2023</v>
      </c>
      <c r="J1355" s="62">
        <f t="shared" si="7"/>
        <v>10</v>
      </c>
      <c r="K1355" s="61" t="str">
        <f t="shared" si="8"/>
        <v>2023-Q4</v>
      </c>
      <c r="L1355" s="63" t="str">
        <f t="shared" si="9"/>
        <v>2023-10</v>
      </c>
      <c r="M1355" s="64" t="str">
        <f t="shared" si="10"/>
        <v>2023-H2</v>
      </c>
      <c r="N1355" s="65" t="s">
        <v>80</v>
      </c>
    </row>
    <row r="1356">
      <c r="I1356" s="61" t="str">
        <f t="shared" si="6"/>
        <v>2023</v>
      </c>
      <c r="J1356" s="62">
        <f t="shared" si="7"/>
        <v>10</v>
      </c>
      <c r="K1356" s="61" t="str">
        <f t="shared" si="8"/>
        <v>2023-Q4</v>
      </c>
      <c r="L1356" s="63" t="str">
        <f t="shared" si="9"/>
        <v>2023-10</v>
      </c>
      <c r="M1356" s="64" t="str">
        <f t="shared" si="10"/>
        <v>2023-H2</v>
      </c>
      <c r="N1356" s="65" t="s">
        <v>80</v>
      </c>
    </row>
    <row r="1357">
      <c r="I1357" s="61" t="str">
        <f t="shared" si="6"/>
        <v>2023</v>
      </c>
      <c r="J1357" s="62">
        <f t="shared" si="7"/>
        <v>10</v>
      </c>
      <c r="K1357" s="61" t="str">
        <f t="shared" si="8"/>
        <v>2023-Q4</v>
      </c>
      <c r="L1357" s="63" t="str">
        <f t="shared" si="9"/>
        <v>2023-10</v>
      </c>
      <c r="M1357" s="64" t="str">
        <f t="shared" si="10"/>
        <v>2023-H2</v>
      </c>
      <c r="N1357" s="65" t="s">
        <v>80</v>
      </c>
    </row>
    <row r="1358">
      <c r="I1358" s="61" t="str">
        <f t="shared" si="6"/>
        <v>2023</v>
      </c>
      <c r="J1358" s="62">
        <f t="shared" si="7"/>
        <v>10</v>
      </c>
      <c r="K1358" s="61" t="str">
        <f t="shared" si="8"/>
        <v>2023-Q4</v>
      </c>
      <c r="L1358" s="63" t="str">
        <f t="shared" si="9"/>
        <v>2023-10</v>
      </c>
      <c r="M1358" s="64" t="str">
        <f t="shared" si="10"/>
        <v>2023-H2</v>
      </c>
      <c r="N1358" s="65" t="s">
        <v>80</v>
      </c>
    </row>
    <row r="1359">
      <c r="I1359" s="61" t="str">
        <f t="shared" si="6"/>
        <v>2023</v>
      </c>
      <c r="J1359" s="62">
        <f t="shared" si="7"/>
        <v>10</v>
      </c>
      <c r="K1359" s="61" t="str">
        <f t="shared" si="8"/>
        <v>2023-Q4</v>
      </c>
      <c r="L1359" s="63" t="str">
        <f t="shared" si="9"/>
        <v>2023-10</v>
      </c>
      <c r="M1359" s="64" t="str">
        <f t="shared" si="10"/>
        <v>2023-H2</v>
      </c>
      <c r="N1359" s="65" t="s">
        <v>80</v>
      </c>
    </row>
    <row r="1360">
      <c r="I1360" s="61" t="str">
        <f t="shared" si="6"/>
        <v>2023</v>
      </c>
      <c r="J1360" s="62">
        <f t="shared" si="7"/>
        <v>10</v>
      </c>
      <c r="K1360" s="61" t="str">
        <f t="shared" si="8"/>
        <v>2023-Q4</v>
      </c>
      <c r="L1360" s="63" t="str">
        <f t="shared" si="9"/>
        <v>2023-10</v>
      </c>
      <c r="M1360" s="64" t="str">
        <f t="shared" si="10"/>
        <v>2023-H2</v>
      </c>
      <c r="N1360" s="65" t="s">
        <v>80</v>
      </c>
    </row>
    <row r="1361">
      <c r="I1361" s="61" t="str">
        <f t="shared" si="6"/>
        <v>2023</v>
      </c>
      <c r="J1361" s="62">
        <f t="shared" si="7"/>
        <v>10</v>
      </c>
      <c r="K1361" s="61" t="str">
        <f t="shared" si="8"/>
        <v>2023-Q4</v>
      </c>
      <c r="L1361" s="63" t="str">
        <f t="shared" si="9"/>
        <v>2023-10</v>
      </c>
      <c r="M1361" s="64" t="str">
        <f t="shared" si="10"/>
        <v>2023-H2</v>
      </c>
      <c r="N1361" s="65" t="s">
        <v>80</v>
      </c>
    </row>
    <row r="1362">
      <c r="I1362" s="61" t="str">
        <f t="shared" si="6"/>
        <v>2023</v>
      </c>
      <c r="J1362" s="62">
        <f t="shared" si="7"/>
        <v>10</v>
      </c>
      <c r="K1362" s="61" t="str">
        <f t="shared" si="8"/>
        <v>2023-Q4</v>
      </c>
      <c r="L1362" s="63" t="str">
        <f t="shared" si="9"/>
        <v>2023-10</v>
      </c>
      <c r="M1362" s="64" t="str">
        <f t="shared" si="10"/>
        <v>2023-H2</v>
      </c>
      <c r="N1362" s="65" t="s">
        <v>80</v>
      </c>
    </row>
    <row r="1363">
      <c r="I1363" s="61" t="str">
        <f t="shared" si="6"/>
        <v>2023</v>
      </c>
      <c r="J1363" s="62">
        <f t="shared" si="7"/>
        <v>10</v>
      </c>
      <c r="K1363" s="61" t="str">
        <f t="shared" si="8"/>
        <v>2023-Q4</v>
      </c>
      <c r="L1363" s="63" t="str">
        <f t="shared" si="9"/>
        <v>2023-10</v>
      </c>
      <c r="M1363" s="64" t="str">
        <f t="shared" si="10"/>
        <v>2023-H2</v>
      </c>
      <c r="N1363" s="65" t="s">
        <v>80</v>
      </c>
    </row>
    <row r="1364">
      <c r="I1364" s="61" t="str">
        <f t="shared" si="6"/>
        <v>2023</v>
      </c>
      <c r="J1364" s="62">
        <f t="shared" si="7"/>
        <v>10</v>
      </c>
      <c r="K1364" s="61" t="str">
        <f t="shared" si="8"/>
        <v>2023-Q4</v>
      </c>
      <c r="L1364" s="63" t="str">
        <f t="shared" si="9"/>
        <v>2023-10</v>
      </c>
      <c r="M1364" s="64" t="str">
        <f t="shared" si="10"/>
        <v>2023-H2</v>
      </c>
      <c r="N1364" s="65" t="s">
        <v>80</v>
      </c>
    </row>
    <row r="1365">
      <c r="I1365" s="61" t="str">
        <f t="shared" si="6"/>
        <v>2023</v>
      </c>
      <c r="J1365" s="62">
        <f t="shared" si="7"/>
        <v>10</v>
      </c>
      <c r="K1365" s="61" t="str">
        <f t="shared" si="8"/>
        <v>2023-Q4</v>
      </c>
      <c r="L1365" s="63" t="str">
        <f t="shared" si="9"/>
        <v>2023-10</v>
      </c>
      <c r="M1365" s="64" t="str">
        <f t="shared" si="10"/>
        <v>2023-H2</v>
      </c>
      <c r="N1365" s="65" t="s">
        <v>80</v>
      </c>
    </row>
    <row r="1366">
      <c r="I1366" s="61" t="str">
        <f t="shared" si="6"/>
        <v>2023</v>
      </c>
      <c r="J1366" s="62">
        <f t="shared" si="7"/>
        <v>10</v>
      </c>
      <c r="K1366" s="61" t="str">
        <f t="shared" si="8"/>
        <v>2023-Q4</v>
      </c>
      <c r="L1366" s="63" t="str">
        <f t="shared" si="9"/>
        <v>2023-10</v>
      </c>
      <c r="M1366" s="64" t="str">
        <f t="shared" si="10"/>
        <v>2023-H2</v>
      </c>
      <c r="N1366" s="65" t="s">
        <v>80</v>
      </c>
    </row>
    <row r="1367">
      <c r="I1367" s="61" t="str">
        <f t="shared" si="6"/>
        <v>2023</v>
      </c>
      <c r="J1367" s="62">
        <f t="shared" si="7"/>
        <v>11</v>
      </c>
      <c r="K1367" s="61" t="str">
        <f t="shared" si="8"/>
        <v>2023-Q4</v>
      </c>
      <c r="L1367" s="63" t="str">
        <f t="shared" si="9"/>
        <v>2023-11</v>
      </c>
      <c r="M1367" s="64" t="str">
        <f t="shared" si="10"/>
        <v>2023-H2</v>
      </c>
      <c r="N1367" s="65" t="s">
        <v>80</v>
      </c>
    </row>
    <row r="1368">
      <c r="I1368" s="61" t="str">
        <f t="shared" si="6"/>
        <v>2023</v>
      </c>
      <c r="J1368" s="62">
        <f t="shared" si="7"/>
        <v>11</v>
      </c>
      <c r="K1368" s="61" t="str">
        <f t="shared" si="8"/>
        <v>2023-Q4</v>
      </c>
      <c r="L1368" s="63" t="str">
        <f t="shared" si="9"/>
        <v>2023-11</v>
      </c>
      <c r="M1368" s="64" t="str">
        <f t="shared" si="10"/>
        <v>2023-H2</v>
      </c>
      <c r="N1368" s="65" t="s">
        <v>80</v>
      </c>
    </row>
    <row r="1369">
      <c r="I1369" s="61" t="str">
        <f t="shared" si="6"/>
        <v>2023</v>
      </c>
      <c r="J1369" s="62">
        <f t="shared" si="7"/>
        <v>11</v>
      </c>
      <c r="K1369" s="61" t="str">
        <f t="shared" si="8"/>
        <v>2023-Q4</v>
      </c>
      <c r="L1369" s="63" t="str">
        <f t="shared" si="9"/>
        <v>2023-11</v>
      </c>
      <c r="M1369" s="64" t="str">
        <f t="shared" si="10"/>
        <v>2023-H2</v>
      </c>
      <c r="N1369" s="65" t="s">
        <v>80</v>
      </c>
    </row>
    <row r="1370">
      <c r="I1370" s="61" t="str">
        <f t="shared" si="6"/>
        <v>2023</v>
      </c>
      <c r="J1370" s="62">
        <f t="shared" si="7"/>
        <v>11</v>
      </c>
      <c r="K1370" s="61" t="str">
        <f t="shared" si="8"/>
        <v>2023-Q4</v>
      </c>
      <c r="L1370" s="63" t="str">
        <f t="shared" si="9"/>
        <v>2023-11</v>
      </c>
      <c r="M1370" s="64" t="str">
        <f t="shared" si="10"/>
        <v>2023-H2</v>
      </c>
      <c r="N1370" s="65" t="s">
        <v>80</v>
      </c>
    </row>
    <row r="1371">
      <c r="I1371" s="61" t="str">
        <f t="shared" si="6"/>
        <v>2023</v>
      </c>
      <c r="J1371" s="62">
        <f t="shared" si="7"/>
        <v>11</v>
      </c>
      <c r="K1371" s="61" t="str">
        <f t="shared" si="8"/>
        <v>2023-Q4</v>
      </c>
      <c r="L1371" s="63" t="str">
        <f t="shared" si="9"/>
        <v>2023-11</v>
      </c>
      <c r="M1371" s="64" t="str">
        <f t="shared" si="10"/>
        <v>2023-H2</v>
      </c>
      <c r="N1371" s="65" t="s">
        <v>80</v>
      </c>
    </row>
    <row r="1372">
      <c r="I1372" s="61" t="str">
        <f t="shared" si="6"/>
        <v>2023</v>
      </c>
      <c r="J1372" s="62">
        <f t="shared" si="7"/>
        <v>11</v>
      </c>
      <c r="K1372" s="61" t="str">
        <f t="shared" si="8"/>
        <v>2023-Q4</v>
      </c>
      <c r="L1372" s="63" t="str">
        <f t="shared" si="9"/>
        <v>2023-11</v>
      </c>
      <c r="M1372" s="64" t="str">
        <f t="shared" si="10"/>
        <v>2023-H2</v>
      </c>
      <c r="N1372" s="65" t="s">
        <v>80</v>
      </c>
    </row>
    <row r="1373">
      <c r="I1373" s="61" t="str">
        <f t="shared" si="6"/>
        <v>2023</v>
      </c>
      <c r="J1373" s="62">
        <f t="shared" si="7"/>
        <v>11</v>
      </c>
      <c r="K1373" s="61" t="str">
        <f t="shared" si="8"/>
        <v>2023-Q4</v>
      </c>
      <c r="L1373" s="63" t="str">
        <f t="shared" si="9"/>
        <v>2023-11</v>
      </c>
      <c r="M1373" s="64" t="str">
        <f t="shared" si="10"/>
        <v>2023-H2</v>
      </c>
      <c r="N1373" s="65" t="s">
        <v>80</v>
      </c>
    </row>
    <row r="1374">
      <c r="I1374" s="61" t="str">
        <f t="shared" si="6"/>
        <v>2023</v>
      </c>
      <c r="J1374" s="62">
        <f t="shared" si="7"/>
        <v>11</v>
      </c>
      <c r="K1374" s="61" t="str">
        <f t="shared" si="8"/>
        <v>2023-Q4</v>
      </c>
      <c r="L1374" s="63" t="str">
        <f t="shared" si="9"/>
        <v>2023-11</v>
      </c>
      <c r="M1374" s="64" t="str">
        <f t="shared" si="10"/>
        <v>2023-H2</v>
      </c>
      <c r="N1374" s="65" t="s">
        <v>80</v>
      </c>
    </row>
    <row r="1375">
      <c r="I1375" s="61" t="str">
        <f t="shared" si="6"/>
        <v>2023</v>
      </c>
      <c r="J1375" s="62">
        <f t="shared" si="7"/>
        <v>11</v>
      </c>
      <c r="K1375" s="61" t="str">
        <f t="shared" si="8"/>
        <v>2023-Q4</v>
      </c>
      <c r="L1375" s="63" t="str">
        <f t="shared" si="9"/>
        <v>2023-11</v>
      </c>
      <c r="M1375" s="64" t="str">
        <f t="shared" si="10"/>
        <v>2023-H2</v>
      </c>
      <c r="N1375" s="65" t="s">
        <v>80</v>
      </c>
    </row>
    <row r="1376">
      <c r="I1376" s="61" t="str">
        <f t="shared" si="6"/>
        <v>2023</v>
      </c>
      <c r="J1376" s="62">
        <f t="shared" si="7"/>
        <v>11</v>
      </c>
      <c r="K1376" s="61" t="str">
        <f t="shared" si="8"/>
        <v>2023-Q4</v>
      </c>
      <c r="L1376" s="63" t="str">
        <f t="shared" si="9"/>
        <v>2023-11</v>
      </c>
      <c r="M1376" s="64" t="str">
        <f t="shared" si="10"/>
        <v>2023-H2</v>
      </c>
      <c r="N1376" s="65" t="s">
        <v>80</v>
      </c>
    </row>
    <row r="1377">
      <c r="I1377" s="61" t="str">
        <f t="shared" si="6"/>
        <v>2023</v>
      </c>
      <c r="J1377" s="62">
        <f t="shared" si="7"/>
        <v>11</v>
      </c>
      <c r="K1377" s="61" t="str">
        <f t="shared" si="8"/>
        <v>2023-Q4</v>
      </c>
      <c r="L1377" s="63" t="str">
        <f t="shared" si="9"/>
        <v>2023-11</v>
      </c>
      <c r="M1377" s="64" t="str">
        <f t="shared" si="10"/>
        <v>2023-H2</v>
      </c>
      <c r="N1377" s="65" t="s">
        <v>80</v>
      </c>
    </row>
    <row r="1378">
      <c r="I1378" s="61" t="str">
        <f t="shared" si="6"/>
        <v>2023</v>
      </c>
      <c r="J1378" s="62">
        <f t="shared" si="7"/>
        <v>11</v>
      </c>
      <c r="K1378" s="61" t="str">
        <f t="shared" si="8"/>
        <v>2023-Q4</v>
      </c>
      <c r="L1378" s="63" t="str">
        <f t="shared" si="9"/>
        <v>2023-11</v>
      </c>
      <c r="M1378" s="64" t="str">
        <f t="shared" si="10"/>
        <v>2023-H2</v>
      </c>
      <c r="N1378" s="65" t="s">
        <v>80</v>
      </c>
    </row>
    <row r="1379">
      <c r="I1379" s="61" t="str">
        <f t="shared" si="6"/>
        <v>2023</v>
      </c>
      <c r="J1379" s="62">
        <f t="shared" si="7"/>
        <v>11</v>
      </c>
      <c r="K1379" s="61" t="str">
        <f t="shared" si="8"/>
        <v>2023-Q4</v>
      </c>
      <c r="L1379" s="63" t="str">
        <f t="shared" si="9"/>
        <v>2023-11</v>
      </c>
      <c r="M1379" s="64" t="str">
        <f t="shared" si="10"/>
        <v>2023-H2</v>
      </c>
      <c r="N1379" s="65" t="s">
        <v>80</v>
      </c>
    </row>
    <row r="1380">
      <c r="I1380" s="61" t="str">
        <f t="shared" si="6"/>
        <v>2023</v>
      </c>
      <c r="J1380" s="62">
        <f t="shared" si="7"/>
        <v>11</v>
      </c>
      <c r="K1380" s="61" t="str">
        <f t="shared" si="8"/>
        <v>2023-Q4</v>
      </c>
      <c r="L1380" s="63" t="str">
        <f t="shared" si="9"/>
        <v>2023-11</v>
      </c>
      <c r="M1380" s="64" t="str">
        <f t="shared" si="10"/>
        <v>2023-H2</v>
      </c>
      <c r="N1380" s="65" t="s">
        <v>80</v>
      </c>
    </row>
    <row r="1381">
      <c r="I1381" s="61" t="str">
        <f t="shared" si="6"/>
        <v>2023</v>
      </c>
      <c r="J1381" s="62">
        <f t="shared" si="7"/>
        <v>11</v>
      </c>
      <c r="K1381" s="61" t="str">
        <f t="shared" si="8"/>
        <v>2023-Q4</v>
      </c>
      <c r="L1381" s="63" t="str">
        <f t="shared" si="9"/>
        <v>2023-11</v>
      </c>
      <c r="M1381" s="64" t="str">
        <f t="shared" si="10"/>
        <v>2023-H2</v>
      </c>
      <c r="N1381" s="65" t="s">
        <v>80</v>
      </c>
    </row>
    <row r="1382">
      <c r="I1382" s="61" t="str">
        <f t="shared" si="6"/>
        <v>2023</v>
      </c>
      <c r="J1382" s="62">
        <f t="shared" si="7"/>
        <v>11</v>
      </c>
      <c r="K1382" s="61" t="str">
        <f t="shared" si="8"/>
        <v>2023-Q4</v>
      </c>
      <c r="L1382" s="63" t="str">
        <f t="shared" si="9"/>
        <v>2023-11</v>
      </c>
      <c r="M1382" s="64" t="str">
        <f t="shared" si="10"/>
        <v>2023-H2</v>
      </c>
      <c r="N1382" s="65" t="s">
        <v>80</v>
      </c>
    </row>
    <row r="1383">
      <c r="I1383" s="61" t="str">
        <f t="shared" si="6"/>
        <v>2023</v>
      </c>
      <c r="J1383" s="62">
        <f t="shared" si="7"/>
        <v>11</v>
      </c>
      <c r="K1383" s="61" t="str">
        <f t="shared" si="8"/>
        <v>2023-Q4</v>
      </c>
      <c r="L1383" s="63" t="str">
        <f t="shared" si="9"/>
        <v>2023-11</v>
      </c>
      <c r="M1383" s="64" t="str">
        <f t="shared" si="10"/>
        <v>2023-H2</v>
      </c>
      <c r="N1383" s="65" t="s">
        <v>80</v>
      </c>
    </row>
    <row r="1384">
      <c r="I1384" s="61" t="str">
        <f t="shared" si="6"/>
        <v>2023</v>
      </c>
      <c r="J1384" s="62">
        <f t="shared" si="7"/>
        <v>11</v>
      </c>
      <c r="K1384" s="61" t="str">
        <f t="shared" si="8"/>
        <v>2023-Q4</v>
      </c>
      <c r="L1384" s="63" t="str">
        <f t="shared" si="9"/>
        <v>2023-11</v>
      </c>
      <c r="M1384" s="64" t="str">
        <f t="shared" si="10"/>
        <v>2023-H2</v>
      </c>
      <c r="N1384" s="65" t="s">
        <v>80</v>
      </c>
    </row>
    <row r="1385">
      <c r="I1385" s="61" t="str">
        <f t="shared" si="6"/>
        <v>2023</v>
      </c>
      <c r="J1385" s="62">
        <f t="shared" si="7"/>
        <v>11</v>
      </c>
      <c r="K1385" s="61" t="str">
        <f t="shared" si="8"/>
        <v>2023-Q4</v>
      </c>
      <c r="L1385" s="63" t="str">
        <f t="shared" si="9"/>
        <v>2023-11</v>
      </c>
      <c r="M1385" s="64" t="str">
        <f t="shared" si="10"/>
        <v>2023-H2</v>
      </c>
      <c r="N1385" s="65" t="s">
        <v>80</v>
      </c>
    </row>
    <row r="1386">
      <c r="I1386" s="61" t="str">
        <f t="shared" si="6"/>
        <v>2023</v>
      </c>
      <c r="J1386" s="62">
        <f t="shared" si="7"/>
        <v>11</v>
      </c>
      <c r="K1386" s="61" t="str">
        <f t="shared" si="8"/>
        <v>2023-Q4</v>
      </c>
      <c r="L1386" s="63" t="str">
        <f t="shared" si="9"/>
        <v>2023-11</v>
      </c>
      <c r="M1386" s="64" t="str">
        <f t="shared" si="10"/>
        <v>2023-H2</v>
      </c>
      <c r="N1386" s="65" t="s">
        <v>80</v>
      </c>
    </row>
    <row r="1387">
      <c r="I1387" s="61" t="str">
        <f t="shared" si="6"/>
        <v>2023</v>
      </c>
      <c r="J1387" s="62">
        <f t="shared" si="7"/>
        <v>11</v>
      </c>
      <c r="K1387" s="61" t="str">
        <f t="shared" si="8"/>
        <v>2023-Q4</v>
      </c>
      <c r="L1387" s="63" t="str">
        <f t="shared" si="9"/>
        <v>2023-11</v>
      </c>
      <c r="M1387" s="64" t="str">
        <f t="shared" si="10"/>
        <v>2023-H2</v>
      </c>
      <c r="N1387" s="65" t="s">
        <v>80</v>
      </c>
    </row>
    <row r="1388">
      <c r="I1388" s="61" t="str">
        <f t="shared" si="6"/>
        <v>2023</v>
      </c>
      <c r="J1388" s="62">
        <f t="shared" si="7"/>
        <v>11</v>
      </c>
      <c r="K1388" s="61" t="str">
        <f t="shared" si="8"/>
        <v>2023-Q4</v>
      </c>
      <c r="L1388" s="63" t="str">
        <f t="shared" si="9"/>
        <v>2023-11</v>
      </c>
      <c r="M1388" s="64" t="str">
        <f t="shared" si="10"/>
        <v>2023-H2</v>
      </c>
      <c r="N1388" s="65" t="s">
        <v>80</v>
      </c>
    </row>
    <row r="1389">
      <c r="I1389" s="61" t="str">
        <f t="shared" si="6"/>
        <v>2023</v>
      </c>
      <c r="J1389" s="62">
        <f t="shared" si="7"/>
        <v>11</v>
      </c>
      <c r="K1389" s="61" t="str">
        <f t="shared" si="8"/>
        <v>2023-Q4</v>
      </c>
      <c r="L1389" s="63" t="str">
        <f t="shared" si="9"/>
        <v>2023-11</v>
      </c>
      <c r="M1389" s="64" t="str">
        <f t="shared" si="10"/>
        <v>2023-H2</v>
      </c>
      <c r="N1389" s="65" t="s">
        <v>80</v>
      </c>
    </row>
    <row r="1390">
      <c r="I1390" s="61" t="str">
        <f t="shared" si="6"/>
        <v>2023</v>
      </c>
      <c r="J1390" s="62">
        <f t="shared" si="7"/>
        <v>11</v>
      </c>
      <c r="K1390" s="61" t="str">
        <f t="shared" si="8"/>
        <v>2023-Q4</v>
      </c>
      <c r="L1390" s="63" t="str">
        <f t="shared" si="9"/>
        <v>2023-11</v>
      </c>
      <c r="M1390" s="64" t="str">
        <f t="shared" si="10"/>
        <v>2023-H2</v>
      </c>
      <c r="N1390" s="65" t="s">
        <v>80</v>
      </c>
    </row>
    <row r="1391">
      <c r="I1391" s="61" t="str">
        <f t="shared" si="6"/>
        <v>2023</v>
      </c>
      <c r="J1391" s="62">
        <f t="shared" si="7"/>
        <v>11</v>
      </c>
      <c r="K1391" s="61" t="str">
        <f t="shared" si="8"/>
        <v>2023-Q4</v>
      </c>
      <c r="L1391" s="63" t="str">
        <f t="shared" si="9"/>
        <v>2023-11</v>
      </c>
      <c r="M1391" s="64" t="str">
        <f t="shared" si="10"/>
        <v>2023-H2</v>
      </c>
      <c r="N1391" s="65" t="s">
        <v>80</v>
      </c>
    </row>
    <row r="1392">
      <c r="I1392" s="61" t="str">
        <f t="shared" si="6"/>
        <v>2023</v>
      </c>
      <c r="J1392" s="62">
        <f t="shared" si="7"/>
        <v>11</v>
      </c>
      <c r="K1392" s="61" t="str">
        <f t="shared" si="8"/>
        <v>2023-Q4</v>
      </c>
      <c r="L1392" s="63" t="str">
        <f t="shared" si="9"/>
        <v>2023-11</v>
      </c>
      <c r="M1392" s="64" t="str">
        <f t="shared" si="10"/>
        <v>2023-H2</v>
      </c>
      <c r="N1392" s="65" t="s">
        <v>80</v>
      </c>
    </row>
    <row r="1393">
      <c r="I1393" s="61" t="str">
        <f t="shared" si="6"/>
        <v>2023</v>
      </c>
      <c r="J1393" s="62">
        <f t="shared" si="7"/>
        <v>11</v>
      </c>
      <c r="K1393" s="61" t="str">
        <f t="shared" si="8"/>
        <v>2023-Q4</v>
      </c>
      <c r="L1393" s="63" t="str">
        <f t="shared" si="9"/>
        <v>2023-11</v>
      </c>
      <c r="M1393" s="64" t="str">
        <f t="shared" si="10"/>
        <v>2023-H2</v>
      </c>
      <c r="N1393" s="65" t="s">
        <v>80</v>
      </c>
    </row>
    <row r="1394">
      <c r="I1394" s="61" t="str">
        <f t="shared" si="6"/>
        <v>2023</v>
      </c>
      <c r="J1394" s="62">
        <f t="shared" si="7"/>
        <v>11</v>
      </c>
      <c r="K1394" s="61" t="str">
        <f t="shared" si="8"/>
        <v>2023-Q4</v>
      </c>
      <c r="L1394" s="63" t="str">
        <f t="shared" si="9"/>
        <v>2023-11</v>
      </c>
      <c r="M1394" s="64" t="str">
        <f t="shared" si="10"/>
        <v>2023-H2</v>
      </c>
      <c r="N1394" s="65" t="s">
        <v>80</v>
      </c>
    </row>
    <row r="1395">
      <c r="I1395" s="61" t="str">
        <f t="shared" si="6"/>
        <v>2023</v>
      </c>
      <c r="J1395" s="62">
        <f t="shared" si="7"/>
        <v>11</v>
      </c>
      <c r="K1395" s="61" t="str">
        <f t="shared" si="8"/>
        <v>2023-Q4</v>
      </c>
      <c r="L1395" s="63" t="str">
        <f t="shared" si="9"/>
        <v>2023-11</v>
      </c>
      <c r="M1395" s="64" t="str">
        <f t="shared" si="10"/>
        <v>2023-H2</v>
      </c>
      <c r="N1395" s="65" t="s">
        <v>80</v>
      </c>
    </row>
    <row r="1396">
      <c r="I1396" s="61" t="str">
        <f t="shared" si="6"/>
        <v>2023</v>
      </c>
      <c r="J1396" s="62">
        <f t="shared" si="7"/>
        <v>11</v>
      </c>
      <c r="K1396" s="61" t="str">
        <f t="shared" si="8"/>
        <v>2023-Q4</v>
      </c>
      <c r="L1396" s="63" t="str">
        <f t="shared" si="9"/>
        <v>2023-11</v>
      </c>
      <c r="M1396" s="64" t="str">
        <f t="shared" si="10"/>
        <v>2023-H2</v>
      </c>
      <c r="N1396" s="65" t="s">
        <v>80</v>
      </c>
    </row>
    <row r="1397">
      <c r="I1397" s="61" t="str">
        <f t="shared" si="6"/>
        <v>2023</v>
      </c>
      <c r="J1397" s="62">
        <f t="shared" si="7"/>
        <v>11</v>
      </c>
      <c r="K1397" s="61" t="str">
        <f t="shared" si="8"/>
        <v>2023-Q4</v>
      </c>
      <c r="L1397" s="63" t="str">
        <f t="shared" si="9"/>
        <v>2023-11</v>
      </c>
      <c r="M1397" s="64" t="str">
        <f t="shared" si="10"/>
        <v>2023-H2</v>
      </c>
      <c r="N1397" s="65" t="s">
        <v>80</v>
      </c>
    </row>
    <row r="1398">
      <c r="I1398" s="61" t="str">
        <f t="shared" si="6"/>
        <v>2023</v>
      </c>
      <c r="J1398" s="62">
        <f t="shared" si="7"/>
        <v>11</v>
      </c>
      <c r="K1398" s="61" t="str">
        <f t="shared" si="8"/>
        <v>2023-Q4</v>
      </c>
      <c r="L1398" s="63" t="str">
        <f t="shared" si="9"/>
        <v>2023-11</v>
      </c>
      <c r="M1398" s="64" t="str">
        <f t="shared" si="10"/>
        <v>2023-H2</v>
      </c>
      <c r="N1398" s="65" t="s">
        <v>80</v>
      </c>
    </row>
    <row r="1399">
      <c r="I1399" s="61" t="str">
        <f t="shared" si="6"/>
        <v>2023</v>
      </c>
      <c r="J1399" s="62">
        <f t="shared" si="7"/>
        <v>11</v>
      </c>
      <c r="K1399" s="61" t="str">
        <f t="shared" si="8"/>
        <v>2023-Q4</v>
      </c>
      <c r="L1399" s="63" t="str">
        <f t="shared" si="9"/>
        <v>2023-11</v>
      </c>
      <c r="M1399" s="64" t="str">
        <f t="shared" si="10"/>
        <v>2023-H2</v>
      </c>
      <c r="N1399" s="65" t="s">
        <v>80</v>
      </c>
    </row>
    <row r="1400">
      <c r="I1400" s="61" t="str">
        <f t="shared" si="6"/>
        <v>2023</v>
      </c>
      <c r="J1400" s="62">
        <f t="shared" si="7"/>
        <v>11</v>
      </c>
      <c r="K1400" s="61" t="str">
        <f t="shared" si="8"/>
        <v>2023-Q4</v>
      </c>
      <c r="L1400" s="63" t="str">
        <f t="shared" si="9"/>
        <v>2023-11</v>
      </c>
      <c r="M1400" s="64" t="str">
        <f t="shared" si="10"/>
        <v>2023-H2</v>
      </c>
      <c r="N1400" s="65" t="s">
        <v>80</v>
      </c>
    </row>
    <row r="1401">
      <c r="I1401" s="61" t="str">
        <f t="shared" si="6"/>
        <v>2023</v>
      </c>
      <c r="J1401" s="62">
        <f t="shared" si="7"/>
        <v>11</v>
      </c>
      <c r="K1401" s="61" t="str">
        <f t="shared" si="8"/>
        <v>2023-Q4</v>
      </c>
      <c r="L1401" s="63" t="str">
        <f t="shared" si="9"/>
        <v>2023-11</v>
      </c>
      <c r="M1401" s="64" t="str">
        <f t="shared" si="10"/>
        <v>2023-H2</v>
      </c>
      <c r="N1401" s="65" t="s">
        <v>80</v>
      </c>
    </row>
    <row r="1402">
      <c r="I1402" s="61" t="str">
        <f t="shared" si="6"/>
        <v>2023</v>
      </c>
      <c r="J1402" s="62">
        <f t="shared" si="7"/>
        <v>11</v>
      </c>
      <c r="K1402" s="61" t="str">
        <f t="shared" si="8"/>
        <v>2023-Q4</v>
      </c>
      <c r="L1402" s="63" t="str">
        <f t="shared" si="9"/>
        <v>2023-11</v>
      </c>
      <c r="M1402" s="64" t="str">
        <f t="shared" si="10"/>
        <v>2023-H2</v>
      </c>
      <c r="N1402" s="65" t="s">
        <v>80</v>
      </c>
    </row>
    <row r="1403">
      <c r="I1403" s="61" t="str">
        <f t="shared" si="6"/>
        <v>2023</v>
      </c>
      <c r="J1403" s="62">
        <f t="shared" si="7"/>
        <v>11</v>
      </c>
      <c r="K1403" s="61" t="str">
        <f t="shared" si="8"/>
        <v>2023-Q4</v>
      </c>
      <c r="L1403" s="63" t="str">
        <f t="shared" si="9"/>
        <v>2023-11</v>
      </c>
      <c r="M1403" s="64" t="str">
        <f t="shared" si="10"/>
        <v>2023-H2</v>
      </c>
      <c r="N1403" s="65" t="s">
        <v>80</v>
      </c>
    </row>
    <row r="1404">
      <c r="I1404" s="61" t="str">
        <f t="shared" si="6"/>
        <v>2023</v>
      </c>
      <c r="J1404" s="62">
        <f t="shared" si="7"/>
        <v>11</v>
      </c>
      <c r="K1404" s="61" t="str">
        <f t="shared" si="8"/>
        <v>2023-Q4</v>
      </c>
      <c r="L1404" s="63" t="str">
        <f t="shared" si="9"/>
        <v>2023-11</v>
      </c>
      <c r="M1404" s="64" t="str">
        <f t="shared" si="10"/>
        <v>2023-H2</v>
      </c>
      <c r="N1404" s="65" t="s">
        <v>80</v>
      </c>
    </row>
    <row r="1405">
      <c r="I1405" s="61" t="str">
        <f t="shared" si="6"/>
        <v>2023</v>
      </c>
      <c r="J1405" s="62">
        <f t="shared" si="7"/>
        <v>12</v>
      </c>
      <c r="K1405" s="61" t="str">
        <f t="shared" si="8"/>
        <v>2023-Q4</v>
      </c>
      <c r="L1405" s="63" t="str">
        <f t="shared" si="9"/>
        <v>2023-12</v>
      </c>
      <c r="M1405" s="64" t="str">
        <f t="shared" si="10"/>
        <v>2023-H2</v>
      </c>
      <c r="N1405" s="65" t="s">
        <v>80</v>
      </c>
    </row>
    <row r="1406">
      <c r="I1406" s="61" t="str">
        <f t="shared" si="6"/>
        <v>2023</v>
      </c>
      <c r="J1406" s="62">
        <f t="shared" si="7"/>
        <v>12</v>
      </c>
      <c r="K1406" s="61" t="str">
        <f t="shared" si="8"/>
        <v>2023-Q4</v>
      </c>
      <c r="L1406" s="63" t="str">
        <f t="shared" si="9"/>
        <v>2023-12</v>
      </c>
      <c r="M1406" s="64" t="str">
        <f t="shared" si="10"/>
        <v>2023-H2</v>
      </c>
      <c r="N1406" s="65" t="s">
        <v>80</v>
      </c>
    </row>
    <row r="1407">
      <c r="I1407" s="61" t="str">
        <f t="shared" si="6"/>
        <v>2023</v>
      </c>
      <c r="J1407" s="62">
        <f t="shared" si="7"/>
        <v>12</v>
      </c>
      <c r="K1407" s="61" t="str">
        <f t="shared" si="8"/>
        <v>2023-Q4</v>
      </c>
      <c r="L1407" s="63" t="str">
        <f t="shared" si="9"/>
        <v>2023-12</v>
      </c>
      <c r="M1407" s="64" t="str">
        <f t="shared" si="10"/>
        <v>2023-H2</v>
      </c>
      <c r="N1407" s="65" t="s">
        <v>80</v>
      </c>
    </row>
    <row r="1408">
      <c r="I1408" s="61" t="str">
        <f t="shared" si="6"/>
        <v>2023</v>
      </c>
      <c r="J1408" s="62">
        <f t="shared" si="7"/>
        <v>12</v>
      </c>
      <c r="K1408" s="61" t="str">
        <f t="shared" si="8"/>
        <v>2023-Q4</v>
      </c>
      <c r="L1408" s="63" t="str">
        <f t="shared" si="9"/>
        <v>2023-12</v>
      </c>
      <c r="M1408" s="64" t="str">
        <f t="shared" si="10"/>
        <v>2023-H2</v>
      </c>
      <c r="N1408" s="65" t="s">
        <v>80</v>
      </c>
    </row>
    <row r="1409">
      <c r="I1409" s="61" t="str">
        <f t="shared" si="6"/>
        <v>2023</v>
      </c>
      <c r="J1409" s="62">
        <f t="shared" si="7"/>
        <v>12</v>
      </c>
      <c r="K1409" s="61" t="str">
        <f t="shared" si="8"/>
        <v>2023-Q4</v>
      </c>
      <c r="L1409" s="63" t="str">
        <f t="shared" si="9"/>
        <v>2023-12</v>
      </c>
      <c r="M1409" s="64" t="str">
        <f t="shared" si="10"/>
        <v>2023-H2</v>
      </c>
      <c r="N1409" s="65" t="s">
        <v>80</v>
      </c>
    </row>
    <row r="1410">
      <c r="I1410" s="61" t="str">
        <f t="shared" si="6"/>
        <v>2023</v>
      </c>
      <c r="J1410" s="62">
        <f t="shared" si="7"/>
        <v>12</v>
      </c>
      <c r="K1410" s="61" t="str">
        <f t="shared" si="8"/>
        <v>2023-Q4</v>
      </c>
      <c r="L1410" s="63" t="str">
        <f t="shared" si="9"/>
        <v>2023-12</v>
      </c>
      <c r="M1410" s="64" t="str">
        <f t="shared" si="10"/>
        <v>2023-H2</v>
      </c>
      <c r="N1410" s="65" t="s">
        <v>80</v>
      </c>
    </row>
    <row r="1411">
      <c r="I1411" s="61" t="str">
        <f t="shared" si="6"/>
        <v>2023</v>
      </c>
      <c r="J1411" s="62">
        <f t="shared" si="7"/>
        <v>12</v>
      </c>
      <c r="K1411" s="61" t="str">
        <f t="shared" si="8"/>
        <v>2023-Q4</v>
      </c>
      <c r="L1411" s="63" t="str">
        <f t="shared" si="9"/>
        <v>2023-12</v>
      </c>
      <c r="M1411" s="64" t="str">
        <f t="shared" si="10"/>
        <v>2023-H2</v>
      </c>
      <c r="N1411" s="65" t="s">
        <v>80</v>
      </c>
    </row>
    <row r="1412">
      <c r="I1412" s="61" t="str">
        <f t="shared" si="6"/>
        <v>2023</v>
      </c>
      <c r="J1412" s="62">
        <f t="shared" si="7"/>
        <v>12</v>
      </c>
      <c r="K1412" s="61" t="str">
        <f t="shared" si="8"/>
        <v>2023-Q4</v>
      </c>
      <c r="L1412" s="63" t="str">
        <f t="shared" si="9"/>
        <v>2023-12</v>
      </c>
      <c r="M1412" s="64" t="str">
        <f t="shared" si="10"/>
        <v>2023-H2</v>
      </c>
      <c r="N1412" s="65" t="s">
        <v>80</v>
      </c>
    </row>
    <row r="1413">
      <c r="I1413" s="61" t="str">
        <f t="shared" si="6"/>
        <v>2023</v>
      </c>
      <c r="J1413" s="62">
        <f t="shared" si="7"/>
        <v>12</v>
      </c>
      <c r="K1413" s="61" t="str">
        <f t="shared" si="8"/>
        <v>2023-Q4</v>
      </c>
      <c r="L1413" s="63" t="str">
        <f t="shared" si="9"/>
        <v>2023-12</v>
      </c>
      <c r="M1413" s="64" t="str">
        <f t="shared" si="10"/>
        <v>2023-H2</v>
      </c>
      <c r="N1413" s="65" t="s">
        <v>80</v>
      </c>
    </row>
    <row r="1414">
      <c r="I1414" s="61" t="str">
        <f t="shared" si="6"/>
        <v>2023</v>
      </c>
      <c r="J1414" s="62">
        <f t="shared" si="7"/>
        <v>12</v>
      </c>
      <c r="K1414" s="61" t="str">
        <f t="shared" si="8"/>
        <v>2023-Q4</v>
      </c>
      <c r="L1414" s="63" t="str">
        <f t="shared" si="9"/>
        <v>2023-12</v>
      </c>
      <c r="M1414" s="64" t="str">
        <f t="shared" si="10"/>
        <v>2023-H2</v>
      </c>
      <c r="N1414" s="65" t="s">
        <v>80</v>
      </c>
    </row>
    <row r="1415">
      <c r="I1415" s="61" t="str">
        <f t="shared" si="6"/>
        <v>2023</v>
      </c>
      <c r="J1415" s="62">
        <f t="shared" si="7"/>
        <v>12</v>
      </c>
      <c r="K1415" s="61" t="str">
        <f t="shared" si="8"/>
        <v>2023-Q4</v>
      </c>
      <c r="L1415" s="63" t="str">
        <f t="shared" si="9"/>
        <v>2023-12</v>
      </c>
      <c r="M1415" s="64" t="str">
        <f t="shared" si="10"/>
        <v>2023-H2</v>
      </c>
      <c r="N1415" s="65" t="s">
        <v>80</v>
      </c>
    </row>
    <row r="1416">
      <c r="I1416" s="61" t="str">
        <f t="shared" si="6"/>
        <v>2023</v>
      </c>
      <c r="J1416" s="62">
        <f t="shared" si="7"/>
        <v>12</v>
      </c>
      <c r="K1416" s="61" t="str">
        <f t="shared" si="8"/>
        <v>2023-Q4</v>
      </c>
      <c r="L1416" s="63" t="str">
        <f t="shared" si="9"/>
        <v>2023-12</v>
      </c>
      <c r="M1416" s="64" t="str">
        <f t="shared" si="10"/>
        <v>2023-H2</v>
      </c>
      <c r="N1416" s="65" t="s">
        <v>80</v>
      </c>
    </row>
    <row r="1417">
      <c r="I1417" s="61" t="str">
        <f t="shared" si="6"/>
        <v>2023</v>
      </c>
      <c r="J1417" s="62">
        <f t="shared" si="7"/>
        <v>12</v>
      </c>
      <c r="K1417" s="61" t="str">
        <f t="shared" si="8"/>
        <v>2023-Q4</v>
      </c>
      <c r="L1417" s="63" t="str">
        <f t="shared" si="9"/>
        <v>2023-12</v>
      </c>
      <c r="M1417" s="64" t="str">
        <f t="shared" si="10"/>
        <v>2023-H2</v>
      </c>
      <c r="N1417" s="65" t="s">
        <v>80</v>
      </c>
    </row>
    <row r="1418">
      <c r="I1418" s="61" t="str">
        <f t="shared" si="6"/>
        <v>2023</v>
      </c>
      <c r="J1418" s="62">
        <f t="shared" si="7"/>
        <v>12</v>
      </c>
      <c r="K1418" s="61" t="str">
        <f t="shared" si="8"/>
        <v>2023-Q4</v>
      </c>
      <c r="L1418" s="63" t="str">
        <f t="shared" si="9"/>
        <v>2023-12</v>
      </c>
      <c r="M1418" s="64" t="str">
        <f t="shared" si="10"/>
        <v>2023-H2</v>
      </c>
      <c r="N1418" s="65" t="s">
        <v>80</v>
      </c>
    </row>
    <row r="1419">
      <c r="I1419" s="61" t="str">
        <f t="shared" si="6"/>
        <v>2023</v>
      </c>
      <c r="J1419" s="62">
        <f t="shared" si="7"/>
        <v>12</v>
      </c>
      <c r="K1419" s="61" t="str">
        <f t="shared" si="8"/>
        <v>2023-Q4</v>
      </c>
      <c r="L1419" s="63" t="str">
        <f t="shared" si="9"/>
        <v>2023-12</v>
      </c>
      <c r="M1419" s="64" t="str">
        <f t="shared" si="10"/>
        <v>2023-H2</v>
      </c>
      <c r="N1419" s="65" t="s">
        <v>80</v>
      </c>
    </row>
    <row r="1420">
      <c r="I1420" s="61" t="str">
        <f t="shared" si="6"/>
        <v>2023</v>
      </c>
      <c r="J1420" s="62">
        <f t="shared" si="7"/>
        <v>12</v>
      </c>
      <c r="K1420" s="61" t="str">
        <f t="shared" si="8"/>
        <v>2023-Q4</v>
      </c>
      <c r="L1420" s="63" t="str">
        <f t="shared" si="9"/>
        <v>2023-12</v>
      </c>
      <c r="M1420" s="64" t="str">
        <f t="shared" si="10"/>
        <v>2023-H2</v>
      </c>
      <c r="N1420" s="65" t="s">
        <v>80</v>
      </c>
    </row>
    <row r="1421">
      <c r="I1421" s="61" t="str">
        <f t="shared" si="6"/>
        <v>2023</v>
      </c>
      <c r="J1421" s="62">
        <f t="shared" si="7"/>
        <v>12</v>
      </c>
      <c r="K1421" s="61" t="str">
        <f t="shared" si="8"/>
        <v>2023-Q4</v>
      </c>
      <c r="L1421" s="63" t="str">
        <f t="shared" si="9"/>
        <v>2023-12</v>
      </c>
      <c r="M1421" s="64" t="str">
        <f t="shared" si="10"/>
        <v>2023-H2</v>
      </c>
      <c r="N1421" s="65" t="s">
        <v>80</v>
      </c>
    </row>
    <row r="1422">
      <c r="I1422" s="61" t="str">
        <f t="shared" si="6"/>
        <v>2023</v>
      </c>
      <c r="J1422" s="62">
        <f t="shared" si="7"/>
        <v>12</v>
      </c>
      <c r="K1422" s="61" t="str">
        <f t="shared" si="8"/>
        <v>2023-Q4</v>
      </c>
      <c r="L1422" s="63" t="str">
        <f t="shared" si="9"/>
        <v>2023-12</v>
      </c>
      <c r="M1422" s="64" t="str">
        <f t="shared" si="10"/>
        <v>2023-H2</v>
      </c>
      <c r="N1422" s="65" t="s">
        <v>80</v>
      </c>
    </row>
    <row r="1423">
      <c r="I1423" s="61" t="str">
        <f t="shared" si="6"/>
        <v>2023</v>
      </c>
      <c r="J1423" s="62">
        <f t="shared" si="7"/>
        <v>12</v>
      </c>
      <c r="K1423" s="61" t="str">
        <f t="shared" si="8"/>
        <v>2023-Q4</v>
      </c>
      <c r="L1423" s="63" t="str">
        <f t="shared" si="9"/>
        <v>2023-12</v>
      </c>
      <c r="M1423" s="64" t="str">
        <f t="shared" si="10"/>
        <v>2023-H2</v>
      </c>
      <c r="N1423" s="65" t="s">
        <v>80</v>
      </c>
    </row>
    <row r="1424">
      <c r="I1424" s="61" t="str">
        <f t="shared" si="6"/>
        <v>2023</v>
      </c>
      <c r="J1424" s="62">
        <f t="shared" si="7"/>
        <v>12</v>
      </c>
      <c r="K1424" s="61" t="str">
        <f t="shared" si="8"/>
        <v>2023-Q4</v>
      </c>
      <c r="L1424" s="63" t="str">
        <f t="shared" si="9"/>
        <v>2023-12</v>
      </c>
      <c r="M1424" s="64" t="str">
        <f t="shared" si="10"/>
        <v>2023-H2</v>
      </c>
      <c r="N1424" s="65" t="s">
        <v>80</v>
      </c>
    </row>
    <row r="1425">
      <c r="I1425" s="61" t="str">
        <f t="shared" si="6"/>
        <v>2023</v>
      </c>
      <c r="J1425" s="62">
        <f t="shared" si="7"/>
        <v>12</v>
      </c>
      <c r="K1425" s="61" t="str">
        <f t="shared" si="8"/>
        <v>2023-Q4</v>
      </c>
      <c r="L1425" s="63" t="str">
        <f t="shared" si="9"/>
        <v>2023-12</v>
      </c>
      <c r="M1425" s="64" t="str">
        <f t="shared" si="10"/>
        <v>2023-H2</v>
      </c>
      <c r="N1425" s="65" t="s">
        <v>80</v>
      </c>
    </row>
    <row r="1426">
      <c r="I1426" s="61" t="str">
        <f t="shared" si="6"/>
        <v>2023</v>
      </c>
      <c r="J1426" s="62">
        <f t="shared" si="7"/>
        <v>12</v>
      </c>
      <c r="K1426" s="61" t="str">
        <f t="shared" si="8"/>
        <v>2023-Q4</v>
      </c>
      <c r="L1426" s="63" t="str">
        <f t="shared" si="9"/>
        <v>2023-12</v>
      </c>
      <c r="M1426" s="64" t="str">
        <f t="shared" si="10"/>
        <v>2023-H2</v>
      </c>
      <c r="N1426" s="65" t="s">
        <v>80</v>
      </c>
    </row>
    <row r="1427">
      <c r="I1427" s="61" t="str">
        <f t="shared" si="6"/>
        <v>2023</v>
      </c>
      <c r="J1427" s="62">
        <f t="shared" si="7"/>
        <v>12</v>
      </c>
      <c r="K1427" s="61" t="str">
        <f t="shared" si="8"/>
        <v>2023-Q4</v>
      </c>
      <c r="L1427" s="63" t="str">
        <f t="shared" si="9"/>
        <v>2023-12</v>
      </c>
      <c r="M1427" s="64" t="str">
        <f t="shared" si="10"/>
        <v>2023-H2</v>
      </c>
      <c r="N1427" s="65" t="s">
        <v>80</v>
      </c>
    </row>
    <row r="1428">
      <c r="I1428" s="61" t="str">
        <f t="shared" si="6"/>
        <v>2023</v>
      </c>
      <c r="J1428" s="62">
        <f t="shared" si="7"/>
        <v>12</v>
      </c>
      <c r="K1428" s="61" t="str">
        <f t="shared" si="8"/>
        <v>2023-Q4</v>
      </c>
      <c r="L1428" s="63" t="str">
        <f t="shared" si="9"/>
        <v>2023-12</v>
      </c>
      <c r="M1428" s="64" t="str">
        <f t="shared" si="10"/>
        <v>2023-H2</v>
      </c>
      <c r="N1428" s="65" t="s">
        <v>80</v>
      </c>
    </row>
    <row r="1429">
      <c r="I1429" s="61" t="str">
        <f t="shared" si="6"/>
        <v>2023</v>
      </c>
      <c r="J1429" s="62">
        <f t="shared" si="7"/>
        <v>12</v>
      </c>
      <c r="K1429" s="61" t="str">
        <f t="shared" si="8"/>
        <v>2023-Q4</v>
      </c>
      <c r="L1429" s="63" t="str">
        <f t="shared" si="9"/>
        <v>2023-12</v>
      </c>
      <c r="M1429" s="64" t="str">
        <f t="shared" si="10"/>
        <v>2023-H2</v>
      </c>
      <c r="N1429" s="65" t="s">
        <v>80</v>
      </c>
    </row>
    <row r="1430">
      <c r="I1430" s="61" t="str">
        <f t="shared" si="6"/>
        <v>2023</v>
      </c>
      <c r="J1430" s="62">
        <f t="shared" si="7"/>
        <v>12</v>
      </c>
      <c r="K1430" s="61" t="str">
        <f t="shared" si="8"/>
        <v>2023-Q4</v>
      </c>
      <c r="L1430" s="63" t="str">
        <f t="shared" si="9"/>
        <v>2023-12</v>
      </c>
      <c r="M1430" s="64" t="str">
        <f t="shared" si="10"/>
        <v>2023-H2</v>
      </c>
      <c r="N1430" s="65" t="s">
        <v>80</v>
      </c>
    </row>
    <row r="1431">
      <c r="I1431" s="61" t="str">
        <f t="shared" si="6"/>
        <v>2023</v>
      </c>
      <c r="J1431" s="62">
        <f t="shared" si="7"/>
        <v>12</v>
      </c>
      <c r="K1431" s="61" t="str">
        <f t="shared" si="8"/>
        <v>2023-Q4</v>
      </c>
      <c r="L1431" s="63" t="str">
        <f t="shared" si="9"/>
        <v>2023-12</v>
      </c>
      <c r="M1431" s="64" t="str">
        <f t="shared" si="10"/>
        <v>2023-H2</v>
      </c>
      <c r="N1431" s="65" t="s">
        <v>80</v>
      </c>
    </row>
    <row r="1432">
      <c r="I1432" s="61" t="str">
        <f t="shared" si="6"/>
        <v>2023</v>
      </c>
      <c r="J1432" s="62">
        <f t="shared" si="7"/>
        <v>12</v>
      </c>
      <c r="K1432" s="61" t="str">
        <f t="shared" si="8"/>
        <v>2023-Q4</v>
      </c>
      <c r="L1432" s="63" t="str">
        <f t="shared" si="9"/>
        <v>2023-12</v>
      </c>
      <c r="M1432" s="64" t="str">
        <f t="shared" si="10"/>
        <v>2023-H2</v>
      </c>
      <c r="N1432" s="65" t="s">
        <v>80</v>
      </c>
    </row>
    <row r="1433">
      <c r="I1433" s="61" t="str">
        <f t="shared" si="6"/>
        <v>2023</v>
      </c>
      <c r="J1433" s="62">
        <f t="shared" si="7"/>
        <v>12</v>
      </c>
      <c r="K1433" s="61" t="str">
        <f t="shared" si="8"/>
        <v>2023-Q4</v>
      </c>
      <c r="L1433" s="63" t="str">
        <f t="shared" si="9"/>
        <v>2023-12</v>
      </c>
      <c r="M1433" s="64" t="str">
        <f t="shared" si="10"/>
        <v>2023-H2</v>
      </c>
      <c r="N1433" s="65" t="s">
        <v>80</v>
      </c>
    </row>
    <row r="1434">
      <c r="I1434" s="61" t="str">
        <f t="shared" si="6"/>
        <v>2023</v>
      </c>
      <c r="J1434" s="62">
        <f t="shared" si="7"/>
        <v>12</v>
      </c>
      <c r="K1434" s="61" t="str">
        <f t="shared" si="8"/>
        <v>2023-Q4</v>
      </c>
      <c r="L1434" s="63" t="str">
        <f t="shared" si="9"/>
        <v>2023-12</v>
      </c>
      <c r="M1434" s="64" t="str">
        <f t="shared" si="10"/>
        <v>2023-H2</v>
      </c>
      <c r="N1434" s="65" t="s">
        <v>80</v>
      </c>
    </row>
    <row r="1435">
      <c r="I1435" s="61" t="str">
        <f t="shared" si="6"/>
        <v>2023</v>
      </c>
      <c r="J1435" s="62">
        <f t="shared" si="7"/>
        <v>12</v>
      </c>
      <c r="K1435" s="61" t="str">
        <f t="shared" si="8"/>
        <v>2023-Q4</v>
      </c>
      <c r="L1435" s="63" t="str">
        <f t="shared" si="9"/>
        <v>2023-12</v>
      </c>
      <c r="M1435" s="64" t="str">
        <f t="shared" si="10"/>
        <v>2023-H2</v>
      </c>
      <c r="N1435" s="65" t="s">
        <v>80</v>
      </c>
    </row>
    <row r="1436">
      <c r="I1436" s="61" t="str">
        <f t="shared" si="6"/>
        <v>2023</v>
      </c>
      <c r="J1436" s="62">
        <f t="shared" si="7"/>
        <v>12</v>
      </c>
      <c r="K1436" s="61" t="str">
        <f t="shared" si="8"/>
        <v>2023-Q4</v>
      </c>
      <c r="L1436" s="63" t="str">
        <f t="shared" si="9"/>
        <v>2023-12</v>
      </c>
      <c r="M1436" s="64" t="str">
        <f t="shared" si="10"/>
        <v>2023-H2</v>
      </c>
      <c r="N1436" s="65" t="s">
        <v>80</v>
      </c>
    </row>
    <row r="1437">
      <c r="I1437" s="61" t="str">
        <f t="shared" si="6"/>
        <v>2023</v>
      </c>
      <c r="J1437" s="62">
        <f t="shared" si="7"/>
        <v>12</v>
      </c>
      <c r="K1437" s="61" t="str">
        <f t="shared" si="8"/>
        <v>2023-Q4</v>
      </c>
      <c r="L1437" s="63" t="str">
        <f t="shared" si="9"/>
        <v>2023-12</v>
      </c>
      <c r="M1437" s="64" t="str">
        <f t="shared" si="10"/>
        <v>2023-H2</v>
      </c>
      <c r="N1437" s="65" t="s">
        <v>80</v>
      </c>
    </row>
    <row r="1438">
      <c r="I1438" s="61" t="str">
        <f t="shared" si="6"/>
        <v>2024</v>
      </c>
      <c r="J1438" s="62">
        <f t="shared" si="7"/>
        <v>1</v>
      </c>
      <c r="K1438" s="61" t="str">
        <f t="shared" si="8"/>
        <v>2024-Q1</v>
      </c>
      <c r="L1438" s="63" t="str">
        <f t="shared" si="9"/>
        <v>2024-01</v>
      </c>
      <c r="M1438" s="64" t="str">
        <f t="shared" si="10"/>
        <v>2024-H1</v>
      </c>
      <c r="N1438" s="65" t="s">
        <v>80</v>
      </c>
    </row>
    <row r="1439">
      <c r="I1439" s="61" t="str">
        <f t="shared" si="6"/>
        <v>2023</v>
      </c>
      <c r="J1439" s="62">
        <f t="shared" si="7"/>
        <v>12</v>
      </c>
      <c r="K1439" s="61" t="str">
        <f t="shared" si="8"/>
        <v>2023-Q4</v>
      </c>
      <c r="L1439" s="63" t="str">
        <f t="shared" si="9"/>
        <v>2023-12</v>
      </c>
      <c r="M1439" s="64" t="str">
        <f t="shared" si="10"/>
        <v>2023-H2</v>
      </c>
      <c r="N1439" s="65" t="s">
        <v>80</v>
      </c>
    </row>
    <row r="1440">
      <c r="I1440" s="61" t="str">
        <f t="shared" si="6"/>
        <v>2024</v>
      </c>
      <c r="J1440" s="62">
        <f t="shared" si="7"/>
        <v>1</v>
      </c>
      <c r="K1440" s="61" t="str">
        <f t="shared" si="8"/>
        <v>2024-Q1</v>
      </c>
      <c r="L1440" s="63" t="str">
        <f t="shared" si="9"/>
        <v>2024-01</v>
      </c>
      <c r="M1440" s="64" t="str">
        <f t="shared" si="10"/>
        <v>2024-H1</v>
      </c>
      <c r="N1440" s="65" t="s">
        <v>80</v>
      </c>
    </row>
    <row r="1441">
      <c r="I1441" s="61" t="str">
        <f t="shared" si="6"/>
        <v>2023</v>
      </c>
      <c r="J1441" s="62">
        <f t="shared" si="7"/>
        <v>12</v>
      </c>
      <c r="K1441" s="61" t="str">
        <f t="shared" si="8"/>
        <v>2023-Q4</v>
      </c>
      <c r="L1441" s="63" t="str">
        <f t="shared" si="9"/>
        <v>2023-12</v>
      </c>
      <c r="M1441" s="64" t="str">
        <f t="shared" si="10"/>
        <v>2023-H2</v>
      </c>
      <c r="N1441" s="65" t="s">
        <v>80</v>
      </c>
    </row>
    <row r="1442">
      <c r="I1442" s="61" t="str">
        <f t="shared" si="6"/>
        <v>2023</v>
      </c>
      <c r="J1442" s="62">
        <f t="shared" si="7"/>
        <v>12</v>
      </c>
      <c r="K1442" s="61" t="str">
        <f t="shared" si="8"/>
        <v>2023-Q4</v>
      </c>
      <c r="L1442" s="63" t="str">
        <f t="shared" si="9"/>
        <v>2023-12</v>
      </c>
      <c r="M1442" s="64" t="str">
        <f t="shared" si="10"/>
        <v>2023-H2</v>
      </c>
      <c r="N1442" s="65" t="s">
        <v>80</v>
      </c>
    </row>
    <row r="1443">
      <c r="I1443" s="61" t="str">
        <f t="shared" si="6"/>
        <v>2024</v>
      </c>
      <c r="J1443" s="62">
        <f t="shared" si="7"/>
        <v>1</v>
      </c>
      <c r="K1443" s="61" t="str">
        <f t="shared" si="8"/>
        <v>2024-Q1</v>
      </c>
      <c r="L1443" s="63" t="str">
        <f t="shared" si="9"/>
        <v>2024-01</v>
      </c>
      <c r="M1443" s="64" t="str">
        <f t="shared" si="10"/>
        <v>2024-H1</v>
      </c>
      <c r="N1443" s="65" t="s">
        <v>80</v>
      </c>
    </row>
    <row r="1444">
      <c r="I1444" s="61" t="str">
        <f t="shared" si="6"/>
        <v>2024</v>
      </c>
      <c r="J1444" s="62">
        <f t="shared" si="7"/>
        <v>1</v>
      </c>
      <c r="K1444" s="61" t="str">
        <f t="shared" si="8"/>
        <v>2024-Q1</v>
      </c>
      <c r="L1444" s="63" t="str">
        <f t="shared" si="9"/>
        <v>2024-01</v>
      </c>
      <c r="M1444" s="64" t="str">
        <f t="shared" si="10"/>
        <v>2024-H1</v>
      </c>
      <c r="N1444" s="65" t="s">
        <v>80</v>
      </c>
    </row>
    <row r="1445">
      <c r="I1445" s="61" t="str">
        <f t="shared" si="6"/>
        <v>2024</v>
      </c>
      <c r="J1445" s="62">
        <f t="shared" si="7"/>
        <v>1</v>
      </c>
      <c r="K1445" s="61" t="str">
        <f t="shared" si="8"/>
        <v>2024-Q1</v>
      </c>
      <c r="L1445" s="63" t="str">
        <f t="shared" si="9"/>
        <v>2024-01</v>
      </c>
      <c r="M1445" s="64" t="str">
        <f t="shared" si="10"/>
        <v>2024-H1</v>
      </c>
      <c r="N1445" s="65" t="s">
        <v>80</v>
      </c>
    </row>
    <row r="1446">
      <c r="I1446" s="61" t="str">
        <f t="shared" si="6"/>
        <v>2024</v>
      </c>
      <c r="J1446" s="62">
        <f t="shared" si="7"/>
        <v>1</v>
      </c>
      <c r="K1446" s="61" t="str">
        <f t="shared" si="8"/>
        <v>2024-Q1</v>
      </c>
      <c r="L1446" s="63" t="str">
        <f t="shared" si="9"/>
        <v>2024-01</v>
      </c>
      <c r="M1446" s="64" t="str">
        <f t="shared" si="10"/>
        <v>2024-H1</v>
      </c>
      <c r="N1446" s="65" t="s">
        <v>80</v>
      </c>
    </row>
    <row r="1447">
      <c r="I1447" s="61" t="str">
        <f t="shared" si="6"/>
        <v>2024</v>
      </c>
      <c r="J1447" s="62">
        <f t="shared" si="7"/>
        <v>1</v>
      </c>
      <c r="K1447" s="61" t="str">
        <f t="shared" si="8"/>
        <v>2024-Q1</v>
      </c>
      <c r="L1447" s="63" t="str">
        <f t="shared" si="9"/>
        <v>2024-01</v>
      </c>
      <c r="M1447" s="64" t="str">
        <f t="shared" si="10"/>
        <v>2024-H1</v>
      </c>
      <c r="N1447" s="65" t="s">
        <v>80</v>
      </c>
    </row>
    <row r="1448">
      <c r="I1448" s="61" t="str">
        <f t="shared" si="6"/>
        <v>2024</v>
      </c>
      <c r="J1448" s="62">
        <f t="shared" si="7"/>
        <v>1</v>
      </c>
      <c r="K1448" s="61" t="str">
        <f t="shared" si="8"/>
        <v>2024-Q1</v>
      </c>
      <c r="L1448" s="63" t="str">
        <f t="shared" si="9"/>
        <v>2024-01</v>
      </c>
      <c r="M1448" s="64" t="str">
        <f t="shared" si="10"/>
        <v>2024-H1</v>
      </c>
      <c r="N1448" s="65" t="s">
        <v>80</v>
      </c>
    </row>
    <row r="1449">
      <c r="I1449" s="61" t="str">
        <f t="shared" si="6"/>
        <v>2024</v>
      </c>
      <c r="J1449" s="62">
        <f t="shared" si="7"/>
        <v>1</v>
      </c>
      <c r="K1449" s="61" t="str">
        <f t="shared" si="8"/>
        <v>2024-Q1</v>
      </c>
      <c r="L1449" s="63" t="str">
        <f t="shared" si="9"/>
        <v>2024-01</v>
      </c>
      <c r="M1449" s="64" t="str">
        <f t="shared" si="10"/>
        <v>2024-H1</v>
      </c>
      <c r="N1449" s="65" t="s">
        <v>80</v>
      </c>
    </row>
    <row r="1450">
      <c r="I1450" s="61" t="str">
        <f t="shared" si="6"/>
        <v>2023</v>
      </c>
      <c r="J1450" s="62">
        <f t="shared" si="7"/>
        <v>12</v>
      </c>
      <c r="K1450" s="61" t="str">
        <f t="shared" si="8"/>
        <v>2023-Q4</v>
      </c>
      <c r="L1450" s="63" t="str">
        <f t="shared" si="9"/>
        <v>2023-12</v>
      </c>
      <c r="M1450" s="64" t="str">
        <f t="shared" si="10"/>
        <v>2023-H2</v>
      </c>
      <c r="N1450" s="65" t="s">
        <v>80</v>
      </c>
    </row>
    <row r="1451">
      <c r="I1451" s="61" t="str">
        <f t="shared" si="6"/>
        <v>2023</v>
      </c>
      <c r="J1451" s="62">
        <f t="shared" si="7"/>
        <v>12</v>
      </c>
      <c r="K1451" s="61" t="str">
        <f t="shared" si="8"/>
        <v>2023-Q4</v>
      </c>
      <c r="L1451" s="63" t="str">
        <f t="shared" si="9"/>
        <v>2023-12</v>
      </c>
      <c r="M1451" s="64" t="str">
        <f t="shared" si="10"/>
        <v>2023-H2</v>
      </c>
      <c r="N1451" s="65" t="s">
        <v>80</v>
      </c>
    </row>
    <row r="1452">
      <c r="I1452" s="61" t="str">
        <f t="shared" si="6"/>
        <v>2023</v>
      </c>
      <c r="J1452" s="62">
        <f t="shared" si="7"/>
        <v>12</v>
      </c>
      <c r="K1452" s="61" t="str">
        <f t="shared" si="8"/>
        <v>2023-Q4</v>
      </c>
      <c r="L1452" s="63" t="str">
        <f t="shared" si="9"/>
        <v>2023-12</v>
      </c>
      <c r="M1452" s="64" t="str">
        <f t="shared" si="10"/>
        <v>2023-H2</v>
      </c>
      <c r="N1452" s="65" t="s">
        <v>80</v>
      </c>
    </row>
    <row r="1453">
      <c r="I1453" s="61" t="str">
        <f t="shared" si="6"/>
        <v>2024</v>
      </c>
      <c r="J1453" s="62">
        <f t="shared" si="7"/>
        <v>1</v>
      </c>
      <c r="K1453" s="61" t="str">
        <f t="shared" si="8"/>
        <v>2024-Q1</v>
      </c>
      <c r="L1453" s="63" t="str">
        <f t="shared" si="9"/>
        <v>2024-01</v>
      </c>
      <c r="M1453" s="64" t="str">
        <f t="shared" si="10"/>
        <v>2024-H1</v>
      </c>
      <c r="N1453" s="65" t="s">
        <v>80</v>
      </c>
    </row>
    <row r="1454">
      <c r="I1454" s="61" t="str">
        <f t="shared" si="6"/>
        <v>2024</v>
      </c>
      <c r="J1454" s="62">
        <f t="shared" si="7"/>
        <v>1</v>
      </c>
      <c r="K1454" s="61" t="str">
        <f t="shared" si="8"/>
        <v>2024-Q1</v>
      </c>
      <c r="L1454" s="63" t="str">
        <f t="shared" si="9"/>
        <v>2024-01</v>
      </c>
      <c r="M1454" s="64" t="str">
        <f t="shared" si="10"/>
        <v>2024-H1</v>
      </c>
      <c r="N1454" s="65" t="s">
        <v>80</v>
      </c>
    </row>
    <row r="1455">
      <c r="I1455" s="61" t="str">
        <f t="shared" si="6"/>
        <v>2024</v>
      </c>
      <c r="J1455" s="62">
        <f t="shared" si="7"/>
        <v>1</v>
      </c>
      <c r="K1455" s="61" t="str">
        <f t="shared" si="8"/>
        <v>2024-Q1</v>
      </c>
      <c r="L1455" s="63" t="str">
        <f t="shared" si="9"/>
        <v>2024-01</v>
      </c>
      <c r="M1455" s="64" t="str">
        <f t="shared" si="10"/>
        <v>2024-H1</v>
      </c>
      <c r="N1455" s="65" t="s">
        <v>80</v>
      </c>
    </row>
    <row r="1456">
      <c r="I1456" s="61" t="str">
        <f t="shared" si="6"/>
        <v>2024</v>
      </c>
      <c r="J1456" s="62">
        <f t="shared" si="7"/>
        <v>1</v>
      </c>
      <c r="K1456" s="61" t="str">
        <f t="shared" si="8"/>
        <v>2024-Q1</v>
      </c>
      <c r="L1456" s="63" t="str">
        <f t="shared" si="9"/>
        <v>2024-01</v>
      </c>
      <c r="M1456" s="64" t="str">
        <f t="shared" si="10"/>
        <v>2024-H1</v>
      </c>
      <c r="N1456" s="65" t="s">
        <v>80</v>
      </c>
    </row>
    <row r="1457">
      <c r="I1457" s="61" t="str">
        <f t="shared" si="6"/>
        <v>2024</v>
      </c>
      <c r="J1457" s="62">
        <f t="shared" si="7"/>
        <v>1</v>
      </c>
      <c r="K1457" s="61" t="str">
        <f t="shared" si="8"/>
        <v>2024-Q1</v>
      </c>
      <c r="L1457" s="63" t="str">
        <f t="shared" si="9"/>
        <v>2024-01</v>
      </c>
      <c r="M1457" s="64" t="str">
        <f t="shared" si="10"/>
        <v>2024-H1</v>
      </c>
      <c r="N1457" s="65" t="s">
        <v>80</v>
      </c>
    </row>
    <row r="1458">
      <c r="I1458" s="61" t="str">
        <f t="shared" si="6"/>
        <v>2024</v>
      </c>
      <c r="J1458" s="62">
        <f t="shared" si="7"/>
        <v>1</v>
      </c>
      <c r="K1458" s="61" t="str">
        <f t="shared" si="8"/>
        <v>2024-Q1</v>
      </c>
      <c r="L1458" s="63" t="str">
        <f t="shared" si="9"/>
        <v>2024-01</v>
      </c>
      <c r="M1458" s="64" t="str">
        <f t="shared" si="10"/>
        <v>2024-H1</v>
      </c>
      <c r="N1458" s="65" t="s">
        <v>80</v>
      </c>
    </row>
    <row r="1459">
      <c r="I1459" s="61" t="str">
        <f t="shared" si="6"/>
        <v>2024</v>
      </c>
      <c r="J1459" s="62">
        <f t="shared" si="7"/>
        <v>1</v>
      </c>
      <c r="K1459" s="61" t="str">
        <f t="shared" si="8"/>
        <v>2024-Q1</v>
      </c>
      <c r="L1459" s="63" t="str">
        <f t="shared" si="9"/>
        <v>2024-01</v>
      </c>
      <c r="M1459" s="64" t="str">
        <f t="shared" si="10"/>
        <v>2024-H1</v>
      </c>
      <c r="N1459" s="65" t="s">
        <v>80</v>
      </c>
    </row>
    <row r="1460">
      <c r="I1460" s="61" t="str">
        <f t="shared" si="6"/>
        <v>2024</v>
      </c>
      <c r="J1460" s="62">
        <f t="shared" si="7"/>
        <v>1</v>
      </c>
      <c r="K1460" s="61" t="str">
        <f t="shared" si="8"/>
        <v>2024-Q1</v>
      </c>
      <c r="L1460" s="63" t="str">
        <f t="shared" si="9"/>
        <v>2024-01</v>
      </c>
      <c r="M1460" s="64" t="str">
        <f t="shared" si="10"/>
        <v>2024-H1</v>
      </c>
      <c r="N1460" s="65" t="s">
        <v>80</v>
      </c>
    </row>
    <row r="1461">
      <c r="I1461" s="61" t="str">
        <f t="shared" si="6"/>
        <v>2024</v>
      </c>
      <c r="J1461" s="62">
        <f t="shared" si="7"/>
        <v>1</v>
      </c>
      <c r="K1461" s="61" t="str">
        <f t="shared" si="8"/>
        <v>2024-Q1</v>
      </c>
      <c r="L1461" s="63" t="str">
        <f t="shared" si="9"/>
        <v>2024-01</v>
      </c>
      <c r="M1461" s="64" t="str">
        <f t="shared" si="10"/>
        <v>2024-H1</v>
      </c>
      <c r="N1461" s="65" t="s">
        <v>80</v>
      </c>
    </row>
    <row r="1462">
      <c r="I1462" s="61" t="str">
        <f t="shared" si="6"/>
        <v>2024</v>
      </c>
      <c r="J1462" s="62">
        <f t="shared" si="7"/>
        <v>1</v>
      </c>
      <c r="K1462" s="61" t="str">
        <f t="shared" si="8"/>
        <v>2024-Q1</v>
      </c>
      <c r="L1462" s="63" t="str">
        <f t="shared" si="9"/>
        <v>2024-01</v>
      </c>
      <c r="M1462" s="64" t="str">
        <f t="shared" si="10"/>
        <v>2024-H1</v>
      </c>
      <c r="N1462" s="65" t="s">
        <v>80</v>
      </c>
    </row>
    <row r="1463">
      <c r="I1463" s="61" t="str">
        <f t="shared" si="6"/>
        <v>2024</v>
      </c>
      <c r="J1463" s="62">
        <f t="shared" si="7"/>
        <v>1</v>
      </c>
      <c r="K1463" s="61" t="str">
        <f t="shared" si="8"/>
        <v>2024-Q1</v>
      </c>
      <c r="L1463" s="63" t="str">
        <f t="shared" si="9"/>
        <v>2024-01</v>
      </c>
      <c r="M1463" s="64" t="str">
        <f t="shared" si="10"/>
        <v>2024-H1</v>
      </c>
      <c r="N1463" s="65" t="s">
        <v>80</v>
      </c>
    </row>
    <row r="1464">
      <c r="I1464" s="61" t="str">
        <f t="shared" si="6"/>
        <v>2024</v>
      </c>
      <c r="J1464" s="62">
        <f t="shared" si="7"/>
        <v>1</v>
      </c>
      <c r="K1464" s="61" t="str">
        <f t="shared" si="8"/>
        <v>2024-Q1</v>
      </c>
      <c r="L1464" s="63" t="str">
        <f t="shared" si="9"/>
        <v>2024-01</v>
      </c>
      <c r="M1464" s="64" t="str">
        <f t="shared" si="10"/>
        <v>2024-H1</v>
      </c>
      <c r="N1464" s="65" t="s">
        <v>80</v>
      </c>
    </row>
    <row r="1465">
      <c r="I1465" s="61" t="str">
        <f t="shared" si="6"/>
        <v>2024</v>
      </c>
      <c r="J1465" s="62">
        <f t="shared" si="7"/>
        <v>1</v>
      </c>
      <c r="K1465" s="61" t="str">
        <f t="shared" si="8"/>
        <v>2024-Q1</v>
      </c>
      <c r="L1465" s="63" t="str">
        <f t="shared" si="9"/>
        <v>2024-01</v>
      </c>
      <c r="M1465" s="64" t="str">
        <f t="shared" si="10"/>
        <v>2024-H1</v>
      </c>
      <c r="N1465" s="65" t="s">
        <v>80</v>
      </c>
    </row>
    <row r="1466">
      <c r="I1466" s="61" t="str">
        <f t="shared" si="6"/>
        <v>2024</v>
      </c>
      <c r="J1466" s="62">
        <f t="shared" si="7"/>
        <v>1</v>
      </c>
      <c r="K1466" s="61" t="str">
        <f t="shared" si="8"/>
        <v>2024-Q1</v>
      </c>
      <c r="L1466" s="63" t="str">
        <f t="shared" si="9"/>
        <v>2024-01</v>
      </c>
      <c r="M1466" s="64" t="str">
        <f t="shared" si="10"/>
        <v>2024-H1</v>
      </c>
      <c r="N1466" s="65" t="s">
        <v>80</v>
      </c>
    </row>
    <row r="1467">
      <c r="I1467" s="61" t="str">
        <f t="shared" si="6"/>
        <v>2024</v>
      </c>
      <c r="J1467" s="62">
        <f t="shared" si="7"/>
        <v>2</v>
      </c>
      <c r="K1467" s="61" t="str">
        <f t="shared" si="8"/>
        <v>2024-Q1</v>
      </c>
      <c r="L1467" s="63" t="str">
        <f t="shared" si="9"/>
        <v>2024-02</v>
      </c>
      <c r="M1467" s="64" t="str">
        <f t="shared" si="10"/>
        <v>2024-H1</v>
      </c>
      <c r="N1467" s="65" t="s">
        <v>80</v>
      </c>
    </row>
    <row r="1468">
      <c r="I1468" s="61" t="str">
        <f t="shared" si="6"/>
        <v>2024</v>
      </c>
      <c r="J1468" s="62">
        <f t="shared" si="7"/>
        <v>1</v>
      </c>
      <c r="K1468" s="61" t="str">
        <f t="shared" si="8"/>
        <v>2024-Q1</v>
      </c>
      <c r="L1468" s="63" t="str">
        <f t="shared" si="9"/>
        <v>2024-01</v>
      </c>
      <c r="M1468" s="64" t="str">
        <f t="shared" si="10"/>
        <v>2024-H1</v>
      </c>
      <c r="N1468" s="65" t="s">
        <v>80</v>
      </c>
    </row>
    <row r="1469">
      <c r="I1469" s="61" t="str">
        <f t="shared" si="6"/>
        <v>2024</v>
      </c>
      <c r="J1469" s="62">
        <f t="shared" si="7"/>
        <v>1</v>
      </c>
      <c r="K1469" s="61" t="str">
        <f t="shared" si="8"/>
        <v>2024-Q1</v>
      </c>
      <c r="L1469" s="63" t="str">
        <f t="shared" si="9"/>
        <v>2024-01</v>
      </c>
      <c r="M1469" s="64" t="str">
        <f t="shared" si="10"/>
        <v>2024-H1</v>
      </c>
      <c r="N1469" s="65" t="s">
        <v>80</v>
      </c>
    </row>
    <row r="1470">
      <c r="I1470" s="61" t="str">
        <f t="shared" si="6"/>
        <v>2024</v>
      </c>
      <c r="J1470" s="62">
        <f t="shared" si="7"/>
        <v>1</v>
      </c>
      <c r="K1470" s="61" t="str">
        <f t="shared" si="8"/>
        <v>2024-Q1</v>
      </c>
      <c r="L1470" s="63" t="str">
        <f t="shared" si="9"/>
        <v>2024-01</v>
      </c>
      <c r="M1470" s="64" t="str">
        <f t="shared" si="10"/>
        <v>2024-H1</v>
      </c>
      <c r="N1470" s="65" t="s">
        <v>80</v>
      </c>
    </row>
    <row r="1471">
      <c r="I1471" s="61" t="str">
        <f t="shared" si="6"/>
        <v>2024</v>
      </c>
      <c r="J1471" s="62">
        <f t="shared" si="7"/>
        <v>1</v>
      </c>
      <c r="K1471" s="61" t="str">
        <f t="shared" si="8"/>
        <v>2024-Q1</v>
      </c>
      <c r="L1471" s="63" t="str">
        <f t="shared" si="9"/>
        <v>2024-01</v>
      </c>
      <c r="M1471" s="64" t="str">
        <f t="shared" si="10"/>
        <v>2024-H1</v>
      </c>
      <c r="N1471" s="65" t="s">
        <v>80</v>
      </c>
    </row>
    <row r="1472">
      <c r="I1472" s="61" t="str">
        <f t="shared" si="6"/>
        <v>2024</v>
      </c>
      <c r="J1472" s="62">
        <f t="shared" si="7"/>
        <v>1</v>
      </c>
      <c r="K1472" s="61" t="str">
        <f t="shared" si="8"/>
        <v>2024-Q1</v>
      </c>
      <c r="L1472" s="63" t="str">
        <f t="shared" si="9"/>
        <v>2024-01</v>
      </c>
      <c r="M1472" s="64" t="str">
        <f t="shared" si="10"/>
        <v>2024-H1</v>
      </c>
      <c r="N1472" s="65" t="s">
        <v>80</v>
      </c>
    </row>
    <row r="1473">
      <c r="I1473" s="61" t="str">
        <f t="shared" si="6"/>
        <v>2024</v>
      </c>
      <c r="J1473" s="62">
        <f t="shared" si="7"/>
        <v>1</v>
      </c>
      <c r="K1473" s="61" t="str">
        <f t="shared" si="8"/>
        <v>2024-Q1</v>
      </c>
      <c r="L1473" s="63" t="str">
        <f t="shared" si="9"/>
        <v>2024-01</v>
      </c>
      <c r="M1473" s="64" t="str">
        <f t="shared" si="10"/>
        <v>2024-H1</v>
      </c>
      <c r="N1473" s="65" t="s">
        <v>80</v>
      </c>
    </row>
    <row r="1474">
      <c r="I1474" s="61" t="str">
        <f t="shared" si="6"/>
        <v>2024</v>
      </c>
      <c r="J1474" s="62">
        <f t="shared" si="7"/>
        <v>1</v>
      </c>
      <c r="K1474" s="61" t="str">
        <f t="shared" si="8"/>
        <v>2024-Q1</v>
      </c>
      <c r="L1474" s="63" t="str">
        <f t="shared" si="9"/>
        <v>2024-01</v>
      </c>
      <c r="M1474" s="64" t="str">
        <f t="shared" si="10"/>
        <v>2024-H1</v>
      </c>
      <c r="N1474" s="65" t="s">
        <v>80</v>
      </c>
    </row>
    <row r="1475">
      <c r="I1475" s="61" t="str">
        <f t="shared" si="6"/>
        <v>2024</v>
      </c>
      <c r="J1475" s="62">
        <f t="shared" si="7"/>
        <v>1</v>
      </c>
      <c r="K1475" s="61" t="str">
        <f t="shared" si="8"/>
        <v>2024-Q1</v>
      </c>
      <c r="L1475" s="63" t="str">
        <f t="shared" si="9"/>
        <v>2024-01</v>
      </c>
      <c r="M1475" s="64" t="str">
        <f t="shared" si="10"/>
        <v>2024-H1</v>
      </c>
      <c r="N1475" s="65" t="s">
        <v>80</v>
      </c>
    </row>
    <row r="1476">
      <c r="I1476" s="61" t="str">
        <f t="shared" si="6"/>
        <v>2024</v>
      </c>
      <c r="J1476" s="62">
        <f t="shared" si="7"/>
        <v>1</v>
      </c>
      <c r="K1476" s="61" t="str">
        <f t="shared" si="8"/>
        <v>2024-Q1</v>
      </c>
      <c r="L1476" s="63" t="str">
        <f t="shared" si="9"/>
        <v>2024-01</v>
      </c>
      <c r="M1476" s="64" t="str">
        <f t="shared" si="10"/>
        <v>2024-H1</v>
      </c>
      <c r="N1476" s="65" t="s">
        <v>80</v>
      </c>
    </row>
    <row r="1477">
      <c r="I1477" s="61" t="str">
        <f t="shared" si="6"/>
        <v>2024</v>
      </c>
      <c r="J1477" s="62">
        <f t="shared" si="7"/>
        <v>1</v>
      </c>
      <c r="K1477" s="61" t="str">
        <f t="shared" si="8"/>
        <v>2024-Q1</v>
      </c>
      <c r="L1477" s="63" t="str">
        <f t="shared" si="9"/>
        <v>2024-01</v>
      </c>
      <c r="M1477" s="64" t="str">
        <f t="shared" si="10"/>
        <v>2024-H1</v>
      </c>
      <c r="N1477" s="65" t="s">
        <v>80</v>
      </c>
    </row>
    <row r="1478">
      <c r="I1478" s="61" t="str">
        <f t="shared" si="6"/>
        <v>2024</v>
      </c>
      <c r="J1478" s="62">
        <f t="shared" si="7"/>
        <v>1</v>
      </c>
      <c r="K1478" s="61" t="str">
        <f t="shared" si="8"/>
        <v>2024-Q1</v>
      </c>
      <c r="L1478" s="63" t="str">
        <f t="shared" si="9"/>
        <v>2024-01</v>
      </c>
      <c r="M1478" s="64" t="str">
        <f t="shared" si="10"/>
        <v>2024-H1</v>
      </c>
      <c r="N1478" s="65" t="s">
        <v>80</v>
      </c>
    </row>
    <row r="1479">
      <c r="I1479" s="61" t="str">
        <f t="shared" si="6"/>
        <v>2024</v>
      </c>
      <c r="J1479" s="62">
        <f t="shared" si="7"/>
        <v>1</v>
      </c>
      <c r="K1479" s="61" t="str">
        <f t="shared" si="8"/>
        <v>2024-Q1</v>
      </c>
      <c r="L1479" s="63" t="str">
        <f t="shared" si="9"/>
        <v>2024-01</v>
      </c>
      <c r="M1479" s="64" t="str">
        <f t="shared" si="10"/>
        <v>2024-H1</v>
      </c>
      <c r="N1479" s="65" t="s">
        <v>80</v>
      </c>
    </row>
    <row r="1480">
      <c r="I1480" s="61" t="str">
        <f t="shared" si="6"/>
        <v>2024</v>
      </c>
      <c r="J1480" s="62">
        <f t="shared" si="7"/>
        <v>1</v>
      </c>
      <c r="K1480" s="61" t="str">
        <f t="shared" si="8"/>
        <v>2024-Q1</v>
      </c>
      <c r="L1480" s="63" t="str">
        <f t="shared" si="9"/>
        <v>2024-01</v>
      </c>
      <c r="M1480" s="64" t="str">
        <f t="shared" si="10"/>
        <v>2024-H1</v>
      </c>
      <c r="N1480" s="65" t="s">
        <v>80</v>
      </c>
    </row>
    <row r="1481">
      <c r="I1481" s="61" t="str">
        <f t="shared" si="6"/>
        <v>2024</v>
      </c>
      <c r="J1481" s="62">
        <f t="shared" si="7"/>
        <v>1</v>
      </c>
      <c r="K1481" s="61" t="str">
        <f t="shared" si="8"/>
        <v>2024-Q1</v>
      </c>
      <c r="L1481" s="63" t="str">
        <f t="shared" si="9"/>
        <v>2024-01</v>
      </c>
      <c r="M1481" s="64" t="str">
        <f t="shared" si="10"/>
        <v>2024-H1</v>
      </c>
      <c r="N1481" s="65" t="s">
        <v>80</v>
      </c>
    </row>
    <row r="1482">
      <c r="I1482" s="61" t="str">
        <f t="shared" si="6"/>
        <v>2024</v>
      </c>
      <c r="J1482" s="62">
        <f t="shared" si="7"/>
        <v>1</v>
      </c>
      <c r="K1482" s="61" t="str">
        <f t="shared" si="8"/>
        <v>2024-Q1</v>
      </c>
      <c r="L1482" s="63" t="str">
        <f t="shared" si="9"/>
        <v>2024-01</v>
      </c>
      <c r="M1482" s="64" t="str">
        <f t="shared" si="10"/>
        <v>2024-H1</v>
      </c>
      <c r="N1482" s="65" t="s">
        <v>80</v>
      </c>
    </row>
    <row r="1483">
      <c r="I1483" s="61" t="str">
        <f t="shared" si="6"/>
        <v>2024</v>
      </c>
      <c r="J1483" s="62">
        <f t="shared" si="7"/>
        <v>1</v>
      </c>
      <c r="K1483" s="61" t="str">
        <f t="shared" si="8"/>
        <v>2024-Q1</v>
      </c>
      <c r="L1483" s="63" t="str">
        <f t="shared" si="9"/>
        <v>2024-01</v>
      </c>
      <c r="M1483" s="64" t="str">
        <f t="shared" si="10"/>
        <v>2024-H1</v>
      </c>
      <c r="N1483" s="65" t="s">
        <v>80</v>
      </c>
    </row>
    <row r="1484">
      <c r="I1484" s="61" t="str">
        <f t="shared" si="6"/>
        <v>2024</v>
      </c>
      <c r="J1484" s="62">
        <f t="shared" si="7"/>
        <v>1</v>
      </c>
      <c r="K1484" s="61" t="str">
        <f t="shared" si="8"/>
        <v>2024-Q1</v>
      </c>
      <c r="L1484" s="63" t="str">
        <f t="shared" si="9"/>
        <v>2024-01</v>
      </c>
      <c r="M1484" s="64" t="str">
        <f t="shared" si="10"/>
        <v>2024-H1</v>
      </c>
      <c r="N1484" s="65" t="s">
        <v>80</v>
      </c>
    </row>
    <row r="1485">
      <c r="I1485" s="61" t="str">
        <f t="shared" si="6"/>
        <v>2024</v>
      </c>
      <c r="J1485" s="62">
        <f t="shared" si="7"/>
        <v>1</v>
      </c>
      <c r="K1485" s="61" t="str">
        <f t="shared" si="8"/>
        <v>2024-Q1</v>
      </c>
      <c r="L1485" s="63" t="str">
        <f t="shared" si="9"/>
        <v>2024-01</v>
      </c>
      <c r="M1485" s="64" t="str">
        <f t="shared" si="10"/>
        <v>2024-H1</v>
      </c>
      <c r="N1485" s="65" t="s">
        <v>80</v>
      </c>
    </row>
    <row r="1486">
      <c r="I1486" s="61" t="str">
        <f t="shared" si="6"/>
        <v>2024</v>
      </c>
      <c r="J1486" s="62">
        <f t="shared" si="7"/>
        <v>1</v>
      </c>
      <c r="K1486" s="61" t="str">
        <f t="shared" si="8"/>
        <v>2024-Q1</v>
      </c>
      <c r="L1486" s="63" t="str">
        <f t="shared" si="9"/>
        <v>2024-01</v>
      </c>
      <c r="M1486" s="64" t="str">
        <f t="shared" si="10"/>
        <v>2024-H1</v>
      </c>
      <c r="N1486" s="65" t="s">
        <v>80</v>
      </c>
    </row>
    <row r="1487">
      <c r="I1487" s="61" t="str">
        <f t="shared" si="6"/>
        <v>2024</v>
      </c>
      <c r="J1487" s="62">
        <f t="shared" si="7"/>
        <v>2</v>
      </c>
      <c r="K1487" s="61" t="str">
        <f t="shared" si="8"/>
        <v>2024-Q1</v>
      </c>
      <c r="L1487" s="63" t="str">
        <f t="shared" si="9"/>
        <v>2024-02</v>
      </c>
      <c r="M1487" s="64" t="str">
        <f t="shared" si="10"/>
        <v>2024-H1</v>
      </c>
      <c r="N1487" s="65" t="s">
        <v>80</v>
      </c>
    </row>
    <row r="1488">
      <c r="I1488" s="61" t="str">
        <f t="shared" si="6"/>
        <v>2024</v>
      </c>
      <c r="J1488" s="62">
        <f t="shared" si="7"/>
        <v>1</v>
      </c>
      <c r="K1488" s="61" t="str">
        <f t="shared" si="8"/>
        <v>2024-Q1</v>
      </c>
      <c r="L1488" s="63" t="str">
        <f t="shared" si="9"/>
        <v>2024-01</v>
      </c>
      <c r="M1488" s="64" t="str">
        <f t="shared" si="10"/>
        <v>2024-H1</v>
      </c>
      <c r="N1488" s="65" t="s">
        <v>80</v>
      </c>
    </row>
    <row r="1489">
      <c r="I1489" s="61" t="str">
        <f t="shared" si="6"/>
        <v>2024</v>
      </c>
      <c r="J1489" s="62">
        <f t="shared" si="7"/>
        <v>1</v>
      </c>
      <c r="K1489" s="61" t="str">
        <f t="shared" si="8"/>
        <v>2024-Q1</v>
      </c>
      <c r="L1489" s="63" t="str">
        <f t="shared" si="9"/>
        <v>2024-01</v>
      </c>
      <c r="M1489" s="64" t="str">
        <f t="shared" si="10"/>
        <v>2024-H1</v>
      </c>
      <c r="N1489" s="65" t="s">
        <v>80</v>
      </c>
    </row>
    <row r="1490">
      <c r="I1490" s="61" t="str">
        <f t="shared" si="6"/>
        <v>2024</v>
      </c>
      <c r="J1490" s="62">
        <f t="shared" si="7"/>
        <v>1</v>
      </c>
      <c r="K1490" s="61" t="str">
        <f t="shared" si="8"/>
        <v>2024-Q1</v>
      </c>
      <c r="L1490" s="63" t="str">
        <f t="shared" si="9"/>
        <v>2024-01</v>
      </c>
      <c r="M1490" s="64" t="str">
        <f t="shared" si="10"/>
        <v>2024-H1</v>
      </c>
      <c r="N1490" s="65" t="s">
        <v>80</v>
      </c>
    </row>
    <row r="1491">
      <c r="I1491" s="61" t="str">
        <f t="shared" si="6"/>
        <v>2024</v>
      </c>
      <c r="J1491" s="62">
        <f t="shared" si="7"/>
        <v>3</v>
      </c>
      <c r="K1491" s="61" t="str">
        <f t="shared" si="8"/>
        <v>2024-Q1</v>
      </c>
      <c r="L1491" s="63" t="str">
        <f t="shared" si="9"/>
        <v>2024-03</v>
      </c>
      <c r="M1491" s="64" t="str">
        <f t="shared" si="10"/>
        <v>2024-H1</v>
      </c>
      <c r="N1491" s="65" t="s">
        <v>80</v>
      </c>
    </row>
    <row r="1492">
      <c r="I1492" s="61" t="str">
        <f t="shared" si="6"/>
        <v>2024</v>
      </c>
      <c r="J1492" s="62">
        <f t="shared" si="7"/>
        <v>1</v>
      </c>
      <c r="K1492" s="61" t="str">
        <f t="shared" si="8"/>
        <v>2024-Q1</v>
      </c>
      <c r="L1492" s="63" t="str">
        <f t="shared" si="9"/>
        <v>2024-01</v>
      </c>
      <c r="M1492" s="64" t="str">
        <f t="shared" si="10"/>
        <v>2024-H1</v>
      </c>
      <c r="N1492" s="65" t="s">
        <v>80</v>
      </c>
    </row>
    <row r="1493">
      <c r="I1493" s="61" t="str">
        <f t="shared" si="6"/>
        <v>2024</v>
      </c>
      <c r="J1493" s="62">
        <f t="shared" si="7"/>
        <v>1</v>
      </c>
      <c r="K1493" s="61" t="str">
        <f t="shared" si="8"/>
        <v>2024-Q1</v>
      </c>
      <c r="L1493" s="63" t="str">
        <f t="shared" si="9"/>
        <v>2024-01</v>
      </c>
      <c r="M1493" s="64" t="str">
        <f t="shared" si="10"/>
        <v>2024-H1</v>
      </c>
      <c r="N1493" s="65" t="s">
        <v>80</v>
      </c>
    </row>
    <row r="1494">
      <c r="I1494" s="61" t="str">
        <f t="shared" si="6"/>
        <v>2024</v>
      </c>
      <c r="J1494" s="62">
        <f t="shared" si="7"/>
        <v>1</v>
      </c>
      <c r="K1494" s="61" t="str">
        <f t="shared" si="8"/>
        <v>2024-Q1</v>
      </c>
      <c r="L1494" s="63" t="str">
        <f t="shared" si="9"/>
        <v>2024-01</v>
      </c>
      <c r="M1494" s="64" t="str">
        <f t="shared" si="10"/>
        <v>2024-H1</v>
      </c>
      <c r="N1494" s="65" t="s">
        <v>80</v>
      </c>
    </row>
    <row r="1495">
      <c r="I1495" s="61" t="str">
        <f t="shared" si="6"/>
        <v>2024</v>
      </c>
      <c r="J1495" s="62">
        <f t="shared" si="7"/>
        <v>1</v>
      </c>
      <c r="K1495" s="61" t="str">
        <f t="shared" si="8"/>
        <v>2024-Q1</v>
      </c>
      <c r="L1495" s="63" t="str">
        <f t="shared" si="9"/>
        <v>2024-01</v>
      </c>
      <c r="M1495" s="64" t="str">
        <f t="shared" si="10"/>
        <v>2024-H1</v>
      </c>
      <c r="N1495" s="65" t="s">
        <v>80</v>
      </c>
    </row>
    <row r="1496">
      <c r="I1496" s="61" t="str">
        <f t="shared" si="6"/>
        <v>2024</v>
      </c>
      <c r="J1496" s="62">
        <f t="shared" si="7"/>
        <v>1</v>
      </c>
      <c r="K1496" s="61" t="str">
        <f t="shared" si="8"/>
        <v>2024-Q1</v>
      </c>
      <c r="L1496" s="63" t="str">
        <f t="shared" si="9"/>
        <v>2024-01</v>
      </c>
      <c r="M1496" s="64" t="str">
        <f t="shared" si="10"/>
        <v>2024-H1</v>
      </c>
      <c r="N1496" s="65" t="s">
        <v>80</v>
      </c>
    </row>
    <row r="1497">
      <c r="I1497" s="61" t="str">
        <f t="shared" si="6"/>
        <v>2024</v>
      </c>
      <c r="J1497" s="62">
        <f t="shared" si="7"/>
        <v>1</v>
      </c>
      <c r="K1497" s="61" t="str">
        <f t="shared" si="8"/>
        <v>2024-Q1</v>
      </c>
      <c r="L1497" s="63" t="str">
        <f t="shared" si="9"/>
        <v>2024-01</v>
      </c>
      <c r="M1497" s="64" t="str">
        <f t="shared" si="10"/>
        <v>2024-H1</v>
      </c>
      <c r="N1497" s="65" t="s">
        <v>80</v>
      </c>
    </row>
    <row r="1498">
      <c r="I1498" s="61" t="str">
        <f t="shared" si="6"/>
        <v>2024</v>
      </c>
      <c r="J1498" s="62">
        <f t="shared" si="7"/>
        <v>2</v>
      </c>
      <c r="K1498" s="61" t="str">
        <f t="shared" si="8"/>
        <v>2024-Q1</v>
      </c>
      <c r="L1498" s="63" t="str">
        <f t="shared" si="9"/>
        <v>2024-02</v>
      </c>
      <c r="M1498" s="64" t="str">
        <f t="shared" si="10"/>
        <v>2024-H1</v>
      </c>
      <c r="N1498" s="65" t="s">
        <v>80</v>
      </c>
    </row>
    <row r="1499">
      <c r="I1499" s="61" t="str">
        <f t="shared" si="6"/>
        <v>2024</v>
      </c>
      <c r="J1499" s="62">
        <f t="shared" si="7"/>
        <v>2</v>
      </c>
      <c r="K1499" s="61" t="str">
        <f t="shared" si="8"/>
        <v>2024-Q1</v>
      </c>
      <c r="L1499" s="63" t="str">
        <f t="shared" si="9"/>
        <v>2024-02</v>
      </c>
      <c r="M1499" s="64" t="str">
        <f t="shared" si="10"/>
        <v>2024-H1</v>
      </c>
      <c r="N1499" s="65" t="s">
        <v>80</v>
      </c>
    </row>
    <row r="1500">
      <c r="I1500" s="61" t="str">
        <f t="shared" si="6"/>
        <v>2024</v>
      </c>
      <c r="J1500" s="62">
        <f t="shared" si="7"/>
        <v>2</v>
      </c>
      <c r="K1500" s="61" t="str">
        <f t="shared" si="8"/>
        <v>2024-Q1</v>
      </c>
      <c r="L1500" s="63" t="str">
        <f t="shared" si="9"/>
        <v>2024-02</v>
      </c>
      <c r="M1500" s="64" t="str">
        <f t="shared" si="10"/>
        <v>2024-H1</v>
      </c>
      <c r="N1500" s="65" t="s">
        <v>80</v>
      </c>
    </row>
    <row r="1501">
      <c r="I1501" s="61" t="str">
        <f t="shared" si="6"/>
        <v>2024</v>
      </c>
      <c r="J1501" s="62">
        <f t="shared" si="7"/>
        <v>2</v>
      </c>
      <c r="K1501" s="61" t="str">
        <f t="shared" si="8"/>
        <v>2024-Q1</v>
      </c>
      <c r="L1501" s="63" t="str">
        <f t="shared" si="9"/>
        <v>2024-02</v>
      </c>
      <c r="M1501" s="64" t="str">
        <f t="shared" si="10"/>
        <v>2024-H1</v>
      </c>
      <c r="N1501" s="65" t="s">
        <v>80</v>
      </c>
    </row>
    <row r="1502">
      <c r="I1502" s="61" t="str">
        <f t="shared" si="6"/>
        <v>2024</v>
      </c>
      <c r="J1502" s="62">
        <f t="shared" si="7"/>
        <v>2</v>
      </c>
      <c r="K1502" s="61" t="str">
        <f t="shared" si="8"/>
        <v>2024-Q1</v>
      </c>
      <c r="L1502" s="63" t="str">
        <f t="shared" si="9"/>
        <v>2024-02</v>
      </c>
      <c r="M1502" s="64" t="str">
        <f t="shared" si="10"/>
        <v>2024-H1</v>
      </c>
      <c r="N1502" s="65" t="s">
        <v>80</v>
      </c>
    </row>
    <row r="1503">
      <c r="I1503" s="61" t="str">
        <f t="shared" si="6"/>
        <v>2024</v>
      </c>
      <c r="J1503" s="62">
        <f t="shared" si="7"/>
        <v>2</v>
      </c>
      <c r="K1503" s="61" t="str">
        <f t="shared" si="8"/>
        <v>2024-Q1</v>
      </c>
      <c r="L1503" s="63" t="str">
        <f t="shared" si="9"/>
        <v>2024-02</v>
      </c>
      <c r="M1503" s="64" t="str">
        <f t="shared" si="10"/>
        <v>2024-H1</v>
      </c>
      <c r="N1503" s="65" t="s">
        <v>80</v>
      </c>
    </row>
    <row r="1504">
      <c r="I1504" s="61" t="str">
        <f t="shared" si="6"/>
        <v>2024</v>
      </c>
      <c r="J1504" s="62">
        <f t="shared" si="7"/>
        <v>2</v>
      </c>
      <c r="K1504" s="61" t="str">
        <f t="shared" si="8"/>
        <v>2024-Q1</v>
      </c>
      <c r="L1504" s="63" t="str">
        <f t="shared" si="9"/>
        <v>2024-02</v>
      </c>
      <c r="M1504" s="64" t="str">
        <f t="shared" si="10"/>
        <v>2024-H1</v>
      </c>
      <c r="N1504" s="65" t="s">
        <v>80</v>
      </c>
    </row>
    <row r="1505">
      <c r="I1505" s="61" t="str">
        <f t="shared" si="6"/>
        <v>2024</v>
      </c>
      <c r="J1505" s="62">
        <f t="shared" si="7"/>
        <v>2</v>
      </c>
      <c r="K1505" s="61" t="str">
        <f t="shared" si="8"/>
        <v>2024-Q1</v>
      </c>
      <c r="L1505" s="63" t="str">
        <f t="shared" si="9"/>
        <v>2024-02</v>
      </c>
      <c r="M1505" s="64" t="str">
        <f t="shared" si="10"/>
        <v>2024-H1</v>
      </c>
      <c r="N1505" s="65" t="s">
        <v>80</v>
      </c>
    </row>
    <row r="1506">
      <c r="I1506" s="61" t="str">
        <f t="shared" si="6"/>
        <v>2024</v>
      </c>
      <c r="J1506" s="62">
        <f t="shared" si="7"/>
        <v>2</v>
      </c>
      <c r="K1506" s="61" t="str">
        <f t="shared" si="8"/>
        <v>2024-Q1</v>
      </c>
      <c r="L1506" s="63" t="str">
        <f t="shared" si="9"/>
        <v>2024-02</v>
      </c>
      <c r="M1506" s="64" t="str">
        <f t="shared" si="10"/>
        <v>2024-H1</v>
      </c>
      <c r="N1506" s="65" t="s">
        <v>80</v>
      </c>
    </row>
    <row r="1507">
      <c r="I1507" s="61" t="str">
        <f t="shared" si="6"/>
        <v>2024</v>
      </c>
      <c r="J1507" s="62">
        <f t="shared" si="7"/>
        <v>2</v>
      </c>
      <c r="K1507" s="61" t="str">
        <f t="shared" si="8"/>
        <v>2024-Q1</v>
      </c>
      <c r="L1507" s="63" t="str">
        <f t="shared" si="9"/>
        <v>2024-02</v>
      </c>
      <c r="M1507" s="64" t="str">
        <f t="shared" si="10"/>
        <v>2024-H1</v>
      </c>
      <c r="N1507" s="65" t="s">
        <v>80</v>
      </c>
    </row>
    <row r="1508">
      <c r="I1508" s="61" t="str">
        <f t="shared" si="6"/>
        <v>2024</v>
      </c>
      <c r="J1508" s="62">
        <f t="shared" si="7"/>
        <v>2</v>
      </c>
      <c r="K1508" s="61" t="str">
        <f t="shared" si="8"/>
        <v>2024-Q1</v>
      </c>
      <c r="L1508" s="63" t="str">
        <f t="shared" si="9"/>
        <v>2024-02</v>
      </c>
      <c r="M1508" s="64" t="str">
        <f t="shared" si="10"/>
        <v>2024-H1</v>
      </c>
      <c r="N1508" s="65" t="s">
        <v>80</v>
      </c>
    </row>
    <row r="1509">
      <c r="I1509" s="61" t="str">
        <f t="shared" si="6"/>
        <v>2024</v>
      </c>
      <c r="J1509" s="62">
        <f t="shared" si="7"/>
        <v>2</v>
      </c>
      <c r="K1509" s="61" t="str">
        <f t="shared" si="8"/>
        <v>2024-Q1</v>
      </c>
      <c r="L1509" s="63" t="str">
        <f t="shared" si="9"/>
        <v>2024-02</v>
      </c>
      <c r="M1509" s="64" t="str">
        <f t="shared" si="10"/>
        <v>2024-H1</v>
      </c>
      <c r="N1509" s="65" t="s">
        <v>80</v>
      </c>
    </row>
    <row r="1510">
      <c r="I1510" s="61" t="str">
        <f t="shared" si="6"/>
        <v>2024</v>
      </c>
      <c r="J1510" s="62">
        <f t="shared" si="7"/>
        <v>2</v>
      </c>
      <c r="K1510" s="61" t="str">
        <f t="shared" si="8"/>
        <v>2024-Q1</v>
      </c>
      <c r="L1510" s="63" t="str">
        <f t="shared" si="9"/>
        <v>2024-02</v>
      </c>
      <c r="M1510" s="64" t="str">
        <f t="shared" si="10"/>
        <v>2024-H1</v>
      </c>
      <c r="N1510" s="65" t="s">
        <v>80</v>
      </c>
    </row>
    <row r="1511">
      <c r="I1511" s="61" t="str">
        <f t="shared" si="6"/>
        <v>2024</v>
      </c>
      <c r="J1511" s="62">
        <f t="shared" si="7"/>
        <v>2</v>
      </c>
      <c r="K1511" s="61" t="str">
        <f t="shared" si="8"/>
        <v>2024-Q1</v>
      </c>
      <c r="L1511" s="63" t="str">
        <f t="shared" si="9"/>
        <v>2024-02</v>
      </c>
      <c r="M1511" s="64" t="str">
        <f t="shared" si="10"/>
        <v>2024-H1</v>
      </c>
      <c r="N1511" s="65" t="s">
        <v>80</v>
      </c>
    </row>
    <row r="1512">
      <c r="I1512" s="61" t="str">
        <f t="shared" si="6"/>
        <v>2024</v>
      </c>
      <c r="J1512" s="62">
        <f t="shared" si="7"/>
        <v>2</v>
      </c>
      <c r="K1512" s="61" t="str">
        <f t="shared" si="8"/>
        <v>2024-Q1</v>
      </c>
      <c r="L1512" s="63" t="str">
        <f t="shared" si="9"/>
        <v>2024-02</v>
      </c>
      <c r="M1512" s="64" t="str">
        <f t="shared" si="10"/>
        <v>2024-H1</v>
      </c>
      <c r="N1512" s="65" t="s">
        <v>80</v>
      </c>
    </row>
    <row r="1513">
      <c r="I1513" s="61" t="str">
        <f t="shared" si="6"/>
        <v>2024</v>
      </c>
      <c r="J1513" s="62">
        <f t="shared" si="7"/>
        <v>2</v>
      </c>
      <c r="K1513" s="61" t="str">
        <f t="shared" si="8"/>
        <v>2024-Q1</v>
      </c>
      <c r="L1513" s="63" t="str">
        <f t="shared" si="9"/>
        <v>2024-02</v>
      </c>
      <c r="M1513" s="64" t="str">
        <f t="shared" si="10"/>
        <v>2024-H1</v>
      </c>
      <c r="N1513" s="65" t="s">
        <v>80</v>
      </c>
    </row>
    <row r="1514">
      <c r="I1514" s="61" t="str">
        <f t="shared" si="6"/>
        <v>2024</v>
      </c>
      <c r="J1514" s="62">
        <f t="shared" si="7"/>
        <v>2</v>
      </c>
      <c r="K1514" s="61" t="str">
        <f t="shared" si="8"/>
        <v>2024-Q1</v>
      </c>
      <c r="L1514" s="63" t="str">
        <f t="shared" si="9"/>
        <v>2024-02</v>
      </c>
      <c r="M1514" s="64" t="str">
        <f t="shared" si="10"/>
        <v>2024-H1</v>
      </c>
      <c r="N1514" s="65" t="s">
        <v>80</v>
      </c>
    </row>
    <row r="1515">
      <c r="I1515" s="61" t="str">
        <f t="shared" si="6"/>
        <v>2024</v>
      </c>
      <c r="J1515" s="62">
        <f t="shared" si="7"/>
        <v>2</v>
      </c>
      <c r="K1515" s="61" t="str">
        <f t="shared" si="8"/>
        <v>2024-Q1</v>
      </c>
      <c r="L1515" s="63" t="str">
        <f t="shared" si="9"/>
        <v>2024-02</v>
      </c>
      <c r="M1515" s="64" t="str">
        <f t="shared" si="10"/>
        <v>2024-H1</v>
      </c>
      <c r="N1515" s="65" t="s">
        <v>80</v>
      </c>
    </row>
    <row r="1516">
      <c r="I1516" s="61" t="str">
        <f t="shared" si="6"/>
        <v>2024</v>
      </c>
      <c r="J1516" s="62">
        <f t="shared" si="7"/>
        <v>2</v>
      </c>
      <c r="K1516" s="61" t="str">
        <f t="shared" si="8"/>
        <v>2024-Q1</v>
      </c>
      <c r="L1516" s="63" t="str">
        <f t="shared" si="9"/>
        <v>2024-02</v>
      </c>
      <c r="M1516" s="64" t="str">
        <f t="shared" si="10"/>
        <v>2024-H1</v>
      </c>
      <c r="N1516" s="65" t="s">
        <v>80</v>
      </c>
    </row>
    <row r="1517">
      <c r="I1517" s="61" t="str">
        <f t="shared" si="6"/>
        <v>2024</v>
      </c>
      <c r="J1517" s="62">
        <f t="shared" si="7"/>
        <v>2</v>
      </c>
      <c r="K1517" s="61" t="str">
        <f t="shared" si="8"/>
        <v>2024-Q1</v>
      </c>
      <c r="L1517" s="63" t="str">
        <f t="shared" si="9"/>
        <v>2024-02</v>
      </c>
      <c r="M1517" s="64" t="str">
        <f t="shared" si="10"/>
        <v>2024-H1</v>
      </c>
      <c r="N1517" s="65" t="s">
        <v>80</v>
      </c>
    </row>
    <row r="1518">
      <c r="I1518" s="61" t="str">
        <f t="shared" si="6"/>
        <v>2024</v>
      </c>
      <c r="J1518" s="62">
        <f t="shared" si="7"/>
        <v>2</v>
      </c>
      <c r="K1518" s="61" t="str">
        <f t="shared" si="8"/>
        <v>2024-Q1</v>
      </c>
      <c r="L1518" s="63" t="str">
        <f t="shared" si="9"/>
        <v>2024-02</v>
      </c>
      <c r="M1518" s="64" t="str">
        <f t="shared" si="10"/>
        <v>2024-H1</v>
      </c>
      <c r="N1518" s="65" t="s">
        <v>80</v>
      </c>
    </row>
    <row r="1519">
      <c r="I1519" s="61" t="str">
        <f t="shared" si="6"/>
        <v>2024</v>
      </c>
      <c r="J1519" s="62">
        <f t="shared" si="7"/>
        <v>2</v>
      </c>
      <c r="K1519" s="61" t="str">
        <f t="shared" si="8"/>
        <v>2024-Q1</v>
      </c>
      <c r="L1519" s="63" t="str">
        <f t="shared" si="9"/>
        <v>2024-02</v>
      </c>
      <c r="M1519" s="64" t="str">
        <f t="shared" si="10"/>
        <v>2024-H1</v>
      </c>
      <c r="N1519" s="65" t="s">
        <v>80</v>
      </c>
    </row>
    <row r="1520">
      <c r="I1520" s="61" t="str">
        <f t="shared" si="6"/>
        <v>2024</v>
      </c>
      <c r="J1520" s="62">
        <f t="shared" si="7"/>
        <v>2</v>
      </c>
      <c r="K1520" s="61" t="str">
        <f t="shared" si="8"/>
        <v>2024-Q1</v>
      </c>
      <c r="L1520" s="63" t="str">
        <f t="shared" si="9"/>
        <v>2024-02</v>
      </c>
      <c r="M1520" s="64" t="str">
        <f t="shared" si="10"/>
        <v>2024-H1</v>
      </c>
      <c r="N1520" s="65" t="s">
        <v>80</v>
      </c>
    </row>
    <row r="1521">
      <c r="I1521" s="61" t="str">
        <f t="shared" si="6"/>
        <v>2024</v>
      </c>
      <c r="J1521" s="62">
        <f t="shared" si="7"/>
        <v>2</v>
      </c>
      <c r="K1521" s="61" t="str">
        <f t="shared" si="8"/>
        <v>2024-Q1</v>
      </c>
      <c r="L1521" s="63" t="str">
        <f t="shared" si="9"/>
        <v>2024-02</v>
      </c>
      <c r="M1521" s="64" t="str">
        <f t="shared" si="10"/>
        <v>2024-H1</v>
      </c>
      <c r="N1521" s="65" t="s">
        <v>80</v>
      </c>
    </row>
    <row r="1522">
      <c r="I1522" s="61" t="str">
        <f t="shared" si="6"/>
        <v>2024</v>
      </c>
      <c r="J1522" s="62">
        <f t="shared" si="7"/>
        <v>2</v>
      </c>
      <c r="K1522" s="61" t="str">
        <f t="shared" si="8"/>
        <v>2024-Q1</v>
      </c>
      <c r="L1522" s="63" t="str">
        <f t="shared" si="9"/>
        <v>2024-02</v>
      </c>
      <c r="M1522" s="64" t="str">
        <f t="shared" si="10"/>
        <v>2024-H1</v>
      </c>
      <c r="N1522" s="65" t="s">
        <v>80</v>
      </c>
    </row>
    <row r="1523">
      <c r="I1523" s="61" t="str">
        <f t="shared" si="6"/>
        <v>2024</v>
      </c>
      <c r="J1523" s="62">
        <f t="shared" si="7"/>
        <v>2</v>
      </c>
      <c r="K1523" s="61" t="str">
        <f t="shared" si="8"/>
        <v>2024-Q1</v>
      </c>
      <c r="L1523" s="63" t="str">
        <f t="shared" si="9"/>
        <v>2024-02</v>
      </c>
      <c r="M1523" s="64" t="str">
        <f t="shared" si="10"/>
        <v>2024-H1</v>
      </c>
      <c r="N1523" s="65" t="s">
        <v>80</v>
      </c>
    </row>
    <row r="1524">
      <c r="I1524" s="61" t="str">
        <f t="shared" si="6"/>
        <v>2024</v>
      </c>
      <c r="J1524" s="62">
        <f t="shared" si="7"/>
        <v>2</v>
      </c>
      <c r="K1524" s="61" t="str">
        <f t="shared" si="8"/>
        <v>2024-Q1</v>
      </c>
      <c r="L1524" s="63" t="str">
        <f t="shared" si="9"/>
        <v>2024-02</v>
      </c>
      <c r="M1524" s="64" t="str">
        <f t="shared" si="10"/>
        <v>2024-H1</v>
      </c>
      <c r="N1524" s="65" t="s">
        <v>80</v>
      </c>
    </row>
    <row r="1525">
      <c r="I1525" s="61" t="str">
        <f t="shared" si="6"/>
        <v>2024</v>
      </c>
      <c r="J1525" s="62">
        <f t="shared" si="7"/>
        <v>2</v>
      </c>
      <c r="K1525" s="61" t="str">
        <f t="shared" si="8"/>
        <v>2024-Q1</v>
      </c>
      <c r="L1525" s="63" t="str">
        <f t="shared" si="9"/>
        <v>2024-02</v>
      </c>
      <c r="M1525" s="64" t="str">
        <f t="shared" si="10"/>
        <v>2024-H1</v>
      </c>
      <c r="N1525" s="65" t="s">
        <v>80</v>
      </c>
    </row>
    <row r="1526">
      <c r="I1526" s="61" t="str">
        <f t="shared" si="6"/>
        <v>2024</v>
      </c>
      <c r="J1526" s="62">
        <f t="shared" si="7"/>
        <v>2</v>
      </c>
      <c r="K1526" s="61" t="str">
        <f t="shared" si="8"/>
        <v>2024-Q1</v>
      </c>
      <c r="L1526" s="63" t="str">
        <f t="shared" si="9"/>
        <v>2024-02</v>
      </c>
      <c r="M1526" s="64" t="str">
        <f t="shared" si="10"/>
        <v>2024-H1</v>
      </c>
      <c r="N1526" s="65" t="s">
        <v>80</v>
      </c>
    </row>
    <row r="1527">
      <c r="I1527" s="61" t="str">
        <f t="shared" si="6"/>
        <v>2024</v>
      </c>
      <c r="J1527" s="62">
        <f t="shared" si="7"/>
        <v>2</v>
      </c>
      <c r="K1527" s="61" t="str">
        <f t="shared" si="8"/>
        <v>2024-Q1</v>
      </c>
      <c r="L1527" s="63" t="str">
        <f t="shared" si="9"/>
        <v>2024-02</v>
      </c>
      <c r="M1527" s="64" t="str">
        <f t="shared" si="10"/>
        <v>2024-H1</v>
      </c>
      <c r="N1527" s="65" t="s">
        <v>80</v>
      </c>
    </row>
    <row r="1528">
      <c r="I1528" s="61" t="str">
        <f t="shared" si="6"/>
        <v>2024</v>
      </c>
      <c r="J1528" s="62">
        <f t="shared" si="7"/>
        <v>2</v>
      </c>
      <c r="K1528" s="61" t="str">
        <f t="shared" si="8"/>
        <v>2024-Q1</v>
      </c>
      <c r="L1528" s="63" t="str">
        <f t="shared" si="9"/>
        <v>2024-02</v>
      </c>
      <c r="M1528" s="64" t="str">
        <f t="shared" si="10"/>
        <v>2024-H1</v>
      </c>
      <c r="N1528" s="65" t="s">
        <v>80</v>
      </c>
    </row>
    <row r="1529">
      <c r="I1529" s="61" t="str">
        <f t="shared" si="6"/>
        <v>2024</v>
      </c>
      <c r="J1529" s="62">
        <f t="shared" si="7"/>
        <v>2</v>
      </c>
      <c r="K1529" s="61" t="str">
        <f t="shared" si="8"/>
        <v>2024-Q1</v>
      </c>
      <c r="L1529" s="63" t="str">
        <f t="shared" si="9"/>
        <v>2024-02</v>
      </c>
      <c r="M1529" s="64" t="str">
        <f t="shared" si="10"/>
        <v>2024-H1</v>
      </c>
      <c r="N1529" s="65" t="s">
        <v>80</v>
      </c>
    </row>
    <row r="1530">
      <c r="I1530" s="61" t="str">
        <f t="shared" si="6"/>
        <v>2024</v>
      </c>
      <c r="J1530" s="62">
        <f t="shared" si="7"/>
        <v>2</v>
      </c>
      <c r="K1530" s="61" t="str">
        <f t="shared" si="8"/>
        <v>2024-Q1</v>
      </c>
      <c r="L1530" s="63" t="str">
        <f t="shared" si="9"/>
        <v>2024-02</v>
      </c>
      <c r="M1530" s="64" t="str">
        <f t="shared" si="10"/>
        <v>2024-H1</v>
      </c>
      <c r="N1530" s="65" t="s">
        <v>80</v>
      </c>
    </row>
    <row r="1531">
      <c r="I1531" s="61" t="str">
        <f t="shared" si="6"/>
        <v>2024</v>
      </c>
      <c r="J1531" s="62">
        <f t="shared" si="7"/>
        <v>2</v>
      </c>
      <c r="K1531" s="61" t="str">
        <f t="shared" si="8"/>
        <v>2024-Q1</v>
      </c>
      <c r="L1531" s="63" t="str">
        <f t="shared" si="9"/>
        <v>2024-02</v>
      </c>
      <c r="M1531" s="64" t="str">
        <f t="shared" si="10"/>
        <v>2024-H1</v>
      </c>
      <c r="N1531" s="65" t="s">
        <v>80</v>
      </c>
    </row>
    <row r="1532">
      <c r="I1532" s="61" t="str">
        <f t="shared" si="6"/>
        <v>2024</v>
      </c>
      <c r="J1532" s="62">
        <f t="shared" si="7"/>
        <v>2</v>
      </c>
      <c r="K1532" s="61" t="str">
        <f t="shared" si="8"/>
        <v>2024-Q1</v>
      </c>
      <c r="L1532" s="63" t="str">
        <f t="shared" si="9"/>
        <v>2024-02</v>
      </c>
      <c r="M1532" s="64" t="str">
        <f t="shared" si="10"/>
        <v>2024-H1</v>
      </c>
      <c r="N1532" s="65" t="s">
        <v>80</v>
      </c>
    </row>
    <row r="1533">
      <c r="I1533" s="61" t="str">
        <f t="shared" si="6"/>
        <v>2024</v>
      </c>
      <c r="J1533" s="62">
        <f t="shared" si="7"/>
        <v>2</v>
      </c>
      <c r="K1533" s="61" t="str">
        <f t="shared" si="8"/>
        <v>2024-Q1</v>
      </c>
      <c r="L1533" s="63" t="str">
        <f t="shared" si="9"/>
        <v>2024-02</v>
      </c>
      <c r="M1533" s="64" t="str">
        <f t="shared" si="10"/>
        <v>2024-H1</v>
      </c>
      <c r="N1533" s="65" t="s">
        <v>80</v>
      </c>
    </row>
    <row r="1534">
      <c r="I1534" s="61" t="str">
        <f t="shared" si="6"/>
        <v>2024</v>
      </c>
      <c r="J1534" s="62">
        <f t="shared" si="7"/>
        <v>2</v>
      </c>
      <c r="K1534" s="61" t="str">
        <f t="shared" si="8"/>
        <v>2024-Q1</v>
      </c>
      <c r="L1534" s="63" t="str">
        <f t="shared" si="9"/>
        <v>2024-02</v>
      </c>
      <c r="M1534" s="64" t="str">
        <f t="shared" si="10"/>
        <v>2024-H1</v>
      </c>
      <c r="N1534" s="65" t="s">
        <v>80</v>
      </c>
    </row>
    <row r="1535">
      <c r="I1535" s="61" t="str">
        <f t="shared" si="6"/>
        <v>2024</v>
      </c>
      <c r="J1535" s="62">
        <f t="shared" si="7"/>
        <v>2</v>
      </c>
      <c r="K1535" s="61" t="str">
        <f t="shared" si="8"/>
        <v>2024-Q1</v>
      </c>
      <c r="L1535" s="63" t="str">
        <f t="shared" si="9"/>
        <v>2024-02</v>
      </c>
      <c r="M1535" s="64" t="str">
        <f t="shared" si="10"/>
        <v>2024-H1</v>
      </c>
      <c r="N1535" s="65" t="s">
        <v>80</v>
      </c>
    </row>
    <row r="1536">
      <c r="I1536" s="61" t="str">
        <f t="shared" si="6"/>
        <v>2024</v>
      </c>
      <c r="J1536" s="62">
        <f t="shared" si="7"/>
        <v>3</v>
      </c>
      <c r="K1536" s="61" t="str">
        <f t="shared" si="8"/>
        <v>2024-Q1</v>
      </c>
      <c r="L1536" s="63" t="str">
        <f t="shared" si="9"/>
        <v>2024-03</v>
      </c>
      <c r="M1536" s="64" t="str">
        <f t="shared" si="10"/>
        <v>2024-H1</v>
      </c>
      <c r="N1536" s="65" t="s">
        <v>80</v>
      </c>
    </row>
    <row r="1537">
      <c r="I1537" s="61" t="str">
        <f t="shared" si="6"/>
        <v>2024</v>
      </c>
      <c r="J1537" s="62">
        <f t="shared" si="7"/>
        <v>2</v>
      </c>
      <c r="K1537" s="61" t="str">
        <f t="shared" si="8"/>
        <v>2024-Q1</v>
      </c>
      <c r="L1537" s="63" t="str">
        <f t="shared" si="9"/>
        <v>2024-02</v>
      </c>
      <c r="M1537" s="64" t="str">
        <f t="shared" si="10"/>
        <v>2024-H1</v>
      </c>
      <c r="N1537" s="65" t="s">
        <v>80</v>
      </c>
    </row>
    <row r="1538">
      <c r="I1538" s="61" t="str">
        <f t="shared" si="6"/>
        <v>2024</v>
      </c>
      <c r="J1538" s="62">
        <f t="shared" si="7"/>
        <v>2</v>
      </c>
      <c r="K1538" s="61" t="str">
        <f t="shared" si="8"/>
        <v>2024-Q1</v>
      </c>
      <c r="L1538" s="63" t="str">
        <f t="shared" si="9"/>
        <v>2024-02</v>
      </c>
      <c r="M1538" s="64" t="str">
        <f t="shared" si="10"/>
        <v>2024-H1</v>
      </c>
      <c r="N1538" s="65" t="s">
        <v>80</v>
      </c>
    </row>
    <row r="1539">
      <c r="I1539" s="61" t="str">
        <f t="shared" si="6"/>
        <v>2024</v>
      </c>
      <c r="J1539" s="62">
        <f t="shared" si="7"/>
        <v>2</v>
      </c>
      <c r="K1539" s="61" t="str">
        <f t="shared" si="8"/>
        <v>2024-Q1</v>
      </c>
      <c r="L1539" s="63" t="str">
        <f t="shared" si="9"/>
        <v>2024-02</v>
      </c>
      <c r="M1539" s="64" t="str">
        <f t="shared" si="10"/>
        <v>2024-H1</v>
      </c>
      <c r="N1539" s="65" t="s">
        <v>80</v>
      </c>
    </row>
    <row r="1540">
      <c r="I1540" s="61" t="str">
        <f t="shared" si="6"/>
        <v>2024</v>
      </c>
      <c r="J1540" s="62">
        <f t="shared" si="7"/>
        <v>2</v>
      </c>
      <c r="K1540" s="61" t="str">
        <f t="shared" si="8"/>
        <v>2024-Q1</v>
      </c>
      <c r="L1540" s="63" t="str">
        <f t="shared" si="9"/>
        <v>2024-02</v>
      </c>
      <c r="M1540" s="64" t="str">
        <f t="shared" si="10"/>
        <v>2024-H1</v>
      </c>
      <c r="N1540" s="65" t="s">
        <v>80</v>
      </c>
    </row>
    <row r="1541">
      <c r="I1541" s="61" t="str">
        <f t="shared" si="6"/>
        <v>2024</v>
      </c>
      <c r="J1541" s="62">
        <f t="shared" si="7"/>
        <v>2</v>
      </c>
      <c r="K1541" s="61" t="str">
        <f t="shared" si="8"/>
        <v>2024-Q1</v>
      </c>
      <c r="L1541" s="63" t="str">
        <f t="shared" si="9"/>
        <v>2024-02</v>
      </c>
      <c r="M1541" s="64" t="str">
        <f t="shared" si="10"/>
        <v>2024-H1</v>
      </c>
      <c r="N1541" s="65" t="s">
        <v>80</v>
      </c>
    </row>
    <row r="1542">
      <c r="I1542" s="61" t="str">
        <f t="shared" si="6"/>
        <v>2024</v>
      </c>
      <c r="J1542" s="62">
        <f t="shared" si="7"/>
        <v>2</v>
      </c>
      <c r="K1542" s="61" t="str">
        <f t="shared" si="8"/>
        <v>2024-Q1</v>
      </c>
      <c r="L1542" s="63" t="str">
        <f t="shared" si="9"/>
        <v>2024-02</v>
      </c>
      <c r="M1542" s="64" t="str">
        <f t="shared" si="10"/>
        <v>2024-H1</v>
      </c>
      <c r="N1542" s="65" t="s">
        <v>80</v>
      </c>
    </row>
    <row r="1543">
      <c r="I1543" s="61" t="str">
        <f t="shared" si="6"/>
        <v>2024</v>
      </c>
      <c r="J1543" s="62">
        <f t="shared" si="7"/>
        <v>2</v>
      </c>
      <c r="K1543" s="61" t="str">
        <f t="shared" si="8"/>
        <v>2024-Q1</v>
      </c>
      <c r="L1543" s="63" t="str">
        <f t="shared" si="9"/>
        <v>2024-02</v>
      </c>
      <c r="M1543" s="64" t="str">
        <f t="shared" si="10"/>
        <v>2024-H1</v>
      </c>
      <c r="N1543" s="65" t="s">
        <v>80</v>
      </c>
    </row>
    <row r="1544">
      <c r="I1544" s="61" t="str">
        <f t="shared" si="6"/>
        <v>2024</v>
      </c>
      <c r="J1544" s="62">
        <f t="shared" si="7"/>
        <v>2</v>
      </c>
      <c r="K1544" s="61" t="str">
        <f t="shared" si="8"/>
        <v>2024-Q1</v>
      </c>
      <c r="L1544" s="63" t="str">
        <f t="shared" si="9"/>
        <v>2024-02</v>
      </c>
      <c r="M1544" s="64" t="str">
        <f t="shared" si="10"/>
        <v>2024-H1</v>
      </c>
      <c r="N1544" s="65" t="s">
        <v>80</v>
      </c>
    </row>
    <row r="1545">
      <c r="I1545" s="61" t="str">
        <f t="shared" si="6"/>
        <v>2024</v>
      </c>
      <c r="J1545" s="62">
        <f t="shared" si="7"/>
        <v>2</v>
      </c>
      <c r="K1545" s="61" t="str">
        <f t="shared" si="8"/>
        <v>2024-Q1</v>
      </c>
      <c r="L1545" s="63" t="str">
        <f t="shared" si="9"/>
        <v>2024-02</v>
      </c>
      <c r="M1545" s="64" t="str">
        <f t="shared" si="10"/>
        <v>2024-H1</v>
      </c>
      <c r="N1545" s="65" t="s">
        <v>80</v>
      </c>
    </row>
    <row r="1546">
      <c r="I1546" s="61" t="str">
        <f t="shared" si="6"/>
        <v>2024</v>
      </c>
      <c r="J1546" s="62">
        <f t="shared" si="7"/>
        <v>2</v>
      </c>
      <c r="K1546" s="61" t="str">
        <f t="shared" si="8"/>
        <v>2024-Q1</v>
      </c>
      <c r="L1546" s="63" t="str">
        <f t="shared" si="9"/>
        <v>2024-02</v>
      </c>
      <c r="M1546" s="64" t="str">
        <f t="shared" si="10"/>
        <v>2024-H1</v>
      </c>
      <c r="N1546" s="65" t="s">
        <v>80</v>
      </c>
    </row>
    <row r="1547">
      <c r="I1547" s="61" t="str">
        <f t="shared" si="6"/>
        <v>2024</v>
      </c>
      <c r="J1547" s="62">
        <f t="shared" si="7"/>
        <v>2</v>
      </c>
      <c r="K1547" s="61" t="str">
        <f t="shared" si="8"/>
        <v>2024-Q1</v>
      </c>
      <c r="L1547" s="63" t="str">
        <f t="shared" si="9"/>
        <v>2024-02</v>
      </c>
      <c r="M1547" s="64" t="str">
        <f t="shared" si="10"/>
        <v>2024-H1</v>
      </c>
      <c r="N1547" s="65" t="s">
        <v>80</v>
      </c>
    </row>
    <row r="1548">
      <c r="I1548" s="61" t="str">
        <f t="shared" si="6"/>
        <v>2024</v>
      </c>
      <c r="J1548" s="62">
        <f t="shared" si="7"/>
        <v>2</v>
      </c>
      <c r="K1548" s="61" t="str">
        <f t="shared" si="8"/>
        <v>2024-Q1</v>
      </c>
      <c r="L1548" s="63" t="str">
        <f t="shared" si="9"/>
        <v>2024-02</v>
      </c>
      <c r="M1548" s="64" t="str">
        <f t="shared" si="10"/>
        <v>2024-H1</v>
      </c>
      <c r="N1548" s="65" t="s">
        <v>80</v>
      </c>
    </row>
    <row r="1549">
      <c r="I1549" s="61" t="str">
        <f t="shared" si="6"/>
        <v>2024</v>
      </c>
      <c r="J1549" s="62">
        <f t="shared" si="7"/>
        <v>2</v>
      </c>
      <c r="K1549" s="61" t="str">
        <f t="shared" si="8"/>
        <v>2024-Q1</v>
      </c>
      <c r="L1549" s="63" t="str">
        <f t="shared" si="9"/>
        <v>2024-02</v>
      </c>
      <c r="M1549" s="64" t="str">
        <f t="shared" si="10"/>
        <v>2024-H1</v>
      </c>
      <c r="N1549" s="65" t="s">
        <v>80</v>
      </c>
    </row>
    <row r="1550">
      <c r="I1550" s="61" t="str">
        <f t="shared" si="6"/>
        <v>2024</v>
      </c>
      <c r="J1550" s="62">
        <f t="shared" si="7"/>
        <v>2</v>
      </c>
      <c r="K1550" s="61" t="str">
        <f t="shared" si="8"/>
        <v>2024-Q1</v>
      </c>
      <c r="L1550" s="63" t="str">
        <f t="shared" si="9"/>
        <v>2024-02</v>
      </c>
      <c r="M1550" s="64" t="str">
        <f t="shared" si="10"/>
        <v>2024-H1</v>
      </c>
      <c r="N1550" s="65" t="s">
        <v>80</v>
      </c>
    </row>
    <row r="1551">
      <c r="I1551" s="61" t="str">
        <f t="shared" si="6"/>
        <v>2024</v>
      </c>
      <c r="J1551" s="62">
        <f t="shared" si="7"/>
        <v>2</v>
      </c>
      <c r="K1551" s="61" t="str">
        <f t="shared" si="8"/>
        <v>2024-Q1</v>
      </c>
      <c r="L1551" s="63" t="str">
        <f t="shared" si="9"/>
        <v>2024-02</v>
      </c>
      <c r="M1551" s="64" t="str">
        <f t="shared" si="10"/>
        <v>2024-H1</v>
      </c>
      <c r="N1551" s="65" t="s">
        <v>80</v>
      </c>
    </row>
    <row r="1552">
      <c r="I1552" s="61" t="str">
        <f t="shared" si="6"/>
        <v>2024</v>
      </c>
      <c r="J1552" s="62">
        <f t="shared" si="7"/>
        <v>2</v>
      </c>
      <c r="K1552" s="61" t="str">
        <f t="shared" si="8"/>
        <v>2024-Q1</v>
      </c>
      <c r="L1552" s="63" t="str">
        <f t="shared" si="9"/>
        <v>2024-02</v>
      </c>
      <c r="M1552" s="64" t="str">
        <f t="shared" si="10"/>
        <v>2024-H1</v>
      </c>
      <c r="N1552" s="65" t="s">
        <v>80</v>
      </c>
    </row>
    <row r="1553">
      <c r="I1553" s="61" t="str">
        <f t="shared" si="6"/>
        <v>2024</v>
      </c>
      <c r="J1553" s="62">
        <f t="shared" si="7"/>
        <v>2</v>
      </c>
      <c r="K1553" s="61" t="str">
        <f t="shared" si="8"/>
        <v>2024-Q1</v>
      </c>
      <c r="L1553" s="63" t="str">
        <f t="shared" si="9"/>
        <v>2024-02</v>
      </c>
      <c r="M1553" s="64" t="str">
        <f t="shared" si="10"/>
        <v>2024-H1</v>
      </c>
      <c r="N1553" s="65" t="s">
        <v>80</v>
      </c>
    </row>
    <row r="1554">
      <c r="I1554" s="61" t="str">
        <f t="shared" si="6"/>
        <v>2024</v>
      </c>
      <c r="J1554" s="62">
        <f t="shared" si="7"/>
        <v>2</v>
      </c>
      <c r="K1554" s="61" t="str">
        <f t="shared" si="8"/>
        <v>2024-Q1</v>
      </c>
      <c r="L1554" s="63" t="str">
        <f t="shared" si="9"/>
        <v>2024-02</v>
      </c>
      <c r="M1554" s="64" t="str">
        <f t="shared" si="10"/>
        <v>2024-H1</v>
      </c>
      <c r="N1554" s="65" t="s">
        <v>80</v>
      </c>
    </row>
    <row r="1555">
      <c r="I1555" s="61" t="str">
        <f t="shared" si="6"/>
        <v>2024</v>
      </c>
      <c r="J1555" s="62">
        <f t="shared" si="7"/>
        <v>2</v>
      </c>
      <c r="K1555" s="61" t="str">
        <f t="shared" si="8"/>
        <v>2024-Q1</v>
      </c>
      <c r="L1555" s="63" t="str">
        <f t="shared" si="9"/>
        <v>2024-02</v>
      </c>
      <c r="M1555" s="64" t="str">
        <f t="shared" si="10"/>
        <v>2024-H1</v>
      </c>
      <c r="N1555" s="65" t="s">
        <v>80</v>
      </c>
    </row>
    <row r="1556">
      <c r="I1556" s="61" t="str">
        <f t="shared" si="6"/>
        <v>2024</v>
      </c>
      <c r="J1556" s="62">
        <f t="shared" si="7"/>
        <v>2</v>
      </c>
      <c r="K1556" s="61" t="str">
        <f t="shared" si="8"/>
        <v>2024-Q1</v>
      </c>
      <c r="L1556" s="63" t="str">
        <f t="shared" si="9"/>
        <v>2024-02</v>
      </c>
      <c r="M1556" s="64" t="str">
        <f t="shared" si="10"/>
        <v>2024-H1</v>
      </c>
      <c r="N1556" s="65" t="s">
        <v>80</v>
      </c>
    </row>
    <row r="1557">
      <c r="I1557" s="61" t="str">
        <f t="shared" si="6"/>
        <v>2024</v>
      </c>
      <c r="J1557" s="62">
        <f t="shared" si="7"/>
        <v>2</v>
      </c>
      <c r="K1557" s="61" t="str">
        <f t="shared" si="8"/>
        <v>2024-Q1</v>
      </c>
      <c r="L1557" s="63" t="str">
        <f t="shared" si="9"/>
        <v>2024-02</v>
      </c>
      <c r="M1557" s="64" t="str">
        <f t="shared" si="10"/>
        <v>2024-H1</v>
      </c>
      <c r="N1557" s="65" t="s">
        <v>80</v>
      </c>
    </row>
    <row r="1558">
      <c r="I1558" s="61" t="str">
        <f t="shared" si="6"/>
        <v>2024</v>
      </c>
      <c r="J1558" s="62">
        <f t="shared" si="7"/>
        <v>2</v>
      </c>
      <c r="K1558" s="61" t="str">
        <f t="shared" si="8"/>
        <v>2024-Q1</v>
      </c>
      <c r="L1558" s="63" t="str">
        <f t="shared" si="9"/>
        <v>2024-02</v>
      </c>
      <c r="M1558" s="64" t="str">
        <f t="shared" si="10"/>
        <v>2024-H1</v>
      </c>
      <c r="N1558" s="65" t="s">
        <v>80</v>
      </c>
    </row>
    <row r="1559">
      <c r="I1559" s="61" t="str">
        <f t="shared" si="6"/>
        <v>2024</v>
      </c>
      <c r="J1559" s="62">
        <f t="shared" si="7"/>
        <v>2</v>
      </c>
      <c r="K1559" s="61" t="str">
        <f t="shared" si="8"/>
        <v>2024-Q1</v>
      </c>
      <c r="L1559" s="63" t="str">
        <f t="shared" si="9"/>
        <v>2024-02</v>
      </c>
      <c r="M1559" s="64" t="str">
        <f t="shared" si="10"/>
        <v>2024-H1</v>
      </c>
      <c r="N1559" s="65" t="s">
        <v>80</v>
      </c>
    </row>
    <row r="1560">
      <c r="I1560" s="61" t="str">
        <f t="shared" si="6"/>
        <v>2024</v>
      </c>
      <c r="J1560" s="62">
        <f t="shared" si="7"/>
        <v>2</v>
      </c>
      <c r="K1560" s="61" t="str">
        <f t="shared" si="8"/>
        <v>2024-Q1</v>
      </c>
      <c r="L1560" s="63" t="str">
        <f t="shared" si="9"/>
        <v>2024-02</v>
      </c>
      <c r="M1560" s="64" t="str">
        <f t="shared" si="10"/>
        <v>2024-H1</v>
      </c>
      <c r="N1560" s="65" t="s">
        <v>80</v>
      </c>
    </row>
    <row r="1561">
      <c r="I1561" s="61" t="str">
        <f t="shared" si="6"/>
        <v>2024</v>
      </c>
      <c r="J1561" s="62">
        <f t="shared" si="7"/>
        <v>2</v>
      </c>
      <c r="K1561" s="61" t="str">
        <f t="shared" si="8"/>
        <v>2024-Q1</v>
      </c>
      <c r="L1561" s="63" t="str">
        <f t="shared" si="9"/>
        <v>2024-02</v>
      </c>
      <c r="M1561" s="64" t="str">
        <f t="shared" si="10"/>
        <v>2024-H1</v>
      </c>
      <c r="N1561" s="65" t="s">
        <v>80</v>
      </c>
    </row>
    <row r="1562">
      <c r="I1562" s="61" t="str">
        <f t="shared" si="6"/>
        <v>2024</v>
      </c>
      <c r="J1562" s="62">
        <f t="shared" si="7"/>
        <v>2</v>
      </c>
      <c r="K1562" s="61" t="str">
        <f t="shared" si="8"/>
        <v>2024-Q1</v>
      </c>
      <c r="L1562" s="63" t="str">
        <f t="shared" si="9"/>
        <v>2024-02</v>
      </c>
      <c r="M1562" s="64" t="str">
        <f t="shared" si="10"/>
        <v>2024-H1</v>
      </c>
      <c r="N1562" s="65" t="s">
        <v>80</v>
      </c>
    </row>
    <row r="1563">
      <c r="I1563" s="61" t="str">
        <f t="shared" si="6"/>
        <v>2024</v>
      </c>
      <c r="J1563" s="62">
        <f t="shared" si="7"/>
        <v>2</v>
      </c>
      <c r="K1563" s="61" t="str">
        <f t="shared" si="8"/>
        <v>2024-Q1</v>
      </c>
      <c r="L1563" s="63" t="str">
        <f t="shared" si="9"/>
        <v>2024-02</v>
      </c>
      <c r="M1563" s="64" t="str">
        <f t="shared" si="10"/>
        <v>2024-H1</v>
      </c>
      <c r="N1563" s="65" t="s">
        <v>80</v>
      </c>
    </row>
    <row r="1564">
      <c r="I1564" s="61" t="str">
        <f t="shared" si="6"/>
        <v>2024</v>
      </c>
      <c r="J1564" s="62">
        <f t="shared" si="7"/>
        <v>2</v>
      </c>
      <c r="K1564" s="61" t="str">
        <f t="shared" si="8"/>
        <v>2024-Q1</v>
      </c>
      <c r="L1564" s="63" t="str">
        <f t="shared" si="9"/>
        <v>2024-02</v>
      </c>
      <c r="M1564" s="64" t="str">
        <f t="shared" si="10"/>
        <v>2024-H1</v>
      </c>
      <c r="N1564" s="65" t="s">
        <v>80</v>
      </c>
    </row>
    <row r="1565">
      <c r="I1565" s="61" t="str">
        <f t="shared" si="6"/>
        <v>2024</v>
      </c>
      <c r="J1565" s="62">
        <f t="shared" si="7"/>
        <v>2</v>
      </c>
      <c r="K1565" s="61" t="str">
        <f t="shared" si="8"/>
        <v>2024-Q1</v>
      </c>
      <c r="L1565" s="63" t="str">
        <f t="shared" si="9"/>
        <v>2024-02</v>
      </c>
      <c r="M1565" s="64" t="str">
        <f t="shared" si="10"/>
        <v>2024-H1</v>
      </c>
      <c r="N1565" s="65" t="s">
        <v>80</v>
      </c>
    </row>
    <row r="1566">
      <c r="I1566" s="61" t="str">
        <f t="shared" si="6"/>
        <v>2024</v>
      </c>
      <c r="J1566" s="62">
        <f t="shared" si="7"/>
        <v>2</v>
      </c>
      <c r="K1566" s="61" t="str">
        <f t="shared" si="8"/>
        <v>2024-Q1</v>
      </c>
      <c r="L1566" s="63" t="str">
        <f t="shared" si="9"/>
        <v>2024-02</v>
      </c>
      <c r="M1566" s="64" t="str">
        <f t="shared" si="10"/>
        <v>2024-H1</v>
      </c>
      <c r="N1566" s="65" t="s">
        <v>80</v>
      </c>
    </row>
    <row r="1567">
      <c r="I1567" s="61" t="str">
        <f t="shared" si="6"/>
        <v>2024</v>
      </c>
      <c r="J1567" s="62">
        <f t="shared" si="7"/>
        <v>2</v>
      </c>
      <c r="K1567" s="61" t="str">
        <f t="shared" si="8"/>
        <v>2024-Q1</v>
      </c>
      <c r="L1567" s="63" t="str">
        <f t="shared" si="9"/>
        <v>2024-02</v>
      </c>
      <c r="M1567" s="64" t="str">
        <f t="shared" si="10"/>
        <v>2024-H1</v>
      </c>
      <c r="N1567" s="65" t="s">
        <v>80</v>
      </c>
    </row>
    <row r="1568">
      <c r="I1568" s="61" t="str">
        <f t="shared" si="6"/>
        <v>2024</v>
      </c>
      <c r="J1568" s="62">
        <f t="shared" si="7"/>
        <v>2</v>
      </c>
      <c r="K1568" s="61" t="str">
        <f t="shared" si="8"/>
        <v>2024-Q1</v>
      </c>
      <c r="L1568" s="63" t="str">
        <f t="shared" si="9"/>
        <v>2024-02</v>
      </c>
      <c r="M1568" s="64" t="str">
        <f t="shared" si="10"/>
        <v>2024-H1</v>
      </c>
      <c r="N1568" s="65" t="s">
        <v>80</v>
      </c>
    </row>
    <row r="1569">
      <c r="I1569" s="61" t="str">
        <f t="shared" si="6"/>
        <v>2024</v>
      </c>
      <c r="J1569" s="62">
        <f t="shared" si="7"/>
        <v>2</v>
      </c>
      <c r="K1569" s="61" t="str">
        <f t="shared" si="8"/>
        <v>2024-Q1</v>
      </c>
      <c r="L1569" s="63" t="str">
        <f t="shared" si="9"/>
        <v>2024-02</v>
      </c>
      <c r="M1569" s="64" t="str">
        <f t="shared" si="10"/>
        <v>2024-H1</v>
      </c>
      <c r="N1569" s="65" t="s">
        <v>80</v>
      </c>
    </row>
    <row r="1570">
      <c r="I1570" s="61" t="str">
        <f t="shared" si="6"/>
        <v>2024</v>
      </c>
      <c r="J1570" s="62">
        <f t="shared" si="7"/>
        <v>2</v>
      </c>
      <c r="K1570" s="61" t="str">
        <f t="shared" si="8"/>
        <v>2024-Q1</v>
      </c>
      <c r="L1570" s="63" t="str">
        <f t="shared" si="9"/>
        <v>2024-02</v>
      </c>
      <c r="M1570" s="64" t="str">
        <f t="shared" si="10"/>
        <v>2024-H1</v>
      </c>
      <c r="N1570" s="65" t="s">
        <v>80</v>
      </c>
    </row>
    <row r="1571">
      <c r="I1571" s="61" t="str">
        <f t="shared" si="6"/>
        <v>2024</v>
      </c>
      <c r="J1571" s="62">
        <f t="shared" si="7"/>
        <v>2</v>
      </c>
      <c r="K1571" s="61" t="str">
        <f t="shared" si="8"/>
        <v>2024-Q1</v>
      </c>
      <c r="L1571" s="63" t="str">
        <f t="shared" si="9"/>
        <v>2024-02</v>
      </c>
      <c r="M1571" s="64" t="str">
        <f t="shared" si="10"/>
        <v>2024-H1</v>
      </c>
      <c r="N1571" s="65" t="s">
        <v>80</v>
      </c>
    </row>
    <row r="1572">
      <c r="I1572" s="61" t="str">
        <f t="shared" si="6"/>
        <v>2024</v>
      </c>
      <c r="J1572" s="62">
        <f t="shared" si="7"/>
        <v>2</v>
      </c>
      <c r="K1572" s="61" t="str">
        <f t="shared" si="8"/>
        <v>2024-Q1</v>
      </c>
      <c r="L1572" s="63" t="str">
        <f t="shared" si="9"/>
        <v>2024-02</v>
      </c>
      <c r="M1572" s="64" t="str">
        <f t="shared" si="10"/>
        <v>2024-H1</v>
      </c>
      <c r="N1572" s="65" t="s">
        <v>80</v>
      </c>
    </row>
    <row r="1573">
      <c r="I1573" s="61" t="str">
        <f t="shared" si="6"/>
        <v>2024</v>
      </c>
      <c r="J1573" s="62">
        <f t="shared" si="7"/>
        <v>2</v>
      </c>
      <c r="K1573" s="61" t="str">
        <f t="shared" si="8"/>
        <v>2024-Q1</v>
      </c>
      <c r="L1573" s="63" t="str">
        <f t="shared" si="9"/>
        <v>2024-02</v>
      </c>
      <c r="M1573" s="64" t="str">
        <f t="shared" si="10"/>
        <v>2024-H1</v>
      </c>
      <c r="N1573" s="65" t="s">
        <v>80</v>
      </c>
    </row>
    <row r="1574">
      <c r="I1574" s="61" t="str">
        <f t="shared" si="6"/>
        <v>2024</v>
      </c>
      <c r="J1574" s="62">
        <f t="shared" si="7"/>
        <v>2</v>
      </c>
      <c r="K1574" s="61" t="str">
        <f t="shared" si="8"/>
        <v>2024-Q1</v>
      </c>
      <c r="L1574" s="63" t="str">
        <f t="shared" si="9"/>
        <v>2024-02</v>
      </c>
      <c r="M1574" s="64" t="str">
        <f t="shared" si="10"/>
        <v>2024-H1</v>
      </c>
      <c r="N1574" s="65" t="s">
        <v>80</v>
      </c>
    </row>
    <row r="1575">
      <c r="I1575" s="61" t="str">
        <f t="shared" si="6"/>
        <v>2024</v>
      </c>
      <c r="J1575" s="62">
        <f t="shared" si="7"/>
        <v>2</v>
      </c>
      <c r="K1575" s="61" t="str">
        <f t="shared" si="8"/>
        <v>2024-Q1</v>
      </c>
      <c r="L1575" s="63" t="str">
        <f t="shared" si="9"/>
        <v>2024-02</v>
      </c>
      <c r="M1575" s="64" t="str">
        <f t="shared" si="10"/>
        <v>2024-H1</v>
      </c>
      <c r="N1575" s="65" t="s">
        <v>80</v>
      </c>
    </row>
    <row r="1576">
      <c r="I1576" s="61" t="str">
        <f t="shared" si="6"/>
        <v>2024</v>
      </c>
      <c r="J1576" s="62">
        <f t="shared" si="7"/>
        <v>2</v>
      </c>
      <c r="K1576" s="61" t="str">
        <f t="shared" si="8"/>
        <v>2024-Q1</v>
      </c>
      <c r="L1576" s="63" t="str">
        <f t="shared" si="9"/>
        <v>2024-02</v>
      </c>
      <c r="M1576" s="64" t="str">
        <f t="shared" si="10"/>
        <v>2024-H1</v>
      </c>
      <c r="N1576" s="65" t="s">
        <v>80</v>
      </c>
    </row>
    <row r="1577">
      <c r="I1577" s="61" t="str">
        <f t="shared" si="6"/>
        <v>2024</v>
      </c>
      <c r="J1577" s="62">
        <f t="shared" si="7"/>
        <v>2</v>
      </c>
      <c r="K1577" s="61" t="str">
        <f t="shared" si="8"/>
        <v>2024-Q1</v>
      </c>
      <c r="L1577" s="63" t="str">
        <f t="shared" si="9"/>
        <v>2024-02</v>
      </c>
      <c r="M1577" s="64" t="str">
        <f t="shared" si="10"/>
        <v>2024-H1</v>
      </c>
      <c r="N1577" s="65" t="s">
        <v>80</v>
      </c>
    </row>
    <row r="1578">
      <c r="I1578" s="61" t="str">
        <f t="shared" si="6"/>
        <v>2024</v>
      </c>
      <c r="J1578" s="62">
        <f t="shared" si="7"/>
        <v>2</v>
      </c>
      <c r="K1578" s="61" t="str">
        <f t="shared" si="8"/>
        <v>2024-Q1</v>
      </c>
      <c r="L1578" s="63" t="str">
        <f t="shared" si="9"/>
        <v>2024-02</v>
      </c>
      <c r="M1578" s="64" t="str">
        <f t="shared" si="10"/>
        <v>2024-H1</v>
      </c>
      <c r="N1578" s="65" t="s">
        <v>80</v>
      </c>
    </row>
    <row r="1579">
      <c r="I1579" s="61" t="str">
        <f t="shared" si="6"/>
        <v>2024</v>
      </c>
      <c r="J1579" s="62">
        <f t="shared" si="7"/>
        <v>2</v>
      </c>
      <c r="K1579" s="61" t="str">
        <f t="shared" si="8"/>
        <v>2024-Q1</v>
      </c>
      <c r="L1579" s="63" t="str">
        <f t="shared" si="9"/>
        <v>2024-02</v>
      </c>
      <c r="M1579" s="64" t="str">
        <f t="shared" si="10"/>
        <v>2024-H1</v>
      </c>
      <c r="N1579" s="65" t="s">
        <v>80</v>
      </c>
    </row>
    <row r="1580">
      <c r="I1580" s="61" t="str">
        <f t="shared" si="6"/>
        <v>2024</v>
      </c>
      <c r="J1580" s="62">
        <f t="shared" si="7"/>
        <v>2</v>
      </c>
      <c r="K1580" s="61" t="str">
        <f t="shared" si="8"/>
        <v>2024-Q1</v>
      </c>
      <c r="L1580" s="63" t="str">
        <f t="shared" si="9"/>
        <v>2024-02</v>
      </c>
      <c r="M1580" s="64" t="str">
        <f t="shared" si="10"/>
        <v>2024-H1</v>
      </c>
      <c r="N1580" s="65" t="s">
        <v>80</v>
      </c>
    </row>
    <row r="1581">
      <c r="I1581" s="61" t="str">
        <f t="shared" si="6"/>
        <v>2024</v>
      </c>
      <c r="J1581" s="62">
        <f t="shared" si="7"/>
        <v>2</v>
      </c>
      <c r="K1581" s="61" t="str">
        <f t="shared" si="8"/>
        <v>2024-Q1</v>
      </c>
      <c r="L1581" s="63" t="str">
        <f t="shared" si="9"/>
        <v>2024-02</v>
      </c>
      <c r="M1581" s="64" t="str">
        <f t="shared" si="10"/>
        <v>2024-H1</v>
      </c>
      <c r="N1581" s="65" t="s">
        <v>80</v>
      </c>
    </row>
    <row r="1582">
      <c r="I1582" s="61" t="str">
        <f t="shared" si="6"/>
        <v>2024</v>
      </c>
      <c r="J1582" s="62">
        <f t="shared" si="7"/>
        <v>2</v>
      </c>
      <c r="K1582" s="61" t="str">
        <f t="shared" si="8"/>
        <v>2024-Q1</v>
      </c>
      <c r="L1582" s="63" t="str">
        <f t="shared" si="9"/>
        <v>2024-02</v>
      </c>
      <c r="M1582" s="64" t="str">
        <f t="shared" si="10"/>
        <v>2024-H1</v>
      </c>
      <c r="N1582" s="65" t="s">
        <v>80</v>
      </c>
    </row>
    <row r="1583">
      <c r="I1583" s="61" t="str">
        <f t="shared" si="6"/>
        <v>2024</v>
      </c>
      <c r="J1583" s="62">
        <f t="shared" si="7"/>
        <v>2</v>
      </c>
      <c r="K1583" s="61" t="str">
        <f t="shared" si="8"/>
        <v>2024-Q1</v>
      </c>
      <c r="L1583" s="63" t="str">
        <f t="shared" si="9"/>
        <v>2024-02</v>
      </c>
      <c r="M1583" s="64" t="str">
        <f t="shared" si="10"/>
        <v>2024-H1</v>
      </c>
      <c r="N1583" s="65" t="s">
        <v>80</v>
      </c>
    </row>
    <row r="1584">
      <c r="I1584" s="61" t="str">
        <f t="shared" si="6"/>
        <v>2024</v>
      </c>
      <c r="J1584" s="62">
        <f t="shared" si="7"/>
        <v>2</v>
      </c>
      <c r="K1584" s="61" t="str">
        <f t="shared" si="8"/>
        <v>2024-Q1</v>
      </c>
      <c r="L1584" s="63" t="str">
        <f t="shared" si="9"/>
        <v>2024-02</v>
      </c>
      <c r="M1584" s="64" t="str">
        <f t="shared" si="10"/>
        <v>2024-H1</v>
      </c>
      <c r="N1584" s="65" t="s">
        <v>80</v>
      </c>
    </row>
    <row r="1585">
      <c r="I1585" s="61" t="str">
        <f t="shared" si="6"/>
        <v>2024</v>
      </c>
      <c r="J1585" s="62">
        <f t="shared" si="7"/>
        <v>2</v>
      </c>
      <c r="K1585" s="61" t="str">
        <f t="shared" si="8"/>
        <v>2024-Q1</v>
      </c>
      <c r="L1585" s="63" t="str">
        <f t="shared" si="9"/>
        <v>2024-02</v>
      </c>
      <c r="M1585" s="64" t="str">
        <f t="shared" si="10"/>
        <v>2024-H1</v>
      </c>
      <c r="N1585" s="65" t="s">
        <v>80</v>
      </c>
    </row>
    <row r="1586">
      <c r="I1586" s="61" t="str">
        <f t="shared" si="6"/>
        <v>2024</v>
      </c>
      <c r="J1586" s="62">
        <f t="shared" si="7"/>
        <v>2</v>
      </c>
      <c r="K1586" s="61" t="str">
        <f t="shared" si="8"/>
        <v>2024-Q1</v>
      </c>
      <c r="L1586" s="63" t="str">
        <f t="shared" si="9"/>
        <v>2024-02</v>
      </c>
      <c r="M1586" s="64" t="str">
        <f t="shared" si="10"/>
        <v>2024-H1</v>
      </c>
      <c r="N1586" s="65" t="s">
        <v>80</v>
      </c>
    </row>
    <row r="1587">
      <c r="I1587" s="61" t="str">
        <f t="shared" si="6"/>
        <v>2024</v>
      </c>
      <c r="J1587" s="62">
        <f t="shared" si="7"/>
        <v>2</v>
      </c>
      <c r="K1587" s="61" t="str">
        <f t="shared" si="8"/>
        <v>2024-Q1</v>
      </c>
      <c r="L1587" s="63" t="str">
        <f t="shared" si="9"/>
        <v>2024-02</v>
      </c>
      <c r="M1587" s="64" t="str">
        <f t="shared" si="10"/>
        <v>2024-H1</v>
      </c>
      <c r="N1587" s="65" t="s">
        <v>80</v>
      </c>
    </row>
    <row r="1588">
      <c r="I1588" s="61" t="str">
        <f t="shared" si="6"/>
        <v>2024</v>
      </c>
      <c r="J1588" s="62">
        <f t="shared" si="7"/>
        <v>2</v>
      </c>
      <c r="K1588" s="61" t="str">
        <f t="shared" si="8"/>
        <v>2024-Q1</v>
      </c>
      <c r="L1588" s="63" t="str">
        <f t="shared" si="9"/>
        <v>2024-02</v>
      </c>
      <c r="M1588" s="64" t="str">
        <f t="shared" si="10"/>
        <v>2024-H1</v>
      </c>
      <c r="N1588" s="65" t="s">
        <v>80</v>
      </c>
    </row>
    <row r="1589">
      <c r="I1589" s="61" t="str">
        <f t="shared" si="6"/>
        <v>2024</v>
      </c>
      <c r="J1589" s="62">
        <f t="shared" si="7"/>
        <v>2</v>
      </c>
      <c r="K1589" s="61" t="str">
        <f t="shared" si="8"/>
        <v>2024-Q1</v>
      </c>
      <c r="L1589" s="63" t="str">
        <f t="shared" si="9"/>
        <v>2024-02</v>
      </c>
      <c r="M1589" s="64" t="str">
        <f t="shared" si="10"/>
        <v>2024-H1</v>
      </c>
      <c r="N1589" s="65" t="s">
        <v>80</v>
      </c>
    </row>
    <row r="1590">
      <c r="I1590" s="61" t="str">
        <f t="shared" si="6"/>
        <v>2024</v>
      </c>
      <c r="J1590" s="62">
        <f t="shared" si="7"/>
        <v>2</v>
      </c>
      <c r="K1590" s="61" t="str">
        <f t="shared" si="8"/>
        <v>2024-Q1</v>
      </c>
      <c r="L1590" s="63" t="str">
        <f t="shared" si="9"/>
        <v>2024-02</v>
      </c>
      <c r="M1590" s="64" t="str">
        <f t="shared" si="10"/>
        <v>2024-H1</v>
      </c>
      <c r="N1590" s="65" t="s">
        <v>80</v>
      </c>
    </row>
    <row r="1591">
      <c r="I1591" s="61" t="str">
        <f t="shared" si="6"/>
        <v>2024</v>
      </c>
      <c r="J1591" s="62">
        <f t="shared" si="7"/>
        <v>2</v>
      </c>
      <c r="K1591" s="61" t="str">
        <f t="shared" si="8"/>
        <v>2024-Q1</v>
      </c>
      <c r="L1591" s="63" t="str">
        <f t="shared" si="9"/>
        <v>2024-02</v>
      </c>
      <c r="M1591" s="64" t="str">
        <f t="shared" si="10"/>
        <v>2024-H1</v>
      </c>
      <c r="N1591" s="65" t="s">
        <v>80</v>
      </c>
    </row>
    <row r="1592">
      <c r="I1592" s="61" t="str">
        <f t="shared" si="6"/>
        <v>2024</v>
      </c>
      <c r="J1592" s="62">
        <f t="shared" si="7"/>
        <v>2</v>
      </c>
      <c r="K1592" s="61" t="str">
        <f t="shared" si="8"/>
        <v>2024-Q1</v>
      </c>
      <c r="L1592" s="63" t="str">
        <f t="shared" si="9"/>
        <v>2024-02</v>
      </c>
      <c r="M1592" s="64" t="str">
        <f t="shared" si="10"/>
        <v>2024-H1</v>
      </c>
      <c r="N1592" s="65" t="s">
        <v>80</v>
      </c>
    </row>
    <row r="1593">
      <c r="I1593" s="61" t="str">
        <f t="shared" si="6"/>
        <v>2024</v>
      </c>
      <c r="J1593" s="62">
        <f t="shared" si="7"/>
        <v>2</v>
      </c>
      <c r="K1593" s="61" t="str">
        <f t="shared" si="8"/>
        <v>2024-Q1</v>
      </c>
      <c r="L1593" s="63" t="str">
        <f t="shared" si="9"/>
        <v>2024-02</v>
      </c>
      <c r="M1593" s="64" t="str">
        <f t="shared" si="10"/>
        <v>2024-H1</v>
      </c>
      <c r="N1593" s="65" t="s">
        <v>80</v>
      </c>
    </row>
    <row r="1594">
      <c r="I1594" s="61" t="str">
        <f t="shared" si="6"/>
        <v>2024</v>
      </c>
      <c r="J1594" s="62">
        <f t="shared" si="7"/>
        <v>4</v>
      </c>
      <c r="K1594" s="61" t="str">
        <f t="shared" si="8"/>
        <v>2024-Q2</v>
      </c>
      <c r="L1594" s="63" t="str">
        <f t="shared" si="9"/>
        <v>2024-04</v>
      </c>
      <c r="M1594" s="64" t="str">
        <f t="shared" si="10"/>
        <v>2024-H1</v>
      </c>
      <c r="N1594" s="65" t="s">
        <v>80</v>
      </c>
    </row>
    <row r="1595">
      <c r="I1595" s="61" t="str">
        <f t="shared" si="6"/>
        <v>2024</v>
      </c>
      <c r="J1595" s="62">
        <f t="shared" si="7"/>
        <v>2</v>
      </c>
      <c r="K1595" s="61" t="str">
        <f t="shared" si="8"/>
        <v>2024-Q1</v>
      </c>
      <c r="L1595" s="63" t="str">
        <f t="shared" si="9"/>
        <v>2024-02</v>
      </c>
      <c r="M1595" s="64" t="str">
        <f t="shared" si="10"/>
        <v>2024-H1</v>
      </c>
      <c r="N1595" s="65" t="s">
        <v>80</v>
      </c>
    </row>
    <row r="1596">
      <c r="I1596" s="61" t="str">
        <f t="shared" si="6"/>
        <v>2024</v>
      </c>
      <c r="J1596" s="62">
        <f t="shared" si="7"/>
        <v>2</v>
      </c>
      <c r="K1596" s="61" t="str">
        <f t="shared" si="8"/>
        <v>2024-Q1</v>
      </c>
      <c r="L1596" s="63" t="str">
        <f t="shared" si="9"/>
        <v>2024-02</v>
      </c>
      <c r="M1596" s="64" t="str">
        <f t="shared" si="10"/>
        <v>2024-H1</v>
      </c>
      <c r="N1596" s="65" t="s">
        <v>80</v>
      </c>
    </row>
    <row r="1597">
      <c r="I1597" s="61" t="str">
        <f t="shared" si="6"/>
        <v>2024</v>
      </c>
      <c r="J1597" s="62">
        <f t="shared" si="7"/>
        <v>2</v>
      </c>
      <c r="K1597" s="61" t="str">
        <f t="shared" si="8"/>
        <v>2024-Q1</v>
      </c>
      <c r="L1597" s="63" t="str">
        <f t="shared" si="9"/>
        <v>2024-02</v>
      </c>
      <c r="M1597" s="64" t="str">
        <f t="shared" si="10"/>
        <v>2024-H1</v>
      </c>
      <c r="N1597" s="65" t="s">
        <v>80</v>
      </c>
    </row>
    <row r="1598">
      <c r="I1598" s="61" t="str">
        <f t="shared" si="6"/>
        <v>2024</v>
      </c>
      <c r="J1598" s="62">
        <f t="shared" si="7"/>
        <v>2</v>
      </c>
      <c r="K1598" s="61" t="str">
        <f t="shared" si="8"/>
        <v>2024-Q1</v>
      </c>
      <c r="L1598" s="63" t="str">
        <f t="shared" si="9"/>
        <v>2024-02</v>
      </c>
      <c r="M1598" s="64" t="str">
        <f t="shared" si="10"/>
        <v>2024-H1</v>
      </c>
      <c r="N1598" s="65" t="s">
        <v>80</v>
      </c>
    </row>
    <row r="1599">
      <c r="I1599" s="61" t="str">
        <f t="shared" si="6"/>
        <v>2024</v>
      </c>
      <c r="J1599" s="62">
        <f t="shared" si="7"/>
        <v>3</v>
      </c>
      <c r="K1599" s="61" t="str">
        <f t="shared" si="8"/>
        <v>2024-Q1</v>
      </c>
      <c r="L1599" s="63" t="str">
        <f t="shared" si="9"/>
        <v>2024-03</v>
      </c>
      <c r="M1599" s="64" t="str">
        <f t="shared" si="10"/>
        <v>2024-H1</v>
      </c>
      <c r="N1599" s="65" t="s">
        <v>80</v>
      </c>
    </row>
    <row r="1600">
      <c r="I1600" s="61" t="str">
        <f t="shared" si="6"/>
        <v>2024</v>
      </c>
      <c r="J1600" s="62">
        <f t="shared" si="7"/>
        <v>3</v>
      </c>
      <c r="K1600" s="61" t="str">
        <f t="shared" si="8"/>
        <v>2024-Q1</v>
      </c>
      <c r="L1600" s="63" t="str">
        <f t="shared" si="9"/>
        <v>2024-03</v>
      </c>
      <c r="M1600" s="64" t="str">
        <f t="shared" si="10"/>
        <v>2024-H1</v>
      </c>
      <c r="N1600" s="65" t="s">
        <v>80</v>
      </c>
    </row>
    <row r="1601">
      <c r="I1601" s="61" t="str">
        <f t="shared" si="6"/>
        <v>2024</v>
      </c>
      <c r="J1601" s="62">
        <f t="shared" si="7"/>
        <v>2</v>
      </c>
      <c r="K1601" s="61" t="str">
        <f t="shared" si="8"/>
        <v>2024-Q1</v>
      </c>
      <c r="L1601" s="63" t="str">
        <f t="shared" si="9"/>
        <v>2024-02</v>
      </c>
      <c r="M1601" s="64" t="str">
        <f t="shared" si="10"/>
        <v>2024-H1</v>
      </c>
      <c r="N1601" s="65" t="s">
        <v>80</v>
      </c>
    </row>
    <row r="1602">
      <c r="I1602" s="61" t="str">
        <f t="shared" si="6"/>
        <v>2024</v>
      </c>
      <c r="J1602" s="62">
        <f t="shared" si="7"/>
        <v>3</v>
      </c>
      <c r="K1602" s="61" t="str">
        <f t="shared" si="8"/>
        <v>2024-Q1</v>
      </c>
      <c r="L1602" s="63" t="str">
        <f t="shared" si="9"/>
        <v>2024-03</v>
      </c>
      <c r="M1602" s="64" t="str">
        <f t="shared" si="10"/>
        <v>2024-H1</v>
      </c>
      <c r="N1602" s="65" t="s">
        <v>80</v>
      </c>
    </row>
    <row r="1603">
      <c r="I1603" s="61" t="str">
        <f t="shared" si="6"/>
        <v>2024</v>
      </c>
      <c r="J1603" s="62">
        <f t="shared" si="7"/>
        <v>3</v>
      </c>
      <c r="K1603" s="61" t="str">
        <f t="shared" si="8"/>
        <v>2024-Q1</v>
      </c>
      <c r="L1603" s="63" t="str">
        <f t="shared" si="9"/>
        <v>2024-03</v>
      </c>
      <c r="M1603" s="64" t="str">
        <f t="shared" si="10"/>
        <v>2024-H1</v>
      </c>
      <c r="N1603" s="65" t="s">
        <v>80</v>
      </c>
    </row>
    <row r="1604">
      <c r="I1604" s="61" t="str">
        <f t="shared" si="6"/>
        <v>2024</v>
      </c>
      <c r="J1604" s="62">
        <f t="shared" si="7"/>
        <v>2</v>
      </c>
      <c r="K1604" s="61" t="str">
        <f t="shared" si="8"/>
        <v>2024-Q1</v>
      </c>
      <c r="L1604" s="63" t="str">
        <f t="shared" si="9"/>
        <v>2024-02</v>
      </c>
      <c r="M1604" s="64" t="str">
        <f t="shared" si="10"/>
        <v>2024-H1</v>
      </c>
      <c r="N1604" s="65" t="s">
        <v>80</v>
      </c>
    </row>
    <row r="1605">
      <c r="I1605" s="61" t="str">
        <f t="shared" si="6"/>
        <v>2024</v>
      </c>
      <c r="J1605" s="62">
        <f t="shared" si="7"/>
        <v>3</v>
      </c>
      <c r="K1605" s="61" t="str">
        <f t="shared" si="8"/>
        <v>2024-Q1</v>
      </c>
      <c r="L1605" s="63" t="str">
        <f t="shared" si="9"/>
        <v>2024-03</v>
      </c>
      <c r="M1605" s="64" t="str">
        <f t="shared" si="10"/>
        <v>2024-H1</v>
      </c>
      <c r="N1605" s="65" t="s">
        <v>80</v>
      </c>
    </row>
    <row r="1606">
      <c r="I1606" s="61" t="str">
        <f t="shared" si="6"/>
        <v>2024</v>
      </c>
      <c r="J1606" s="62">
        <f t="shared" si="7"/>
        <v>3</v>
      </c>
      <c r="K1606" s="61" t="str">
        <f t="shared" si="8"/>
        <v>2024-Q1</v>
      </c>
      <c r="L1606" s="63" t="str">
        <f t="shared" si="9"/>
        <v>2024-03</v>
      </c>
      <c r="M1606" s="64" t="str">
        <f t="shared" si="10"/>
        <v>2024-H1</v>
      </c>
      <c r="N1606" s="65" t="s">
        <v>80</v>
      </c>
    </row>
    <row r="1607">
      <c r="I1607" s="61" t="str">
        <f t="shared" si="6"/>
        <v>2024</v>
      </c>
      <c r="J1607" s="62">
        <f t="shared" si="7"/>
        <v>2</v>
      </c>
      <c r="K1607" s="61" t="str">
        <f t="shared" si="8"/>
        <v>2024-Q1</v>
      </c>
      <c r="L1607" s="63" t="str">
        <f t="shared" si="9"/>
        <v>2024-02</v>
      </c>
      <c r="M1607" s="64" t="str">
        <f t="shared" si="10"/>
        <v>2024-H1</v>
      </c>
      <c r="N1607" s="65" t="s">
        <v>80</v>
      </c>
    </row>
    <row r="1608">
      <c r="I1608" s="61" t="str">
        <f t="shared" si="6"/>
        <v>2024</v>
      </c>
      <c r="J1608" s="62">
        <f t="shared" si="7"/>
        <v>2</v>
      </c>
      <c r="K1608" s="61" t="str">
        <f t="shared" si="8"/>
        <v>2024-Q1</v>
      </c>
      <c r="L1608" s="63" t="str">
        <f t="shared" si="9"/>
        <v>2024-02</v>
      </c>
      <c r="M1608" s="64" t="str">
        <f t="shared" si="10"/>
        <v>2024-H1</v>
      </c>
      <c r="N1608" s="65" t="s">
        <v>80</v>
      </c>
    </row>
    <row r="1609">
      <c r="I1609" s="61" t="str">
        <f t="shared" si="6"/>
        <v>2024</v>
      </c>
      <c r="J1609" s="62">
        <f t="shared" si="7"/>
        <v>3</v>
      </c>
      <c r="K1609" s="61" t="str">
        <f t="shared" si="8"/>
        <v>2024-Q1</v>
      </c>
      <c r="L1609" s="63" t="str">
        <f t="shared" si="9"/>
        <v>2024-03</v>
      </c>
      <c r="M1609" s="64" t="str">
        <f t="shared" si="10"/>
        <v>2024-H1</v>
      </c>
      <c r="N1609" s="65" t="s">
        <v>80</v>
      </c>
    </row>
    <row r="1610">
      <c r="I1610" s="61" t="str">
        <f t="shared" si="6"/>
        <v>2024</v>
      </c>
      <c r="J1610" s="62">
        <f t="shared" si="7"/>
        <v>3</v>
      </c>
      <c r="K1610" s="61" t="str">
        <f t="shared" si="8"/>
        <v>2024-Q1</v>
      </c>
      <c r="L1610" s="63" t="str">
        <f t="shared" si="9"/>
        <v>2024-03</v>
      </c>
      <c r="M1610" s="64" t="str">
        <f t="shared" si="10"/>
        <v>2024-H1</v>
      </c>
      <c r="N1610" s="65" t="s">
        <v>80</v>
      </c>
    </row>
    <row r="1611">
      <c r="I1611" s="61" t="str">
        <f t="shared" si="6"/>
        <v>2024</v>
      </c>
      <c r="J1611" s="62">
        <f t="shared" si="7"/>
        <v>3</v>
      </c>
      <c r="K1611" s="61" t="str">
        <f t="shared" si="8"/>
        <v>2024-Q1</v>
      </c>
      <c r="L1611" s="63" t="str">
        <f t="shared" si="9"/>
        <v>2024-03</v>
      </c>
      <c r="M1611" s="64" t="str">
        <f t="shared" si="10"/>
        <v>2024-H1</v>
      </c>
      <c r="N1611" s="65" t="s">
        <v>80</v>
      </c>
    </row>
    <row r="1612">
      <c r="I1612" s="61" t="str">
        <f t="shared" si="6"/>
        <v>2024</v>
      </c>
      <c r="J1612" s="62">
        <f t="shared" si="7"/>
        <v>2</v>
      </c>
      <c r="K1612" s="61" t="str">
        <f t="shared" si="8"/>
        <v>2024-Q1</v>
      </c>
      <c r="L1612" s="63" t="str">
        <f t="shared" si="9"/>
        <v>2024-02</v>
      </c>
      <c r="M1612" s="64" t="str">
        <f t="shared" si="10"/>
        <v>2024-H1</v>
      </c>
      <c r="N1612" s="65" t="s">
        <v>80</v>
      </c>
    </row>
    <row r="1613">
      <c r="I1613" s="61" t="str">
        <f t="shared" si="6"/>
        <v>2024</v>
      </c>
      <c r="J1613" s="62">
        <f t="shared" si="7"/>
        <v>2</v>
      </c>
      <c r="K1613" s="61" t="str">
        <f t="shared" si="8"/>
        <v>2024-Q1</v>
      </c>
      <c r="L1613" s="63" t="str">
        <f t="shared" si="9"/>
        <v>2024-02</v>
      </c>
      <c r="M1613" s="64" t="str">
        <f t="shared" si="10"/>
        <v>2024-H1</v>
      </c>
      <c r="N1613" s="65" t="s">
        <v>80</v>
      </c>
    </row>
    <row r="1614">
      <c r="I1614" s="61" t="str">
        <f t="shared" si="6"/>
        <v>2024</v>
      </c>
      <c r="J1614" s="62">
        <f t="shared" si="7"/>
        <v>2</v>
      </c>
      <c r="K1614" s="61" t="str">
        <f t="shared" si="8"/>
        <v>2024-Q1</v>
      </c>
      <c r="L1614" s="63" t="str">
        <f t="shared" si="9"/>
        <v>2024-02</v>
      </c>
      <c r="M1614" s="64" t="str">
        <f t="shared" si="10"/>
        <v>2024-H1</v>
      </c>
      <c r="N1614" s="65" t="s">
        <v>80</v>
      </c>
    </row>
    <row r="1615">
      <c r="I1615" s="61" t="str">
        <f t="shared" si="6"/>
        <v>2024</v>
      </c>
      <c r="J1615" s="62">
        <f t="shared" si="7"/>
        <v>2</v>
      </c>
      <c r="K1615" s="61" t="str">
        <f t="shared" si="8"/>
        <v>2024-Q1</v>
      </c>
      <c r="L1615" s="63" t="str">
        <f t="shared" si="9"/>
        <v>2024-02</v>
      </c>
      <c r="M1615" s="64" t="str">
        <f t="shared" si="10"/>
        <v>2024-H1</v>
      </c>
      <c r="N1615" s="65" t="s">
        <v>80</v>
      </c>
    </row>
    <row r="1616">
      <c r="I1616" s="61" t="str">
        <f t="shared" si="6"/>
        <v>2024</v>
      </c>
      <c r="J1616" s="62">
        <f t="shared" si="7"/>
        <v>3</v>
      </c>
      <c r="K1616" s="61" t="str">
        <f t="shared" si="8"/>
        <v>2024-Q1</v>
      </c>
      <c r="L1616" s="63" t="str">
        <f t="shared" si="9"/>
        <v>2024-03</v>
      </c>
      <c r="M1616" s="64" t="str">
        <f t="shared" si="10"/>
        <v>2024-H1</v>
      </c>
      <c r="N1616" s="65" t="s">
        <v>80</v>
      </c>
    </row>
    <row r="1617">
      <c r="I1617" s="61" t="str">
        <f t="shared" si="6"/>
        <v>2024</v>
      </c>
      <c r="J1617" s="62">
        <f t="shared" si="7"/>
        <v>3</v>
      </c>
      <c r="K1617" s="61" t="str">
        <f t="shared" si="8"/>
        <v>2024-Q1</v>
      </c>
      <c r="L1617" s="63" t="str">
        <f t="shared" si="9"/>
        <v>2024-03</v>
      </c>
      <c r="M1617" s="64" t="str">
        <f t="shared" si="10"/>
        <v>2024-H1</v>
      </c>
      <c r="N1617" s="65" t="s">
        <v>80</v>
      </c>
    </row>
    <row r="1618">
      <c r="I1618" s="61" t="str">
        <f t="shared" si="6"/>
        <v>2024</v>
      </c>
      <c r="J1618" s="62">
        <f t="shared" si="7"/>
        <v>3</v>
      </c>
      <c r="K1618" s="61" t="str">
        <f t="shared" si="8"/>
        <v>2024-Q1</v>
      </c>
      <c r="L1618" s="63" t="str">
        <f t="shared" si="9"/>
        <v>2024-03</v>
      </c>
      <c r="M1618" s="64" t="str">
        <f t="shared" si="10"/>
        <v>2024-H1</v>
      </c>
      <c r="N1618" s="65" t="s">
        <v>80</v>
      </c>
    </row>
    <row r="1619">
      <c r="I1619" s="61" t="str">
        <f t="shared" si="6"/>
        <v>2024</v>
      </c>
      <c r="J1619" s="62">
        <f t="shared" si="7"/>
        <v>4</v>
      </c>
      <c r="K1619" s="61" t="str">
        <f t="shared" si="8"/>
        <v>2024-Q2</v>
      </c>
      <c r="L1619" s="63" t="str">
        <f t="shared" si="9"/>
        <v>2024-04</v>
      </c>
      <c r="M1619" s="64" t="str">
        <f t="shared" si="10"/>
        <v>2024-H1</v>
      </c>
      <c r="N1619" s="65" t="s">
        <v>80</v>
      </c>
    </row>
    <row r="1620">
      <c r="I1620" s="61" t="str">
        <f t="shared" si="6"/>
        <v>2024</v>
      </c>
      <c r="J1620" s="62">
        <f t="shared" si="7"/>
        <v>3</v>
      </c>
      <c r="K1620" s="61" t="str">
        <f t="shared" si="8"/>
        <v>2024-Q1</v>
      </c>
      <c r="L1620" s="63" t="str">
        <f t="shared" si="9"/>
        <v>2024-03</v>
      </c>
      <c r="M1620" s="64" t="str">
        <f t="shared" si="10"/>
        <v>2024-H1</v>
      </c>
      <c r="N1620" s="65" t="s">
        <v>80</v>
      </c>
    </row>
    <row r="1621">
      <c r="I1621" s="61" t="str">
        <f t="shared" si="6"/>
        <v>2024</v>
      </c>
      <c r="J1621" s="62">
        <f t="shared" si="7"/>
        <v>3</v>
      </c>
      <c r="K1621" s="61" t="str">
        <f t="shared" si="8"/>
        <v>2024-Q1</v>
      </c>
      <c r="L1621" s="63" t="str">
        <f t="shared" si="9"/>
        <v>2024-03</v>
      </c>
      <c r="M1621" s="64" t="str">
        <f t="shared" si="10"/>
        <v>2024-H1</v>
      </c>
      <c r="N1621" s="65" t="s">
        <v>80</v>
      </c>
    </row>
    <row r="1622">
      <c r="I1622" s="61" t="str">
        <f t="shared" si="6"/>
        <v>2024</v>
      </c>
      <c r="J1622" s="62">
        <f t="shared" si="7"/>
        <v>3</v>
      </c>
      <c r="K1622" s="61" t="str">
        <f t="shared" si="8"/>
        <v>2024-Q1</v>
      </c>
      <c r="L1622" s="63" t="str">
        <f t="shared" si="9"/>
        <v>2024-03</v>
      </c>
      <c r="M1622" s="64" t="str">
        <f t="shared" si="10"/>
        <v>2024-H1</v>
      </c>
      <c r="N1622" s="65" t="s">
        <v>80</v>
      </c>
    </row>
    <row r="1623">
      <c r="I1623" s="61" t="str">
        <f t="shared" si="6"/>
        <v>2024</v>
      </c>
      <c r="J1623" s="62">
        <f t="shared" si="7"/>
        <v>3</v>
      </c>
      <c r="K1623" s="61" t="str">
        <f t="shared" si="8"/>
        <v>2024-Q1</v>
      </c>
      <c r="L1623" s="63" t="str">
        <f t="shared" si="9"/>
        <v>2024-03</v>
      </c>
      <c r="M1623" s="64" t="str">
        <f t="shared" si="10"/>
        <v>2024-H1</v>
      </c>
      <c r="N1623" s="65" t="s">
        <v>80</v>
      </c>
    </row>
    <row r="1624">
      <c r="I1624" s="61" t="str">
        <f t="shared" si="6"/>
        <v>2024</v>
      </c>
      <c r="J1624" s="62">
        <f t="shared" si="7"/>
        <v>3</v>
      </c>
      <c r="K1624" s="61" t="str">
        <f t="shared" si="8"/>
        <v>2024-Q1</v>
      </c>
      <c r="L1624" s="63" t="str">
        <f t="shared" si="9"/>
        <v>2024-03</v>
      </c>
      <c r="M1624" s="64" t="str">
        <f t="shared" si="10"/>
        <v>2024-H1</v>
      </c>
      <c r="N1624" s="65" t="s">
        <v>80</v>
      </c>
    </row>
    <row r="1625">
      <c r="I1625" s="61" t="str">
        <f t="shared" si="6"/>
        <v>2024</v>
      </c>
      <c r="J1625" s="62">
        <f t="shared" si="7"/>
        <v>3</v>
      </c>
      <c r="K1625" s="61" t="str">
        <f t="shared" si="8"/>
        <v>2024-Q1</v>
      </c>
      <c r="L1625" s="63" t="str">
        <f t="shared" si="9"/>
        <v>2024-03</v>
      </c>
      <c r="M1625" s="64" t="str">
        <f t="shared" si="10"/>
        <v>2024-H1</v>
      </c>
      <c r="N1625" s="65" t="s">
        <v>80</v>
      </c>
    </row>
    <row r="1626">
      <c r="I1626" s="61" t="str">
        <f t="shared" si="6"/>
        <v>2024</v>
      </c>
      <c r="J1626" s="62">
        <f t="shared" si="7"/>
        <v>3</v>
      </c>
      <c r="K1626" s="61" t="str">
        <f t="shared" si="8"/>
        <v>2024-Q1</v>
      </c>
      <c r="L1626" s="63" t="str">
        <f t="shared" si="9"/>
        <v>2024-03</v>
      </c>
      <c r="M1626" s="64" t="str">
        <f t="shared" si="10"/>
        <v>2024-H1</v>
      </c>
      <c r="N1626" s="65" t="s">
        <v>80</v>
      </c>
    </row>
    <row r="1627">
      <c r="I1627" s="61" t="str">
        <f t="shared" si="6"/>
        <v>2024</v>
      </c>
      <c r="J1627" s="62">
        <f t="shared" si="7"/>
        <v>3</v>
      </c>
      <c r="K1627" s="61" t="str">
        <f t="shared" si="8"/>
        <v>2024-Q1</v>
      </c>
      <c r="L1627" s="63" t="str">
        <f t="shared" si="9"/>
        <v>2024-03</v>
      </c>
      <c r="M1627" s="64" t="str">
        <f t="shared" si="10"/>
        <v>2024-H1</v>
      </c>
      <c r="N1627" s="65" t="s">
        <v>80</v>
      </c>
    </row>
    <row r="1628">
      <c r="I1628" s="61" t="str">
        <f t="shared" si="6"/>
        <v>2024</v>
      </c>
      <c r="J1628" s="62">
        <f t="shared" si="7"/>
        <v>3</v>
      </c>
      <c r="K1628" s="61" t="str">
        <f t="shared" si="8"/>
        <v>2024-Q1</v>
      </c>
      <c r="L1628" s="63" t="str">
        <f t="shared" si="9"/>
        <v>2024-03</v>
      </c>
      <c r="M1628" s="64" t="str">
        <f t="shared" si="10"/>
        <v>2024-H1</v>
      </c>
      <c r="N1628" s="65" t="s">
        <v>80</v>
      </c>
    </row>
    <row r="1629">
      <c r="I1629" s="61" t="str">
        <f t="shared" si="6"/>
        <v>2024</v>
      </c>
      <c r="J1629" s="62">
        <f t="shared" si="7"/>
        <v>3</v>
      </c>
      <c r="K1629" s="61" t="str">
        <f t="shared" si="8"/>
        <v>2024-Q1</v>
      </c>
      <c r="L1629" s="63" t="str">
        <f t="shared" si="9"/>
        <v>2024-03</v>
      </c>
      <c r="M1629" s="64" t="str">
        <f t="shared" si="10"/>
        <v>2024-H1</v>
      </c>
      <c r="N1629" s="65" t="s">
        <v>80</v>
      </c>
    </row>
    <row r="1630">
      <c r="I1630" s="61" t="str">
        <f t="shared" si="6"/>
        <v>2024</v>
      </c>
      <c r="J1630" s="62">
        <f t="shared" si="7"/>
        <v>3</v>
      </c>
      <c r="K1630" s="61" t="str">
        <f t="shared" si="8"/>
        <v>2024-Q1</v>
      </c>
      <c r="L1630" s="63" t="str">
        <f t="shared" si="9"/>
        <v>2024-03</v>
      </c>
      <c r="M1630" s="64" t="str">
        <f t="shared" si="10"/>
        <v>2024-H1</v>
      </c>
      <c r="N1630" s="65" t="s">
        <v>80</v>
      </c>
    </row>
    <row r="1631">
      <c r="I1631" s="61" t="str">
        <f t="shared" si="6"/>
        <v>2024</v>
      </c>
      <c r="J1631" s="62">
        <f t="shared" si="7"/>
        <v>3</v>
      </c>
      <c r="K1631" s="61" t="str">
        <f t="shared" si="8"/>
        <v>2024-Q1</v>
      </c>
      <c r="L1631" s="63" t="str">
        <f t="shared" si="9"/>
        <v>2024-03</v>
      </c>
      <c r="M1631" s="64" t="str">
        <f t="shared" si="10"/>
        <v>2024-H1</v>
      </c>
      <c r="N1631" s="65" t="s">
        <v>80</v>
      </c>
    </row>
    <row r="1632">
      <c r="I1632" s="61" t="str">
        <f t="shared" si="6"/>
        <v>2024</v>
      </c>
      <c r="J1632" s="62">
        <f t="shared" si="7"/>
        <v>3</v>
      </c>
      <c r="K1632" s="61" t="str">
        <f t="shared" si="8"/>
        <v>2024-Q1</v>
      </c>
      <c r="L1632" s="63" t="str">
        <f t="shared" si="9"/>
        <v>2024-03</v>
      </c>
      <c r="M1632" s="64" t="str">
        <f t="shared" si="10"/>
        <v>2024-H1</v>
      </c>
      <c r="N1632" s="65" t="s">
        <v>80</v>
      </c>
    </row>
    <row r="1633">
      <c r="I1633" s="61" t="str">
        <f t="shared" si="6"/>
        <v>2024</v>
      </c>
      <c r="J1633" s="62">
        <f t="shared" si="7"/>
        <v>3</v>
      </c>
      <c r="K1633" s="61" t="str">
        <f t="shared" si="8"/>
        <v>2024-Q1</v>
      </c>
      <c r="L1633" s="63" t="str">
        <f t="shared" si="9"/>
        <v>2024-03</v>
      </c>
      <c r="M1633" s="64" t="str">
        <f t="shared" si="10"/>
        <v>2024-H1</v>
      </c>
      <c r="N1633" s="65" t="s">
        <v>80</v>
      </c>
    </row>
    <row r="1634">
      <c r="I1634" s="61" t="str">
        <f t="shared" si="6"/>
        <v>2024</v>
      </c>
      <c r="J1634" s="62">
        <f t="shared" si="7"/>
        <v>3</v>
      </c>
      <c r="K1634" s="61" t="str">
        <f t="shared" si="8"/>
        <v>2024-Q1</v>
      </c>
      <c r="L1634" s="63" t="str">
        <f t="shared" si="9"/>
        <v>2024-03</v>
      </c>
      <c r="M1634" s="64" t="str">
        <f t="shared" si="10"/>
        <v>2024-H1</v>
      </c>
      <c r="N1634" s="65" t="s">
        <v>80</v>
      </c>
    </row>
    <row r="1635">
      <c r="I1635" s="61" t="str">
        <f t="shared" si="6"/>
        <v>2024</v>
      </c>
      <c r="J1635" s="62">
        <f t="shared" si="7"/>
        <v>3</v>
      </c>
      <c r="K1635" s="61" t="str">
        <f t="shared" si="8"/>
        <v>2024-Q1</v>
      </c>
      <c r="L1635" s="63" t="str">
        <f t="shared" si="9"/>
        <v>2024-03</v>
      </c>
      <c r="M1635" s="64" t="str">
        <f t="shared" si="10"/>
        <v>2024-H1</v>
      </c>
      <c r="N1635" s="65" t="s">
        <v>80</v>
      </c>
    </row>
    <row r="1636">
      <c r="I1636" s="61" t="str">
        <f t="shared" si="6"/>
        <v>2024</v>
      </c>
      <c r="J1636" s="62">
        <f t="shared" si="7"/>
        <v>3</v>
      </c>
      <c r="K1636" s="61" t="str">
        <f t="shared" si="8"/>
        <v>2024-Q1</v>
      </c>
      <c r="L1636" s="63" t="str">
        <f t="shared" si="9"/>
        <v>2024-03</v>
      </c>
      <c r="M1636" s="64" t="str">
        <f t="shared" si="10"/>
        <v>2024-H1</v>
      </c>
      <c r="N1636" s="65" t="s">
        <v>80</v>
      </c>
    </row>
    <row r="1637">
      <c r="I1637" s="61" t="str">
        <f t="shared" si="6"/>
        <v>2024</v>
      </c>
      <c r="J1637" s="62">
        <f t="shared" si="7"/>
        <v>3</v>
      </c>
      <c r="K1637" s="61" t="str">
        <f t="shared" si="8"/>
        <v>2024-Q1</v>
      </c>
      <c r="L1637" s="63" t="str">
        <f t="shared" si="9"/>
        <v>2024-03</v>
      </c>
      <c r="M1637" s="64" t="str">
        <f t="shared" si="10"/>
        <v>2024-H1</v>
      </c>
      <c r="N1637" s="65" t="s">
        <v>80</v>
      </c>
    </row>
    <row r="1638">
      <c r="I1638" s="61" t="str">
        <f t="shared" si="6"/>
        <v>2024</v>
      </c>
      <c r="J1638" s="62">
        <f t="shared" si="7"/>
        <v>3</v>
      </c>
      <c r="K1638" s="61" t="str">
        <f t="shared" si="8"/>
        <v>2024-Q1</v>
      </c>
      <c r="L1638" s="63" t="str">
        <f t="shared" si="9"/>
        <v>2024-03</v>
      </c>
      <c r="M1638" s="64" t="str">
        <f t="shared" si="10"/>
        <v>2024-H1</v>
      </c>
      <c r="N1638" s="65" t="s">
        <v>80</v>
      </c>
    </row>
    <row r="1639">
      <c r="I1639" s="61" t="str">
        <f t="shared" si="6"/>
        <v>2024</v>
      </c>
      <c r="J1639" s="62">
        <f t="shared" si="7"/>
        <v>3</v>
      </c>
      <c r="K1639" s="61" t="str">
        <f t="shared" si="8"/>
        <v>2024-Q1</v>
      </c>
      <c r="L1639" s="63" t="str">
        <f t="shared" si="9"/>
        <v>2024-03</v>
      </c>
      <c r="M1639" s="64" t="str">
        <f t="shared" si="10"/>
        <v>2024-H1</v>
      </c>
      <c r="N1639" s="65" t="s">
        <v>80</v>
      </c>
    </row>
    <row r="1640">
      <c r="I1640" s="61" t="str">
        <f t="shared" si="6"/>
        <v>2024</v>
      </c>
      <c r="J1640" s="62">
        <f t="shared" si="7"/>
        <v>3</v>
      </c>
      <c r="K1640" s="61" t="str">
        <f t="shared" si="8"/>
        <v>2024-Q1</v>
      </c>
      <c r="L1640" s="63" t="str">
        <f t="shared" si="9"/>
        <v>2024-03</v>
      </c>
      <c r="M1640" s="64" t="str">
        <f t="shared" si="10"/>
        <v>2024-H1</v>
      </c>
      <c r="N1640" s="65" t="s">
        <v>80</v>
      </c>
    </row>
    <row r="1641">
      <c r="I1641" s="61" t="str">
        <f t="shared" si="6"/>
        <v>2024</v>
      </c>
      <c r="J1641" s="62">
        <f t="shared" si="7"/>
        <v>3</v>
      </c>
      <c r="K1641" s="61" t="str">
        <f t="shared" si="8"/>
        <v>2024-Q1</v>
      </c>
      <c r="L1641" s="63" t="str">
        <f t="shared" si="9"/>
        <v>2024-03</v>
      </c>
      <c r="M1641" s="64" t="str">
        <f t="shared" si="10"/>
        <v>2024-H1</v>
      </c>
      <c r="N1641" s="65" t="s">
        <v>80</v>
      </c>
    </row>
    <row r="1642">
      <c r="I1642" s="61" t="str">
        <f t="shared" si="6"/>
        <v>2024</v>
      </c>
      <c r="J1642" s="62">
        <f t="shared" si="7"/>
        <v>3</v>
      </c>
      <c r="K1642" s="61" t="str">
        <f t="shared" si="8"/>
        <v>2024-Q1</v>
      </c>
      <c r="L1642" s="63" t="str">
        <f t="shared" si="9"/>
        <v>2024-03</v>
      </c>
      <c r="M1642" s="64" t="str">
        <f t="shared" si="10"/>
        <v>2024-H1</v>
      </c>
      <c r="N1642" s="65" t="s">
        <v>80</v>
      </c>
    </row>
    <row r="1643">
      <c r="I1643" s="61" t="str">
        <f t="shared" si="6"/>
        <v>2024</v>
      </c>
      <c r="J1643" s="62">
        <f t="shared" si="7"/>
        <v>3</v>
      </c>
      <c r="K1643" s="61" t="str">
        <f t="shared" si="8"/>
        <v>2024-Q1</v>
      </c>
      <c r="L1643" s="63" t="str">
        <f t="shared" si="9"/>
        <v>2024-03</v>
      </c>
      <c r="M1643" s="64" t="str">
        <f t="shared" si="10"/>
        <v>2024-H1</v>
      </c>
      <c r="N1643" s="65" t="s">
        <v>80</v>
      </c>
    </row>
    <row r="1644">
      <c r="I1644" s="61" t="str">
        <f t="shared" si="6"/>
        <v>2024</v>
      </c>
      <c r="J1644" s="62">
        <f t="shared" si="7"/>
        <v>3</v>
      </c>
      <c r="K1644" s="61" t="str">
        <f t="shared" si="8"/>
        <v>2024-Q1</v>
      </c>
      <c r="L1644" s="63" t="str">
        <f t="shared" si="9"/>
        <v>2024-03</v>
      </c>
      <c r="M1644" s="64" t="str">
        <f t="shared" si="10"/>
        <v>2024-H1</v>
      </c>
      <c r="N1644" s="65" t="s">
        <v>80</v>
      </c>
    </row>
    <row r="1645">
      <c r="I1645" s="61" t="str">
        <f t="shared" si="6"/>
        <v>2024</v>
      </c>
      <c r="J1645" s="62">
        <f t="shared" si="7"/>
        <v>3</v>
      </c>
      <c r="K1645" s="61" t="str">
        <f t="shared" si="8"/>
        <v>2024-Q1</v>
      </c>
      <c r="L1645" s="63" t="str">
        <f t="shared" si="9"/>
        <v>2024-03</v>
      </c>
      <c r="M1645" s="64" t="str">
        <f t="shared" si="10"/>
        <v>2024-H1</v>
      </c>
      <c r="N1645" s="65" t="s">
        <v>80</v>
      </c>
    </row>
    <row r="1646">
      <c r="I1646" s="61" t="str">
        <f t="shared" si="6"/>
        <v>2024</v>
      </c>
      <c r="J1646" s="62">
        <f t="shared" si="7"/>
        <v>3</v>
      </c>
      <c r="K1646" s="61" t="str">
        <f t="shared" si="8"/>
        <v>2024-Q1</v>
      </c>
      <c r="L1646" s="63" t="str">
        <f t="shared" si="9"/>
        <v>2024-03</v>
      </c>
      <c r="M1646" s="64" t="str">
        <f t="shared" si="10"/>
        <v>2024-H1</v>
      </c>
      <c r="N1646" s="65" t="s">
        <v>80</v>
      </c>
    </row>
    <row r="1647">
      <c r="I1647" s="61" t="str">
        <f t="shared" si="6"/>
        <v>2024</v>
      </c>
      <c r="J1647" s="62">
        <f t="shared" si="7"/>
        <v>3</v>
      </c>
      <c r="K1647" s="61" t="str">
        <f t="shared" si="8"/>
        <v>2024-Q1</v>
      </c>
      <c r="L1647" s="63" t="str">
        <f t="shared" si="9"/>
        <v>2024-03</v>
      </c>
      <c r="M1647" s="64" t="str">
        <f t="shared" si="10"/>
        <v>2024-H1</v>
      </c>
      <c r="N1647" s="65" t="s">
        <v>80</v>
      </c>
    </row>
    <row r="1648">
      <c r="I1648" s="61" t="str">
        <f t="shared" si="6"/>
        <v>2024</v>
      </c>
      <c r="J1648" s="62">
        <f t="shared" si="7"/>
        <v>3</v>
      </c>
      <c r="K1648" s="61" t="str">
        <f t="shared" si="8"/>
        <v>2024-Q1</v>
      </c>
      <c r="L1648" s="63" t="str">
        <f t="shared" si="9"/>
        <v>2024-03</v>
      </c>
      <c r="M1648" s="64" t="str">
        <f t="shared" si="10"/>
        <v>2024-H1</v>
      </c>
      <c r="N1648" s="65" t="s">
        <v>80</v>
      </c>
    </row>
    <row r="1649">
      <c r="I1649" s="61" t="str">
        <f t="shared" si="6"/>
        <v>2024</v>
      </c>
      <c r="J1649" s="62">
        <f t="shared" si="7"/>
        <v>3</v>
      </c>
      <c r="K1649" s="61" t="str">
        <f t="shared" si="8"/>
        <v>2024-Q1</v>
      </c>
      <c r="L1649" s="63" t="str">
        <f t="shared" si="9"/>
        <v>2024-03</v>
      </c>
      <c r="M1649" s="64" t="str">
        <f t="shared" si="10"/>
        <v>2024-H1</v>
      </c>
      <c r="N1649" s="65" t="s">
        <v>80</v>
      </c>
    </row>
    <row r="1650">
      <c r="I1650" s="61" t="str">
        <f t="shared" si="6"/>
        <v>2024</v>
      </c>
      <c r="J1650" s="62">
        <f t="shared" si="7"/>
        <v>3</v>
      </c>
      <c r="K1650" s="61" t="str">
        <f t="shared" si="8"/>
        <v>2024-Q1</v>
      </c>
      <c r="L1650" s="63" t="str">
        <f t="shared" si="9"/>
        <v>2024-03</v>
      </c>
      <c r="M1650" s="64" t="str">
        <f t="shared" si="10"/>
        <v>2024-H1</v>
      </c>
      <c r="N1650" s="65" t="s">
        <v>80</v>
      </c>
    </row>
    <row r="1651">
      <c r="I1651" s="61" t="str">
        <f t="shared" si="6"/>
        <v>2024</v>
      </c>
      <c r="J1651" s="62">
        <f t="shared" si="7"/>
        <v>3</v>
      </c>
      <c r="K1651" s="61" t="str">
        <f t="shared" si="8"/>
        <v>2024-Q1</v>
      </c>
      <c r="L1651" s="63" t="str">
        <f t="shared" si="9"/>
        <v>2024-03</v>
      </c>
      <c r="M1651" s="64" t="str">
        <f t="shared" si="10"/>
        <v>2024-H1</v>
      </c>
      <c r="N1651" s="65" t="s">
        <v>80</v>
      </c>
    </row>
    <row r="1652">
      <c r="I1652" s="61" t="str">
        <f t="shared" si="6"/>
        <v>2024</v>
      </c>
      <c r="J1652" s="62">
        <f t="shared" si="7"/>
        <v>3</v>
      </c>
      <c r="K1652" s="61" t="str">
        <f t="shared" si="8"/>
        <v>2024-Q1</v>
      </c>
      <c r="L1652" s="63" t="str">
        <f t="shared" si="9"/>
        <v>2024-03</v>
      </c>
      <c r="M1652" s="64" t="str">
        <f t="shared" si="10"/>
        <v>2024-H1</v>
      </c>
      <c r="N1652" s="65" t="s">
        <v>80</v>
      </c>
    </row>
    <row r="1653">
      <c r="I1653" s="61" t="str">
        <f t="shared" si="6"/>
        <v>2024</v>
      </c>
      <c r="J1653" s="62">
        <f t="shared" si="7"/>
        <v>3</v>
      </c>
      <c r="K1653" s="61" t="str">
        <f t="shared" si="8"/>
        <v>2024-Q1</v>
      </c>
      <c r="L1653" s="63" t="str">
        <f t="shared" si="9"/>
        <v>2024-03</v>
      </c>
      <c r="M1653" s="64" t="str">
        <f t="shared" si="10"/>
        <v>2024-H1</v>
      </c>
      <c r="N1653" s="65" t="s">
        <v>80</v>
      </c>
    </row>
    <row r="1654">
      <c r="I1654" s="61" t="str">
        <f t="shared" si="6"/>
        <v>2024</v>
      </c>
      <c r="J1654" s="62">
        <f t="shared" si="7"/>
        <v>3</v>
      </c>
      <c r="K1654" s="61" t="str">
        <f t="shared" si="8"/>
        <v>2024-Q1</v>
      </c>
      <c r="L1654" s="63" t="str">
        <f t="shared" si="9"/>
        <v>2024-03</v>
      </c>
      <c r="M1654" s="64" t="str">
        <f t="shared" si="10"/>
        <v>2024-H1</v>
      </c>
      <c r="N1654" s="65" t="s">
        <v>80</v>
      </c>
    </row>
    <row r="1655">
      <c r="I1655" s="61" t="str">
        <f t="shared" si="6"/>
        <v>2024</v>
      </c>
      <c r="J1655" s="62">
        <f t="shared" si="7"/>
        <v>3</v>
      </c>
      <c r="K1655" s="61" t="str">
        <f t="shared" si="8"/>
        <v>2024-Q1</v>
      </c>
      <c r="L1655" s="63" t="str">
        <f t="shared" si="9"/>
        <v>2024-03</v>
      </c>
      <c r="M1655" s="64" t="str">
        <f t="shared" si="10"/>
        <v>2024-H1</v>
      </c>
      <c r="N1655" s="65" t="s">
        <v>80</v>
      </c>
    </row>
    <row r="1656">
      <c r="I1656" s="61" t="str">
        <f t="shared" si="6"/>
        <v>2024</v>
      </c>
      <c r="J1656" s="62">
        <f t="shared" si="7"/>
        <v>3</v>
      </c>
      <c r="K1656" s="61" t="str">
        <f t="shared" si="8"/>
        <v>2024-Q1</v>
      </c>
      <c r="L1656" s="63" t="str">
        <f t="shared" si="9"/>
        <v>2024-03</v>
      </c>
      <c r="M1656" s="64" t="str">
        <f t="shared" si="10"/>
        <v>2024-H1</v>
      </c>
      <c r="N1656" s="65" t="s">
        <v>80</v>
      </c>
    </row>
    <row r="1657">
      <c r="I1657" s="61" t="str">
        <f t="shared" si="6"/>
        <v>2024</v>
      </c>
      <c r="J1657" s="62">
        <f t="shared" si="7"/>
        <v>3</v>
      </c>
      <c r="K1657" s="61" t="str">
        <f t="shared" si="8"/>
        <v>2024-Q1</v>
      </c>
      <c r="L1657" s="63" t="str">
        <f t="shared" si="9"/>
        <v>2024-03</v>
      </c>
      <c r="M1657" s="64" t="str">
        <f t="shared" si="10"/>
        <v>2024-H1</v>
      </c>
      <c r="N1657" s="65" t="s">
        <v>80</v>
      </c>
    </row>
    <row r="1658">
      <c r="I1658" s="61" t="str">
        <f t="shared" si="6"/>
        <v>2024</v>
      </c>
      <c r="J1658" s="62">
        <f t="shared" si="7"/>
        <v>3</v>
      </c>
      <c r="K1658" s="61" t="str">
        <f t="shared" si="8"/>
        <v>2024-Q1</v>
      </c>
      <c r="L1658" s="63" t="str">
        <f t="shared" si="9"/>
        <v>2024-03</v>
      </c>
      <c r="M1658" s="64" t="str">
        <f t="shared" si="10"/>
        <v>2024-H1</v>
      </c>
      <c r="N1658" s="65" t="s">
        <v>80</v>
      </c>
    </row>
    <row r="1659">
      <c r="I1659" s="61" t="str">
        <f t="shared" si="6"/>
        <v>2024</v>
      </c>
      <c r="J1659" s="62">
        <f t="shared" si="7"/>
        <v>3</v>
      </c>
      <c r="K1659" s="61" t="str">
        <f t="shared" si="8"/>
        <v>2024-Q1</v>
      </c>
      <c r="L1659" s="63" t="str">
        <f t="shared" si="9"/>
        <v>2024-03</v>
      </c>
      <c r="M1659" s="64" t="str">
        <f t="shared" si="10"/>
        <v>2024-H1</v>
      </c>
      <c r="N1659" s="65" t="s">
        <v>80</v>
      </c>
    </row>
    <row r="1660">
      <c r="I1660" s="61" t="str">
        <f t="shared" si="6"/>
        <v>2024</v>
      </c>
      <c r="J1660" s="62">
        <f t="shared" si="7"/>
        <v>3</v>
      </c>
      <c r="K1660" s="61" t="str">
        <f t="shared" si="8"/>
        <v>2024-Q1</v>
      </c>
      <c r="L1660" s="63" t="str">
        <f t="shared" si="9"/>
        <v>2024-03</v>
      </c>
      <c r="M1660" s="64" t="str">
        <f t="shared" si="10"/>
        <v>2024-H1</v>
      </c>
      <c r="N1660" s="65" t="s">
        <v>80</v>
      </c>
    </row>
    <row r="1661">
      <c r="I1661" s="61" t="str">
        <f t="shared" si="6"/>
        <v>2024</v>
      </c>
      <c r="J1661" s="62">
        <f t="shared" si="7"/>
        <v>3</v>
      </c>
      <c r="K1661" s="61" t="str">
        <f t="shared" si="8"/>
        <v>2024-Q1</v>
      </c>
      <c r="L1661" s="63" t="str">
        <f t="shared" si="9"/>
        <v>2024-03</v>
      </c>
      <c r="M1661" s="64" t="str">
        <f t="shared" si="10"/>
        <v>2024-H1</v>
      </c>
      <c r="N1661" s="65" t="s">
        <v>80</v>
      </c>
    </row>
    <row r="1662">
      <c r="I1662" s="61" t="str">
        <f t="shared" si="6"/>
        <v>2024</v>
      </c>
      <c r="J1662" s="62">
        <f t="shared" si="7"/>
        <v>3</v>
      </c>
      <c r="K1662" s="61" t="str">
        <f t="shared" si="8"/>
        <v>2024-Q1</v>
      </c>
      <c r="L1662" s="63" t="str">
        <f t="shared" si="9"/>
        <v>2024-03</v>
      </c>
      <c r="M1662" s="64" t="str">
        <f t="shared" si="10"/>
        <v>2024-H1</v>
      </c>
      <c r="N1662" s="65" t="s">
        <v>80</v>
      </c>
    </row>
    <row r="1663">
      <c r="I1663" s="61" t="str">
        <f t="shared" si="6"/>
        <v>2024</v>
      </c>
      <c r="J1663" s="62">
        <f t="shared" si="7"/>
        <v>3</v>
      </c>
      <c r="K1663" s="61" t="str">
        <f t="shared" si="8"/>
        <v>2024-Q1</v>
      </c>
      <c r="L1663" s="63" t="str">
        <f t="shared" si="9"/>
        <v>2024-03</v>
      </c>
      <c r="M1663" s="64" t="str">
        <f t="shared" si="10"/>
        <v>2024-H1</v>
      </c>
      <c r="N1663" s="65" t="s">
        <v>80</v>
      </c>
    </row>
    <row r="1664">
      <c r="I1664" s="61" t="str">
        <f t="shared" si="6"/>
        <v>2024</v>
      </c>
      <c r="J1664" s="62">
        <f t="shared" si="7"/>
        <v>3</v>
      </c>
      <c r="K1664" s="61" t="str">
        <f t="shared" si="8"/>
        <v>2024-Q1</v>
      </c>
      <c r="L1664" s="63" t="str">
        <f t="shared" si="9"/>
        <v>2024-03</v>
      </c>
      <c r="M1664" s="64" t="str">
        <f t="shared" si="10"/>
        <v>2024-H1</v>
      </c>
      <c r="N1664" s="65" t="s">
        <v>80</v>
      </c>
    </row>
    <row r="1665">
      <c r="I1665" s="61" t="str">
        <f t="shared" si="6"/>
        <v>2024</v>
      </c>
      <c r="J1665" s="62">
        <f t="shared" si="7"/>
        <v>3</v>
      </c>
      <c r="K1665" s="61" t="str">
        <f t="shared" si="8"/>
        <v>2024-Q1</v>
      </c>
      <c r="L1665" s="63" t="str">
        <f t="shared" si="9"/>
        <v>2024-03</v>
      </c>
      <c r="M1665" s="64" t="str">
        <f t="shared" si="10"/>
        <v>2024-H1</v>
      </c>
      <c r="N1665" s="65" t="s">
        <v>80</v>
      </c>
    </row>
    <row r="1666">
      <c r="I1666" s="61" t="str">
        <f t="shared" si="6"/>
        <v>2024</v>
      </c>
      <c r="J1666" s="62">
        <f t="shared" si="7"/>
        <v>3</v>
      </c>
      <c r="K1666" s="61" t="str">
        <f t="shared" si="8"/>
        <v>2024-Q1</v>
      </c>
      <c r="L1666" s="63" t="str">
        <f t="shared" si="9"/>
        <v>2024-03</v>
      </c>
      <c r="M1666" s="64" t="str">
        <f t="shared" si="10"/>
        <v>2024-H1</v>
      </c>
      <c r="N1666" s="65" t="s">
        <v>80</v>
      </c>
    </row>
    <row r="1667">
      <c r="I1667" s="61" t="str">
        <f t="shared" si="6"/>
        <v>2024</v>
      </c>
      <c r="J1667" s="62">
        <f t="shared" si="7"/>
        <v>3</v>
      </c>
      <c r="K1667" s="61" t="str">
        <f t="shared" si="8"/>
        <v>2024-Q1</v>
      </c>
      <c r="L1667" s="63" t="str">
        <f t="shared" si="9"/>
        <v>2024-03</v>
      </c>
      <c r="M1667" s="64" t="str">
        <f t="shared" si="10"/>
        <v>2024-H1</v>
      </c>
      <c r="N1667" s="65" t="s">
        <v>80</v>
      </c>
    </row>
    <row r="1668">
      <c r="I1668" s="61" t="str">
        <f t="shared" si="6"/>
        <v>2024</v>
      </c>
      <c r="J1668" s="62">
        <f t="shared" si="7"/>
        <v>3</v>
      </c>
      <c r="K1668" s="61" t="str">
        <f t="shared" si="8"/>
        <v>2024-Q1</v>
      </c>
      <c r="L1668" s="63" t="str">
        <f t="shared" si="9"/>
        <v>2024-03</v>
      </c>
      <c r="M1668" s="64" t="str">
        <f t="shared" si="10"/>
        <v>2024-H1</v>
      </c>
      <c r="N1668" s="65" t="s">
        <v>80</v>
      </c>
    </row>
    <row r="1669">
      <c r="I1669" s="61" t="str">
        <f t="shared" si="6"/>
        <v>2024</v>
      </c>
      <c r="J1669" s="62">
        <f t="shared" si="7"/>
        <v>5</v>
      </c>
      <c r="K1669" s="61" t="str">
        <f t="shared" si="8"/>
        <v>2024-Q2</v>
      </c>
      <c r="L1669" s="63" t="str">
        <f t="shared" si="9"/>
        <v>2024-05</v>
      </c>
      <c r="M1669" s="64" t="str">
        <f t="shared" si="10"/>
        <v>2024-H1</v>
      </c>
      <c r="N1669" s="65" t="s">
        <v>80</v>
      </c>
    </row>
    <row r="1670">
      <c r="I1670" s="61" t="str">
        <f t="shared" si="6"/>
        <v>2024</v>
      </c>
      <c r="J1670" s="62">
        <f t="shared" si="7"/>
        <v>3</v>
      </c>
      <c r="K1670" s="61" t="str">
        <f t="shared" si="8"/>
        <v>2024-Q1</v>
      </c>
      <c r="L1670" s="63" t="str">
        <f t="shared" si="9"/>
        <v>2024-03</v>
      </c>
      <c r="M1670" s="64" t="str">
        <f t="shared" si="10"/>
        <v>2024-H1</v>
      </c>
      <c r="N1670" s="65" t="s">
        <v>80</v>
      </c>
    </row>
    <row r="1671">
      <c r="I1671" s="61" t="str">
        <f t="shared" si="6"/>
        <v>2024</v>
      </c>
      <c r="J1671" s="62">
        <f t="shared" si="7"/>
        <v>3</v>
      </c>
      <c r="K1671" s="61" t="str">
        <f t="shared" si="8"/>
        <v>2024-Q1</v>
      </c>
      <c r="L1671" s="63" t="str">
        <f t="shared" si="9"/>
        <v>2024-03</v>
      </c>
      <c r="M1671" s="64" t="str">
        <f t="shared" si="10"/>
        <v>2024-H1</v>
      </c>
      <c r="N1671" s="65" t="s">
        <v>80</v>
      </c>
    </row>
    <row r="1672">
      <c r="I1672" s="61" t="str">
        <f t="shared" si="6"/>
        <v>2024</v>
      </c>
      <c r="J1672" s="62">
        <f t="shared" si="7"/>
        <v>3</v>
      </c>
      <c r="K1672" s="61" t="str">
        <f t="shared" si="8"/>
        <v>2024-Q1</v>
      </c>
      <c r="L1672" s="63" t="str">
        <f t="shared" si="9"/>
        <v>2024-03</v>
      </c>
      <c r="M1672" s="64" t="str">
        <f t="shared" si="10"/>
        <v>2024-H1</v>
      </c>
      <c r="N1672" s="65" t="s">
        <v>80</v>
      </c>
    </row>
    <row r="1673">
      <c r="I1673" s="61" t="str">
        <f t="shared" si="6"/>
        <v>2024</v>
      </c>
      <c r="J1673" s="62">
        <f t="shared" si="7"/>
        <v>3</v>
      </c>
      <c r="K1673" s="61" t="str">
        <f t="shared" si="8"/>
        <v>2024-Q1</v>
      </c>
      <c r="L1673" s="63" t="str">
        <f t="shared" si="9"/>
        <v>2024-03</v>
      </c>
      <c r="M1673" s="64" t="str">
        <f t="shared" si="10"/>
        <v>2024-H1</v>
      </c>
      <c r="N1673" s="65" t="s">
        <v>80</v>
      </c>
    </row>
    <row r="1674">
      <c r="I1674" s="61" t="str">
        <f t="shared" si="6"/>
        <v>2024</v>
      </c>
      <c r="J1674" s="62">
        <f t="shared" si="7"/>
        <v>3</v>
      </c>
      <c r="K1674" s="61" t="str">
        <f t="shared" si="8"/>
        <v>2024-Q1</v>
      </c>
      <c r="L1674" s="63" t="str">
        <f t="shared" si="9"/>
        <v>2024-03</v>
      </c>
      <c r="M1674" s="64" t="str">
        <f t="shared" si="10"/>
        <v>2024-H1</v>
      </c>
      <c r="N1674" s="65" t="s">
        <v>80</v>
      </c>
    </row>
    <row r="1675">
      <c r="I1675" s="61" t="str">
        <f t="shared" si="6"/>
        <v>2024</v>
      </c>
      <c r="J1675" s="62">
        <f t="shared" si="7"/>
        <v>3</v>
      </c>
      <c r="K1675" s="61" t="str">
        <f t="shared" si="8"/>
        <v>2024-Q1</v>
      </c>
      <c r="L1675" s="63" t="str">
        <f t="shared" si="9"/>
        <v>2024-03</v>
      </c>
      <c r="M1675" s="64" t="str">
        <f t="shared" si="10"/>
        <v>2024-H1</v>
      </c>
      <c r="N1675" s="65" t="s">
        <v>80</v>
      </c>
    </row>
    <row r="1676">
      <c r="I1676" s="61" t="str">
        <f t="shared" si="6"/>
        <v>2024</v>
      </c>
      <c r="J1676" s="62">
        <f t="shared" si="7"/>
        <v>3</v>
      </c>
      <c r="K1676" s="61" t="str">
        <f t="shared" si="8"/>
        <v>2024-Q1</v>
      </c>
      <c r="L1676" s="63" t="str">
        <f t="shared" si="9"/>
        <v>2024-03</v>
      </c>
      <c r="M1676" s="64" t="str">
        <f t="shared" si="10"/>
        <v>2024-H1</v>
      </c>
      <c r="N1676" s="65" t="s">
        <v>80</v>
      </c>
    </row>
    <row r="1677">
      <c r="I1677" s="61" t="str">
        <f t="shared" si="6"/>
        <v>2024</v>
      </c>
      <c r="J1677" s="62">
        <f t="shared" si="7"/>
        <v>3</v>
      </c>
      <c r="K1677" s="61" t="str">
        <f t="shared" si="8"/>
        <v>2024-Q1</v>
      </c>
      <c r="L1677" s="63" t="str">
        <f t="shared" si="9"/>
        <v>2024-03</v>
      </c>
      <c r="M1677" s="64" t="str">
        <f t="shared" si="10"/>
        <v>2024-H1</v>
      </c>
      <c r="N1677" s="65" t="s">
        <v>80</v>
      </c>
    </row>
    <row r="1678">
      <c r="I1678" s="61" t="str">
        <f t="shared" si="6"/>
        <v>2024</v>
      </c>
      <c r="J1678" s="62">
        <f t="shared" si="7"/>
        <v>3</v>
      </c>
      <c r="K1678" s="61" t="str">
        <f t="shared" si="8"/>
        <v>2024-Q1</v>
      </c>
      <c r="L1678" s="63" t="str">
        <f t="shared" si="9"/>
        <v>2024-03</v>
      </c>
      <c r="M1678" s="64" t="str">
        <f t="shared" si="10"/>
        <v>2024-H1</v>
      </c>
      <c r="N1678" s="65" t="s">
        <v>80</v>
      </c>
    </row>
    <row r="1679">
      <c r="I1679" s="61" t="str">
        <f t="shared" si="6"/>
        <v>2024</v>
      </c>
      <c r="J1679" s="62">
        <f t="shared" si="7"/>
        <v>3</v>
      </c>
      <c r="K1679" s="61" t="str">
        <f t="shared" si="8"/>
        <v>2024-Q1</v>
      </c>
      <c r="L1679" s="63" t="str">
        <f t="shared" si="9"/>
        <v>2024-03</v>
      </c>
      <c r="M1679" s="64" t="str">
        <f t="shared" si="10"/>
        <v>2024-H1</v>
      </c>
      <c r="N1679" s="65" t="s">
        <v>80</v>
      </c>
    </row>
    <row r="1680">
      <c r="I1680" s="61" t="str">
        <f t="shared" si="6"/>
        <v>2024</v>
      </c>
      <c r="J1680" s="62">
        <f t="shared" si="7"/>
        <v>3</v>
      </c>
      <c r="K1680" s="61" t="str">
        <f t="shared" si="8"/>
        <v>2024-Q1</v>
      </c>
      <c r="L1680" s="63" t="str">
        <f t="shared" si="9"/>
        <v>2024-03</v>
      </c>
      <c r="M1680" s="64" t="str">
        <f t="shared" si="10"/>
        <v>2024-H1</v>
      </c>
      <c r="N1680" s="65" t="s">
        <v>80</v>
      </c>
    </row>
    <row r="1681">
      <c r="I1681" s="61" t="str">
        <f t="shared" si="6"/>
        <v>2024</v>
      </c>
      <c r="J1681" s="62">
        <f t="shared" si="7"/>
        <v>3</v>
      </c>
      <c r="K1681" s="61" t="str">
        <f t="shared" si="8"/>
        <v>2024-Q1</v>
      </c>
      <c r="L1681" s="63" t="str">
        <f t="shared" si="9"/>
        <v>2024-03</v>
      </c>
      <c r="M1681" s="64" t="str">
        <f t="shared" si="10"/>
        <v>2024-H1</v>
      </c>
      <c r="N1681" s="65" t="s">
        <v>80</v>
      </c>
    </row>
    <row r="1682">
      <c r="I1682" s="61" t="str">
        <f t="shared" si="6"/>
        <v>2024</v>
      </c>
      <c r="J1682" s="62">
        <f t="shared" si="7"/>
        <v>3</v>
      </c>
      <c r="K1682" s="61" t="str">
        <f t="shared" si="8"/>
        <v>2024-Q1</v>
      </c>
      <c r="L1682" s="63" t="str">
        <f t="shared" si="9"/>
        <v>2024-03</v>
      </c>
      <c r="M1682" s="64" t="str">
        <f t="shared" si="10"/>
        <v>2024-H1</v>
      </c>
      <c r="N1682" s="65" t="s">
        <v>80</v>
      </c>
    </row>
    <row r="1683">
      <c r="I1683" s="61" t="str">
        <f t="shared" si="6"/>
        <v>2024</v>
      </c>
      <c r="J1683" s="62">
        <f t="shared" si="7"/>
        <v>3</v>
      </c>
      <c r="K1683" s="61" t="str">
        <f t="shared" si="8"/>
        <v>2024-Q1</v>
      </c>
      <c r="L1683" s="63" t="str">
        <f t="shared" si="9"/>
        <v>2024-03</v>
      </c>
      <c r="M1683" s="64" t="str">
        <f t="shared" si="10"/>
        <v>2024-H1</v>
      </c>
      <c r="N1683" s="65" t="s">
        <v>80</v>
      </c>
    </row>
    <row r="1684">
      <c r="I1684" s="61" t="str">
        <f t="shared" si="6"/>
        <v>2024</v>
      </c>
      <c r="J1684" s="62">
        <f t="shared" si="7"/>
        <v>3</v>
      </c>
      <c r="K1684" s="61" t="str">
        <f t="shared" si="8"/>
        <v>2024-Q1</v>
      </c>
      <c r="L1684" s="63" t="str">
        <f t="shared" si="9"/>
        <v>2024-03</v>
      </c>
      <c r="M1684" s="64" t="str">
        <f t="shared" si="10"/>
        <v>2024-H1</v>
      </c>
      <c r="N1684" s="65" t="s">
        <v>80</v>
      </c>
    </row>
    <row r="1685">
      <c r="I1685" s="61" t="str">
        <f t="shared" si="6"/>
        <v>2024</v>
      </c>
      <c r="J1685" s="62">
        <f t="shared" si="7"/>
        <v>3</v>
      </c>
      <c r="K1685" s="61" t="str">
        <f t="shared" si="8"/>
        <v>2024-Q1</v>
      </c>
      <c r="L1685" s="63" t="str">
        <f t="shared" si="9"/>
        <v>2024-03</v>
      </c>
      <c r="M1685" s="64" t="str">
        <f t="shared" si="10"/>
        <v>2024-H1</v>
      </c>
      <c r="N1685" s="65" t="s">
        <v>80</v>
      </c>
    </row>
    <row r="1686">
      <c r="I1686" s="61" t="str">
        <f t="shared" si="6"/>
        <v>2024</v>
      </c>
      <c r="J1686" s="62">
        <f t="shared" si="7"/>
        <v>3</v>
      </c>
      <c r="K1686" s="61" t="str">
        <f t="shared" si="8"/>
        <v>2024-Q1</v>
      </c>
      <c r="L1686" s="63" t="str">
        <f t="shared" si="9"/>
        <v>2024-03</v>
      </c>
      <c r="M1686" s="64" t="str">
        <f t="shared" si="10"/>
        <v>2024-H1</v>
      </c>
      <c r="N1686" s="65" t="s">
        <v>80</v>
      </c>
    </row>
    <row r="1687">
      <c r="I1687" s="61" t="str">
        <f t="shared" si="6"/>
        <v>2024</v>
      </c>
      <c r="J1687" s="62">
        <f t="shared" si="7"/>
        <v>3</v>
      </c>
      <c r="K1687" s="61" t="str">
        <f t="shared" si="8"/>
        <v>2024-Q1</v>
      </c>
      <c r="L1687" s="63" t="str">
        <f t="shared" si="9"/>
        <v>2024-03</v>
      </c>
      <c r="M1687" s="64" t="str">
        <f t="shared" si="10"/>
        <v>2024-H1</v>
      </c>
      <c r="N1687" s="65" t="s">
        <v>80</v>
      </c>
    </row>
    <row r="1688">
      <c r="I1688" s="61" t="str">
        <f t="shared" si="6"/>
        <v>2024</v>
      </c>
      <c r="J1688" s="62">
        <f t="shared" si="7"/>
        <v>3</v>
      </c>
      <c r="K1688" s="61" t="str">
        <f t="shared" si="8"/>
        <v>2024-Q1</v>
      </c>
      <c r="L1688" s="63" t="str">
        <f t="shared" si="9"/>
        <v>2024-03</v>
      </c>
      <c r="M1688" s="64" t="str">
        <f t="shared" si="10"/>
        <v>2024-H1</v>
      </c>
      <c r="N1688" s="65" t="s">
        <v>80</v>
      </c>
    </row>
    <row r="1689">
      <c r="I1689" s="61" t="str">
        <f t="shared" si="6"/>
        <v>2024</v>
      </c>
      <c r="J1689" s="62">
        <f t="shared" si="7"/>
        <v>3</v>
      </c>
      <c r="K1689" s="61" t="str">
        <f t="shared" si="8"/>
        <v>2024-Q1</v>
      </c>
      <c r="L1689" s="63" t="str">
        <f t="shared" si="9"/>
        <v>2024-03</v>
      </c>
      <c r="M1689" s="64" t="str">
        <f t="shared" si="10"/>
        <v>2024-H1</v>
      </c>
      <c r="N1689" s="65" t="s">
        <v>80</v>
      </c>
    </row>
    <row r="1690">
      <c r="I1690" s="61" t="str">
        <f t="shared" si="6"/>
        <v>2024</v>
      </c>
      <c r="J1690" s="62">
        <f t="shared" si="7"/>
        <v>3</v>
      </c>
      <c r="K1690" s="61" t="str">
        <f t="shared" si="8"/>
        <v>2024-Q1</v>
      </c>
      <c r="L1690" s="63" t="str">
        <f t="shared" si="9"/>
        <v>2024-03</v>
      </c>
      <c r="M1690" s="64" t="str">
        <f t="shared" si="10"/>
        <v>2024-H1</v>
      </c>
      <c r="N1690" s="65" t="s">
        <v>80</v>
      </c>
    </row>
    <row r="1691">
      <c r="I1691" s="61" t="str">
        <f t="shared" si="6"/>
        <v>2024</v>
      </c>
      <c r="J1691" s="62">
        <f t="shared" si="7"/>
        <v>3</v>
      </c>
      <c r="K1691" s="61" t="str">
        <f t="shared" si="8"/>
        <v>2024-Q1</v>
      </c>
      <c r="L1691" s="63" t="str">
        <f t="shared" si="9"/>
        <v>2024-03</v>
      </c>
      <c r="M1691" s="64" t="str">
        <f t="shared" si="10"/>
        <v>2024-H1</v>
      </c>
      <c r="N1691" s="65" t="s">
        <v>80</v>
      </c>
    </row>
    <row r="1692">
      <c r="I1692" s="61" t="str">
        <f t="shared" si="6"/>
        <v>2024</v>
      </c>
      <c r="J1692" s="62">
        <f t="shared" si="7"/>
        <v>3</v>
      </c>
      <c r="K1692" s="61" t="str">
        <f t="shared" si="8"/>
        <v>2024-Q1</v>
      </c>
      <c r="L1692" s="63" t="str">
        <f t="shared" si="9"/>
        <v>2024-03</v>
      </c>
      <c r="M1692" s="64" t="str">
        <f t="shared" si="10"/>
        <v>2024-H1</v>
      </c>
      <c r="N1692" s="65" t="s">
        <v>80</v>
      </c>
    </row>
    <row r="1693">
      <c r="I1693" s="61" t="str">
        <f t="shared" si="6"/>
        <v>2024</v>
      </c>
      <c r="J1693" s="62">
        <f t="shared" si="7"/>
        <v>3</v>
      </c>
      <c r="K1693" s="61" t="str">
        <f t="shared" si="8"/>
        <v>2024-Q1</v>
      </c>
      <c r="L1693" s="63" t="str">
        <f t="shared" si="9"/>
        <v>2024-03</v>
      </c>
      <c r="M1693" s="64" t="str">
        <f t="shared" si="10"/>
        <v>2024-H1</v>
      </c>
      <c r="N1693" s="65" t="s">
        <v>80</v>
      </c>
    </row>
    <row r="1694">
      <c r="I1694" s="61" t="str">
        <f t="shared" si="6"/>
        <v>2024</v>
      </c>
      <c r="J1694" s="62">
        <f t="shared" si="7"/>
        <v>3</v>
      </c>
      <c r="K1694" s="61" t="str">
        <f t="shared" si="8"/>
        <v>2024-Q1</v>
      </c>
      <c r="L1694" s="63" t="str">
        <f t="shared" si="9"/>
        <v>2024-03</v>
      </c>
      <c r="M1694" s="64" t="str">
        <f t="shared" si="10"/>
        <v>2024-H1</v>
      </c>
      <c r="N1694" s="65" t="s">
        <v>80</v>
      </c>
    </row>
    <row r="1695">
      <c r="I1695" s="61" t="str">
        <f t="shared" si="6"/>
        <v>2024</v>
      </c>
      <c r="J1695" s="62">
        <f t="shared" si="7"/>
        <v>3</v>
      </c>
      <c r="K1695" s="61" t="str">
        <f t="shared" si="8"/>
        <v>2024-Q1</v>
      </c>
      <c r="L1695" s="63" t="str">
        <f t="shared" si="9"/>
        <v>2024-03</v>
      </c>
      <c r="M1695" s="64" t="str">
        <f t="shared" si="10"/>
        <v>2024-H1</v>
      </c>
      <c r="N1695" s="65" t="s">
        <v>80</v>
      </c>
    </row>
    <row r="1696">
      <c r="I1696" s="61" t="str">
        <f t="shared" si="6"/>
        <v>2024</v>
      </c>
      <c r="J1696" s="62">
        <f t="shared" si="7"/>
        <v>3</v>
      </c>
      <c r="K1696" s="61" t="str">
        <f t="shared" si="8"/>
        <v>2024-Q1</v>
      </c>
      <c r="L1696" s="63" t="str">
        <f t="shared" si="9"/>
        <v>2024-03</v>
      </c>
      <c r="M1696" s="64" t="str">
        <f t="shared" si="10"/>
        <v>2024-H1</v>
      </c>
      <c r="N1696" s="65" t="s">
        <v>80</v>
      </c>
    </row>
    <row r="1697">
      <c r="I1697" s="61" t="str">
        <f t="shared" si="6"/>
        <v>2024</v>
      </c>
      <c r="J1697" s="62">
        <f t="shared" si="7"/>
        <v>3</v>
      </c>
      <c r="K1697" s="61" t="str">
        <f t="shared" si="8"/>
        <v>2024-Q1</v>
      </c>
      <c r="L1697" s="63" t="str">
        <f t="shared" si="9"/>
        <v>2024-03</v>
      </c>
      <c r="M1697" s="64" t="str">
        <f t="shared" si="10"/>
        <v>2024-H1</v>
      </c>
      <c r="N1697" s="65" t="s">
        <v>80</v>
      </c>
    </row>
    <row r="1698">
      <c r="I1698" s="61" t="str">
        <f t="shared" si="6"/>
        <v>2024</v>
      </c>
      <c r="J1698" s="62">
        <f t="shared" si="7"/>
        <v>3</v>
      </c>
      <c r="K1698" s="61" t="str">
        <f t="shared" si="8"/>
        <v>2024-Q1</v>
      </c>
      <c r="L1698" s="63" t="str">
        <f t="shared" si="9"/>
        <v>2024-03</v>
      </c>
      <c r="M1698" s="64" t="str">
        <f t="shared" si="10"/>
        <v>2024-H1</v>
      </c>
      <c r="N1698" s="65" t="s">
        <v>80</v>
      </c>
    </row>
    <row r="1699">
      <c r="I1699" s="61" t="str">
        <f t="shared" si="6"/>
        <v>2024</v>
      </c>
      <c r="J1699" s="62">
        <f t="shared" si="7"/>
        <v>3</v>
      </c>
      <c r="K1699" s="61" t="str">
        <f t="shared" si="8"/>
        <v>2024-Q1</v>
      </c>
      <c r="L1699" s="63" t="str">
        <f t="shared" si="9"/>
        <v>2024-03</v>
      </c>
      <c r="M1699" s="64" t="str">
        <f t="shared" si="10"/>
        <v>2024-H1</v>
      </c>
      <c r="N1699" s="65" t="s">
        <v>80</v>
      </c>
    </row>
    <row r="1700">
      <c r="I1700" s="61" t="str">
        <f t="shared" si="6"/>
        <v>2024</v>
      </c>
      <c r="J1700" s="62">
        <f t="shared" si="7"/>
        <v>3</v>
      </c>
      <c r="K1700" s="61" t="str">
        <f t="shared" si="8"/>
        <v>2024-Q1</v>
      </c>
      <c r="L1700" s="63" t="str">
        <f t="shared" si="9"/>
        <v>2024-03</v>
      </c>
      <c r="M1700" s="64" t="str">
        <f t="shared" si="10"/>
        <v>2024-H1</v>
      </c>
      <c r="N1700" s="65" t="s">
        <v>80</v>
      </c>
    </row>
    <row r="1701">
      <c r="I1701" s="61" t="str">
        <f t="shared" si="6"/>
        <v>2024</v>
      </c>
      <c r="J1701" s="62">
        <f t="shared" si="7"/>
        <v>3</v>
      </c>
      <c r="K1701" s="61" t="str">
        <f t="shared" si="8"/>
        <v>2024-Q1</v>
      </c>
      <c r="L1701" s="63" t="str">
        <f t="shared" si="9"/>
        <v>2024-03</v>
      </c>
      <c r="M1701" s="64" t="str">
        <f t="shared" si="10"/>
        <v>2024-H1</v>
      </c>
      <c r="N1701" s="65" t="s">
        <v>80</v>
      </c>
    </row>
    <row r="1702">
      <c r="I1702" s="61" t="str">
        <f t="shared" si="6"/>
        <v>2024</v>
      </c>
      <c r="J1702" s="62">
        <f t="shared" si="7"/>
        <v>3</v>
      </c>
      <c r="K1702" s="61" t="str">
        <f t="shared" si="8"/>
        <v>2024-Q1</v>
      </c>
      <c r="L1702" s="63" t="str">
        <f t="shared" si="9"/>
        <v>2024-03</v>
      </c>
      <c r="M1702" s="64" t="str">
        <f t="shared" si="10"/>
        <v>2024-H1</v>
      </c>
      <c r="N1702" s="65" t="s">
        <v>80</v>
      </c>
    </row>
    <row r="1703">
      <c r="I1703" s="61" t="str">
        <f t="shared" si="6"/>
        <v>2024</v>
      </c>
      <c r="J1703" s="62">
        <f t="shared" si="7"/>
        <v>3</v>
      </c>
      <c r="K1703" s="61" t="str">
        <f t="shared" si="8"/>
        <v>2024-Q1</v>
      </c>
      <c r="L1703" s="63" t="str">
        <f t="shared" si="9"/>
        <v>2024-03</v>
      </c>
      <c r="M1703" s="64" t="str">
        <f t="shared" si="10"/>
        <v>2024-H1</v>
      </c>
      <c r="N1703" s="65" t="s">
        <v>80</v>
      </c>
    </row>
    <row r="1704">
      <c r="I1704" s="61" t="str">
        <f t="shared" si="6"/>
        <v>2024</v>
      </c>
      <c r="J1704" s="62">
        <f t="shared" si="7"/>
        <v>3</v>
      </c>
      <c r="K1704" s="61" t="str">
        <f t="shared" si="8"/>
        <v>2024-Q1</v>
      </c>
      <c r="L1704" s="63" t="str">
        <f t="shared" si="9"/>
        <v>2024-03</v>
      </c>
      <c r="M1704" s="64" t="str">
        <f t="shared" si="10"/>
        <v>2024-H1</v>
      </c>
      <c r="N1704" s="65" t="s">
        <v>80</v>
      </c>
    </row>
    <row r="1705">
      <c r="I1705" s="61" t="str">
        <f t="shared" si="6"/>
        <v>2024</v>
      </c>
      <c r="J1705" s="62">
        <f t="shared" si="7"/>
        <v>3</v>
      </c>
      <c r="K1705" s="61" t="str">
        <f t="shared" si="8"/>
        <v>2024-Q1</v>
      </c>
      <c r="L1705" s="63" t="str">
        <f t="shared" si="9"/>
        <v>2024-03</v>
      </c>
      <c r="M1705" s="64" t="str">
        <f t="shared" si="10"/>
        <v>2024-H1</v>
      </c>
      <c r="N1705" s="65" t="s">
        <v>80</v>
      </c>
    </row>
    <row r="1706">
      <c r="I1706" s="61" t="str">
        <f t="shared" si="6"/>
        <v>2024</v>
      </c>
      <c r="J1706" s="62">
        <f t="shared" si="7"/>
        <v>3</v>
      </c>
      <c r="K1706" s="61" t="str">
        <f t="shared" si="8"/>
        <v>2024-Q1</v>
      </c>
      <c r="L1706" s="63" t="str">
        <f t="shared" si="9"/>
        <v>2024-03</v>
      </c>
      <c r="M1706" s="64" t="str">
        <f t="shared" si="10"/>
        <v>2024-H1</v>
      </c>
      <c r="N1706" s="65" t="s">
        <v>80</v>
      </c>
    </row>
    <row r="1707">
      <c r="I1707" s="61" t="str">
        <f t="shared" si="6"/>
        <v>2024</v>
      </c>
      <c r="J1707" s="62">
        <f t="shared" si="7"/>
        <v>3</v>
      </c>
      <c r="K1707" s="61" t="str">
        <f t="shared" si="8"/>
        <v>2024-Q1</v>
      </c>
      <c r="L1707" s="63" t="str">
        <f t="shared" si="9"/>
        <v>2024-03</v>
      </c>
      <c r="M1707" s="64" t="str">
        <f t="shared" si="10"/>
        <v>2024-H1</v>
      </c>
      <c r="N1707" s="65" t="s">
        <v>80</v>
      </c>
    </row>
    <row r="1708">
      <c r="I1708" s="61" t="str">
        <f t="shared" si="6"/>
        <v>2024</v>
      </c>
      <c r="J1708" s="62">
        <f t="shared" si="7"/>
        <v>3</v>
      </c>
      <c r="K1708" s="61" t="str">
        <f t="shared" si="8"/>
        <v>2024-Q1</v>
      </c>
      <c r="L1708" s="63" t="str">
        <f t="shared" si="9"/>
        <v>2024-03</v>
      </c>
      <c r="M1708" s="64" t="str">
        <f t="shared" si="10"/>
        <v>2024-H1</v>
      </c>
      <c r="N1708" s="65" t="s">
        <v>80</v>
      </c>
    </row>
    <row r="1709">
      <c r="I1709" s="61" t="str">
        <f t="shared" si="6"/>
        <v>2024</v>
      </c>
      <c r="J1709" s="62">
        <f t="shared" si="7"/>
        <v>3</v>
      </c>
      <c r="K1709" s="61" t="str">
        <f t="shared" si="8"/>
        <v>2024-Q1</v>
      </c>
      <c r="L1709" s="63" t="str">
        <f t="shared" si="9"/>
        <v>2024-03</v>
      </c>
      <c r="M1709" s="64" t="str">
        <f t="shared" si="10"/>
        <v>2024-H1</v>
      </c>
      <c r="N1709" s="65" t="s">
        <v>80</v>
      </c>
    </row>
    <row r="1710">
      <c r="I1710" s="61" t="str">
        <f t="shared" si="6"/>
        <v>2024</v>
      </c>
      <c r="J1710" s="62">
        <f t="shared" si="7"/>
        <v>3</v>
      </c>
      <c r="K1710" s="61" t="str">
        <f t="shared" si="8"/>
        <v>2024-Q1</v>
      </c>
      <c r="L1710" s="63" t="str">
        <f t="shared" si="9"/>
        <v>2024-03</v>
      </c>
      <c r="M1710" s="64" t="str">
        <f t="shared" si="10"/>
        <v>2024-H1</v>
      </c>
      <c r="N1710" s="65" t="s">
        <v>80</v>
      </c>
    </row>
    <row r="1711">
      <c r="I1711" s="61" t="str">
        <f t="shared" si="6"/>
        <v>2024</v>
      </c>
      <c r="J1711" s="62">
        <f t="shared" si="7"/>
        <v>3</v>
      </c>
      <c r="K1711" s="61" t="str">
        <f t="shared" si="8"/>
        <v>2024-Q1</v>
      </c>
      <c r="L1711" s="63" t="str">
        <f t="shared" si="9"/>
        <v>2024-03</v>
      </c>
      <c r="M1711" s="64" t="str">
        <f t="shared" si="10"/>
        <v>2024-H1</v>
      </c>
      <c r="N1711" s="65" t="s">
        <v>80</v>
      </c>
    </row>
    <row r="1712">
      <c r="I1712" s="61" t="str">
        <f t="shared" si="6"/>
        <v>2024</v>
      </c>
      <c r="J1712" s="62">
        <f t="shared" si="7"/>
        <v>3</v>
      </c>
      <c r="K1712" s="61" t="str">
        <f t="shared" si="8"/>
        <v>2024-Q1</v>
      </c>
      <c r="L1712" s="63" t="str">
        <f t="shared" si="9"/>
        <v>2024-03</v>
      </c>
      <c r="M1712" s="64" t="str">
        <f t="shared" si="10"/>
        <v>2024-H1</v>
      </c>
      <c r="N1712" s="65" t="s">
        <v>80</v>
      </c>
    </row>
    <row r="1713">
      <c r="I1713" s="61" t="str">
        <f t="shared" si="6"/>
        <v>2024</v>
      </c>
      <c r="J1713" s="62">
        <f t="shared" si="7"/>
        <v>3</v>
      </c>
      <c r="K1713" s="61" t="str">
        <f t="shared" si="8"/>
        <v>2024-Q1</v>
      </c>
      <c r="L1713" s="63" t="str">
        <f t="shared" si="9"/>
        <v>2024-03</v>
      </c>
      <c r="M1713" s="64" t="str">
        <f t="shared" si="10"/>
        <v>2024-H1</v>
      </c>
      <c r="N1713" s="65" t="s">
        <v>80</v>
      </c>
    </row>
    <row r="1714">
      <c r="I1714" s="61" t="str">
        <f t="shared" si="6"/>
        <v>2024</v>
      </c>
      <c r="J1714" s="62">
        <f t="shared" si="7"/>
        <v>3</v>
      </c>
      <c r="K1714" s="61" t="str">
        <f t="shared" si="8"/>
        <v>2024-Q1</v>
      </c>
      <c r="L1714" s="63" t="str">
        <f t="shared" si="9"/>
        <v>2024-03</v>
      </c>
      <c r="M1714" s="64" t="str">
        <f t="shared" si="10"/>
        <v>2024-H1</v>
      </c>
      <c r="N1714" s="65" t="s">
        <v>80</v>
      </c>
    </row>
    <row r="1715">
      <c r="I1715" s="61" t="str">
        <f t="shared" si="6"/>
        <v>2024</v>
      </c>
      <c r="J1715" s="62">
        <f t="shared" si="7"/>
        <v>3</v>
      </c>
      <c r="K1715" s="61" t="str">
        <f t="shared" si="8"/>
        <v>2024-Q1</v>
      </c>
      <c r="L1715" s="63" t="str">
        <f t="shared" si="9"/>
        <v>2024-03</v>
      </c>
      <c r="M1715" s="64" t="str">
        <f t="shared" si="10"/>
        <v>2024-H1</v>
      </c>
      <c r="N1715" s="65" t="s">
        <v>80</v>
      </c>
    </row>
    <row r="1716">
      <c r="I1716" s="61" t="str">
        <f t="shared" si="6"/>
        <v>2024</v>
      </c>
      <c r="J1716" s="62">
        <f t="shared" si="7"/>
        <v>3</v>
      </c>
      <c r="K1716" s="61" t="str">
        <f t="shared" si="8"/>
        <v>2024-Q1</v>
      </c>
      <c r="L1716" s="63" t="str">
        <f t="shared" si="9"/>
        <v>2024-03</v>
      </c>
      <c r="M1716" s="64" t="str">
        <f t="shared" si="10"/>
        <v>2024-H1</v>
      </c>
      <c r="N1716" s="65" t="s">
        <v>80</v>
      </c>
    </row>
    <row r="1717">
      <c r="I1717" s="61" t="str">
        <f t="shared" si="6"/>
        <v>2024</v>
      </c>
      <c r="J1717" s="62">
        <f t="shared" si="7"/>
        <v>3</v>
      </c>
      <c r="K1717" s="61" t="str">
        <f t="shared" si="8"/>
        <v>2024-Q1</v>
      </c>
      <c r="L1717" s="63" t="str">
        <f t="shared" si="9"/>
        <v>2024-03</v>
      </c>
      <c r="M1717" s="64" t="str">
        <f t="shared" si="10"/>
        <v>2024-H1</v>
      </c>
      <c r="N1717" s="65" t="s">
        <v>80</v>
      </c>
    </row>
    <row r="1718">
      <c r="I1718" s="61" t="str">
        <f t="shared" si="6"/>
        <v>2024</v>
      </c>
      <c r="J1718" s="62">
        <f t="shared" si="7"/>
        <v>3</v>
      </c>
      <c r="K1718" s="61" t="str">
        <f t="shared" si="8"/>
        <v>2024-Q1</v>
      </c>
      <c r="L1718" s="63" t="str">
        <f t="shared" si="9"/>
        <v>2024-03</v>
      </c>
      <c r="M1718" s="64" t="str">
        <f t="shared" si="10"/>
        <v>2024-H1</v>
      </c>
      <c r="N1718" s="65" t="s">
        <v>80</v>
      </c>
    </row>
    <row r="1719">
      <c r="I1719" s="61" t="str">
        <f t="shared" si="6"/>
        <v>2024</v>
      </c>
      <c r="J1719" s="62">
        <f t="shared" si="7"/>
        <v>3</v>
      </c>
      <c r="K1719" s="61" t="str">
        <f t="shared" si="8"/>
        <v>2024-Q1</v>
      </c>
      <c r="L1719" s="63" t="str">
        <f t="shared" si="9"/>
        <v>2024-03</v>
      </c>
      <c r="M1719" s="64" t="str">
        <f t="shared" si="10"/>
        <v>2024-H1</v>
      </c>
      <c r="N1719" s="65" t="s">
        <v>80</v>
      </c>
    </row>
    <row r="1720">
      <c r="I1720" s="61" t="str">
        <f t="shared" si="6"/>
        <v>2024</v>
      </c>
      <c r="J1720" s="62">
        <f t="shared" si="7"/>
        <v>3</v>
      </c>
      <c r="K1720" s="61" t="str">
        <f t="shared" si="8"/>
        <v>2024-Q1</v>
      </c>
      <c r="L1720" s="63" t="str">
        <f t="shared" si="9"/>
        <v>2024-03</v>
      </c>
      <c r="M1720" s="64" t="str">
        <f t="shared" si="10"/>
        <v>2024-H1</v>
      </c>
      <c r="N1720" s="65" t="s">
        <v>80</v>
      </c>
    </row>
    <row r="1721">
      <c r="I1721" s="61" t="str">
        <f t="shared" si="6"/>
        <v>2024</v>
      </c>
      <c r="J1721" s="62">
        <f t="shared" si="7"/>
        <v>3</v>
      </c>
      <c r="K1721" s="61" t="str">
        <f t="shared" si="8"/>
        <v>2024-Q1</v>
      </c>
      <c r="L1721" s="63" t="str">
        <f t="shared" si="9"/>
        <v>2024-03</v>
      </c>
      <c r="M1721" s="64" t="str">
        <f t="shared" si="10"/>
        <v>2024-H1</v>
      </c>
      <c r="N1721" s="65" t="s">
        <v>80</v>
      </c>
    </row>
    <row r="1722">
      <c r="I1722" s="61" t="str">
        <f t="shared" si="6"/>
        <v>2024</v>
      </c>
      <c r="J1722" s="62">
        <f t="shared" si="7"/>
        <v>3</v>
      </c>
      <c r="K1722" s="61" t="str">
        <f t="shared" si="8"/>
        <v>2024-Q1</v>
      </c>
      <c r="L1722" s="63" t="str">
        <f t="shared" si="9"/>
        <v>2024-03</v>
      </c>
      <c r="M1722" s="64" t="str">
        <f t="shared" si="10"/>
        <v>2024-H1</v>
      </c>
      <c r="N1722" s="65" t="s">
        <v>80</v>
      </c>
    </row>
    <row r="1723">
      <c r="I1723" s="61" t="str">
        <f t="shared" si="6"/>
        <v>2024</v>
      </c>
      <c r="J1723" s="62">
        <f t="shared" si="7"/>
        <v>3</v>
      </c>
      <c r="K1723" s="61" t="str">
        <f t="shared" si="8"/>
        <v>2024-Q1</v>
      </c>
      <c r="L1723" s="63" t="str">
        <f t="shared" si="9"/>
        <v>2024-03</v>
      </c>
      <c r="M1723" s="64" t="str">
        <f t="shared" si="10"/>
        <v>2024-H1</v>
      </c>
      <c r="N1723" s="65" t="s">
        <v>80</v>
      </c>
    </row>
    <row r="1724">
      <c r="I1724" s="61" t="str">
        <f t="shared" si="6"/>
        <v>2024</v>
      </c>
      <c r="J1724" s="62">
        <f t="shared" si="7"/>
        <v>3</v>
      </c>
      <c r="K1724" s="61" t="str">
        <f t="shared" si="8"/>
        <v>2024-Q1</v>
      </c>
      <c r="L1724" s="63" t="str">
        <f t="shared" si="9"/>
        <v>2024-03</v>
      </c>
      <c r="M1724" s="64" t="str">
        <f t="shared" si="10"/>
        <v>2024-H1</v>
      </c>
      <c r="N1724" s="65" t="s">
        <v>80</v>
      </c>
    </row>
    <row r="1725">
      <c r="I1725" s="61" t="str">
        <f t="shared" si="6"/>
        <v>2024</v>
      </c>
      <c r="J1725" s="62">
        <f t="shared" si="7"/>
        <v>3</v>
      </c>
      <c r="K1725" s="61" t="str">
        <f t="shared" si="8"/>
        <v>2024-Q1</v>
      </c>
      <c r="L1725" s="63" t="str">
        <f t="shared" si="9"/>
        <v>2024-03</v>
      </c>
      <c r="M1725" s="64" t="str">
        <f t="shared" si="10"/>
        <v>2024-H1</v>
      </c>
      <c r="N1725" s="65" t="s">
        <v>80</v>
      </c>
    </row>
    <row r="1726">
      <c r="I1726" s="61" t="str">
        <f t="shared" si="6"/>
        <v>2024</v>
      </c>
      <c r="J1726" s="62">
        <f t="shared" si="7"/>
        <v>4</v>
      </c>
      <c r="K1726" s="61" t="str">
        <f t="shared" si="8"/>
        <v>2024-Q2</v>
      </c>
      <c r="L1726" s="63" t="str">
        <f t="shared" si="9"/>
        <v>2024-04</v>
      </c>
      <c r="M1726" s="64" t="str">
        <f t="shared" si="10"/>
        <v>2024-H1</v>
      </c>
      <c r="N1726" s="65" t="s">
        <v>80</v>
      </c>
    </row>
    <row r="1727">
      <c r="I1727" s="61" t="str">
        <f t="shared" si="6"/>
        <v>2024</v>
      </c>
      <c r="J1727" s="62">
        <f t="shared" si="7"/>
        <v>4</v>
      </c>
      <c r="K1727" s="61" t="str">
        <f t="shared" si="8"/>
        <v>2024-Q2</v>
      </c>
      <c r="L1727" s="63" t="str">
        <f t="shared" si="9"/>
        <v>2024-04</v>
      </c>
      <c r="M1727" s="64" t="str">
        <f t="shared" si="10"/>
        <v>2024-H1</v>
      </c>
      <c r="N1727" s="65" t="s">
        <v>80</v>
      </c>
    </row>
    <row r="1728">
      <c r="I1728" s="61" t="str">
        <f t="shared" si="6"/>
        <v>2024</v>
      </c>
      <c r="J1728" s="62">
        <f t="shared" si="7"/>
        <v>4</v>
      </c>
      <c r="K1728" s="61" t="str">
        <f t="shared" si="8"/>
        <v>2024-Q2</v>
      </c>
      <c r="L1728" s="63" t="str">
        <f t="shared" si="9"/>
        <v>2024-04</v>
      </c>
      <c r="M1728" s="64" t="str">
        <f t="shared" si="10"/>
        <v>2024-H1</v>
      </c>
      <c r="N1728" s="65" t="s">
        <v>80</v>
      </c>
    </row>
    <row r="1729">
      <c r="I1729" s="61" t="str">
        <f t="shared" si="6"/>
        <v>2024</v>
      </c>
      <c r="J1729" s="62">
        <f t="shared" si="7"/>
        <v>4</v>
      </c>
      <c r="K1729" s="61" t="str">
        <f t="shared" si="8"/>
        <v>2024-Q2</v>
      </c>
      <c r="L1729" s="63" t="str">
        <f t="shared" si="9"/>
        <v>2024-04</v>
      </c>
      <c r="M1729" s="64" t="str">
        <f t="shared" si="10"/>
        <v>2024-H1</v>
      </c>
      <c r="N1729" s="65" t="s">
        <v>80</v>
      </c>
    </row>
    <row r="1730">
      <c r="I1730" s="61" t="str">
        <f t="shared" si="6"/>
        <v>2024</v>
      </c>
      <c r="J1730" s="62">
        <f t="shared" si="7"/>
        <v>4</v>
      </c>
      <c r="K1730" s="61" t="str">
        <f t="shared" si="8"/>
        <v>2024-Q2</v>
      </c>
      <c r="L1730" s="63" t="str">
        <f t="shared" si="9"/>
        <v>2024-04</v>
      </c>
      <c r="M1730" s="64" t="str">
        <f t="shared" si="10"/>
        <v>2024-H1</v>
      </c>
      <c r="N1730" s="65" t="s">
        <v>80</v>
      </c>
    </row>
    <row r="1731">
      <c r="I1731" s="61" t="str">
        <f t="shared" si="6"/>
        <v>2024</v>
      </c>
      <c r="J1731" s="62">
        <f t="shared" si="7"/>
        <v>4</v>
      </c>
      <c r="K1731" s="61" t="str">
        <f t="shared" si="8"/>
        <v>2024-Q2</v>
      </c>
      <c r="L1731" s="63" t="str">
        <f t="shared" si="9"/>
        <v>2024-04</v>
      </c>
      <c r="M1731" s="64" t="str">
        <f t="shared" si="10"/>
        <v>2024-H1</v>
      </c>
      <c r="N1731" s="65" t="s">
        <v>80</v>
      </c>
    </row>
    <row r="1732">
      <c r="I1732" s="61" t="str">
        <f t="shared" si="6"/>
        <v>2024</v>
      </c>
      <c r="J1732" s="62">
        <f t="shared" si="7"/>
        <v>4</v>
      </c>
      <c r="K1732" s="61" t="str">
        <f t="shared" si="8"/>
        <v>2024-Q2</v>
      </c>
      <c r="L1732" s="63" t="str">
        <f t="shared" si="9"/>
        <v>2024-04</v>
      </c>
      <c r="M1732" s="64" t="str">
        <f t="shared" si="10"/>
        <v>2024-H1</v>
      </c>
      <c r="N1732" s="65" t="s">
        <v>80</v>
      </c>
    </row>
    <row r="1733">
      <c r="I1733" s="61" t="str">
        <f t="shared" si="6"/>
        <v>2024</v>
      </c>
      <c r="J1733" s="62">
        <f t="shared" si="7"/>
        <v>4</v>
      </c>
      <c r="K1733" s="61" t="str">
        <f t="shared" si="8"/>
        <v>2024-Q2</v>
      </c>
      <c r="L1733" s="63" t="str">
        <f t="shared" si="9"/>
        <v>2024-04</v>
      </c>
      <c r="M1733" s="64" t="str">
        <f t="shared" si="10"/>
        <v>2024-H1</v>
      </c>
      <c r="N1733" s="65" t="s">
        <v>80</v>
      </c>
    </row>
    <row r="1734">
      <c r="I1734" s="61" t="str">
        <f t="shared" si="6"/>
        <v>2024</v>
      </c>
      <c r="J1734" s="62">
        <f t="shared" si="7"/>
        <v>4</v>
      </c>
      <c r="K1734" s="61" t="str">
        <f t="shared" si="8"/>
        <v>2024-Q2</v>
      </c>
      <c r="L1734" s="63" t="str">
        <f t="shared" si="9"/>
        <v>2024-04</v>
      </c>
      <c r="M1734" s="64" t="str">
        <f t="shared" si="10"/>
        <v>2024-H1</v>
      </c>
      <c r="N1734" s="65" t="s">
        <v>80</v>
      </c>
    </row>
    <row r="1735">
      <c r="I1735" s="61" t="str">
        <f t="shared" si="6"/>
        <v>2024</v>
      </c>
      <c r="J1735" s="62">
        <f t="shared" si="7"/>
        <v>4</v>
      </c>
      <c r="K1735" s="61" t="str">
        <f t="shared" si="8"/>
        <v>2024-Q2</v>
      </c>
      <c r="L1735" s="63" t="str">
        <f t="shared" si="9"/>
        <v>2024-04</v>
      </c>
      <c r="M1735" s="64" t="str">
        <f t="shared" si="10"/>
        <v>2024-H1</v>
      </c>
      <c r="N1735" s="65" t="s">
        <v>80</v>
      </c>
    </row>
    <row r="1736">
      <c r="I1736" s="61" t="str">
        <f t="shared" si="6"/>
        <v>2024</v>
      </c>
      <c r="J1736" s="62">
        <f t="shared" si="7"/>
        <v>4</v>
      </c>
      <c r="K1736" s="61" t="str">
        <f t="shared" si="8"/>
        <v>2024-Q2</v>
      </c>
      <c r="L1736" s="63" t="str">
        <f t="shared" si="9"/>
        <v>2024-04</v>
      </c>
      <c r="M1736" s="64" t="str">
        <f t="shared" si="10"/>
        <v>2024-H1</v>
      </c>
      <c r="N1736" s="65" t="s">
        <v>80</v>
      </c>
    </row>
    <row r="1737">
      <c r="I1737" s="61" t="str">
        <f t="shared" si="6"/>
        <v>2024</v>
      </c>
      <c r="J1737" s="62">
        <f t="shared" si="7"/>
        <v>4</v>
      </c>
      <c r="K1737" s="61" t="str">
        <f t="shared" si="8"/>
        <v>2024-Q2</v>
      </c>
      <c r="L1737" s="63" t="str">
        <f t="shared" si="9"/>
        <v>2024-04</v>
      </c>
      <c r="M1737" s="64" t="str">
        <f t="shared" si="10"/>
        <v>2024-H1</v>
      </c>
      <c r="N1737" s="65" t="s">
        <v>80</v>
      </c>
    </row>
    <row r="1738">
      <c r="I1738" s="61" t="str">
        <f t="shared" si="6"/>
        <v>2024</v>
      </c>
      <c r="J1738" s="62">
        <f t="shared" si="7"/>
        <v>4</v>
      </c>
      <c r="K1738" s="61" t="str">
        <f t="shared" si="8"/>
        <v>2024-Q2</v>
      </c>
      <c r="L1738" s="63" t="str">
        <f t="shared" si="9"/>
        <v>2024-04</v>
      </c>
      <c r="M1738" s="64" t="str">
        <f t="shared" si="10"/>
        <v>2024-H1</v>
      </c>
      <c r="N1738" s="65" t="s">
        <v>80</v>
      </c>
    </row>
    <row r="1739">
      <c r="I1739" s="61" t="str">
        <f t="shared" si="6"/>
        <v>2024</v>
      </c>
      <c r="J1739" s="62">
        <f t="shared" si="7"/>
        <v>4</v>
      </c>
      <c r="K1739" s="61" t="str">
        <f t="shared" si="8"/>
        <v>2024-Q2</v>
      </c>
      <c r="L1739" s="63" t="str">
        <f t="shared" si="9"/>
        <v>2024-04</v>
      </c>
      <c r="M1739" s="64" t="str">
        <f t="shared" si="10"/>
        <v>2024-H1</v>
      </c>
      <c r="N1739" s="65" t="s">
        <v>80</v>
      </c>
    </row>
    <row r="1740">
      <c r="I1740" s="61" t="str">
        <f t="shared" si="6"/>
        <v>2024</v>
      </c>
      <c r="J1740" s="62">
        <f t="shared" si="7"/>
        <v>4</v>
      </c>
      <c r="K1740" s="61" t="str">
        <f t="shared" si="8"/>
        <v>2024-Q2</v>
      </c>
      <c r="L1740" s="63" t="str">
        <f t="shared" si="9"/>
        <v>2024-04</v>
      </c>
      <c r="M1740" s="64" t="str">
        <f t="shared" si="10"/>
        <v>2024-H1</v>
      </c>
      <c r="N1740" s="65" t="s">
        <v>80</v>
      </c>
    </row>
    <row r="1741">
      <c r="I1741" s="61" t="str">
        <f t="shared" si="6"/>
        <v>2024</v>
      </c>
      <c r="J1741" s="62">
        <f t="shared" si="7"/>
        <v>4</v>
      </c>
      <c r="K1741" s="61" t="str">
        <f t="shared" si="8"/>
        <v>2024-Q2</v>
      </c>
      <c r="L1741" s="63" t="str">
        <f t="shared" si="9"/>
        <v>2024-04</v>
      </c>
      <c r="M1741" s="64" t="str">
        <f t="shared" si="10"/>
        <v>2024-H1</v>
      </c>
      <c r="N1741" s="65" t="s">
        <v>80</v>
      </c>
    </row>
    <row r="1742">
      <c r="I1742" s="61" t="str">
        <f t="shared" si="6"/>
        <v>2024</v>
      </c>
      <c r="J1742" s="62">
        <f t="shared" si="7"/>
        <v>4</v>
      </c>
      <c r="K1742" s="61" t="str">
        <f t="shared" si="8"/>
        <v>2024-Q2</v>
      </c>
      <c r="L1742" s="63" t="str">
        <f t="shared" si="9"/>
        <v>2024-04</v>
      </c>
      <c r="M1742" s="64" t="str">
        <f t="shared" si="10"/>
        <v>2024-H1</v>
      </c>
      <c r="N1742" s="65" t="s">
        <v>80</v>
      </c>
    </row>
    <row r="1743">
      <c r="I1743" s="61" t="str">
        <f t="shared" si="6"/>
        <v>2024</v>
      </c>
      <c r="J1743" s="62">
        <f t="shared" si="7"/>
        <v>4</v>
      </c>
      <c r="K1743" s="61" t="str">
        <f t="shared" si="8"/>
        <v>2024-Q2</v>
      </c>
      <c r="L1743" s="63" t="str">
        <f t="shared" si="9"/>
        <v>2024-04</v>
      </c>
      <c r="M1743" s="64" t="str">
        <f t="shared" si="10"/>
        <v>2024-H1</v>
      </c>
      <c r="N1743" s="65" t="s">
        <v>80</v>
      </c>
    </row>
    <row r="1744">
      <c r="I1744" s="61" t="str">
        <f t="shared" si="6"/>
        <v>2024</v>
      </c>
      <c r="J1744" s="62">
        <f t="shared" si="7"/>
        <v>4</v>
      </c>
      <c r="K1744" s="61" t="str">
        <f t="shared" si="8"/>
        <v>2024-Q2</v>
      </c>
      <c r="L1744" s="63" t="str">
        <f t="shared" si="9"/>
        <v>2024-04</v>
      </c>
      <c r="M1744" s="64" t="str">
        <f t="shared" si="10"/>
        <v>2024-H1</v>
      </c>
      <c r="N1744" s="65" t="s">
        <v>80</v>
      </c>
    </row>
    <row r="1745">
      <c r="I1745" s="61" t="str">
        <f t="shared" si="6"/>
        <v>2024</v>
      </c>
      <c r="J1745" s="62">
        <f t="shared" si="7"/>
        <v>4</v>
      </c>
      <c r="K1745" s="61" t="str">
        <f t="shared" si="8"/>
        <v>2024-Q2</v>
      </c>
      <c r="L1745" s="63" t="str">
        <f t="shared" si="9"/>
        <v>2024-04</v>
      </c>
      <c r="M1745" s="64" t="str">
        <f t="shared" si="10"/>
        <v>2024-H1</v>
      </c>
      <c r="N1745" s="65" t="s">
        <v>80</v>
      </c>
    </row>
    <row r="1746">
      <c r="I1746" s="61" t="str">
        <f t="shared" si="6"/>
        <v>2024</v>
      </c>
      <c r="J1746" s="62">
        <f t="shared" si="7"/>
        <v>4</v>
      </c>
      <c r="K1746" s="61" t="str">
        <f t="shared" si="8"/>
        <v>2024-Q2</v>
      </c>
      <c r="L1746" s="63" t="str">
        <f t="shared" si="9"/>
        <v>2024-04</v>
      </c>
      <c r="M1746" s="64" t="str">
        <f t="shared" si="10"/>
        <v>2024-H1</v>
      </c>
      <c r="N1746" s="65" t="s">
        <v>80</v>
      </c>
    </row>
    <row r="1747">
      <c r="I1747" s="61" t="str">
        <f t="shared" si="6"/>
        <v>2024</v>
      </c>
      <c r="J1747" s="62">
        <f t="shared" si="7"/>
        <v>4</v>
      </c>
      <c r="K1747" s="61" t="str">
        <f t="shared" si="8"/>
        <v>2024-Q2</v>
      </c>
      <c r="L1747" s="63" t="str">
        <f t="shared" si="9"/>
        <v>2024-04</v>
      </c>
      <c r="M1747" s="64" t="str">
        <f t="shared" si="10"/>
        <v>2024-H1</v>
      </c>
      <c r="N1747" s="65" t="s">
        <v>80</v>
      </c>
    </row>
    <row r="1748">
      <c r="I1748" s="61" t="str">
        <f t="shared" si="6"/>
        <v>2024</v>
      </c>
      <c r="J1748" s="62">
        <f t="shared" si="7"/>
        <v>4</v>
      </c>
      <c r="K1748" s="61" t="str">
        <f t="shared" si="8"/>
        <v>2024-Q2</v>
      </c>
      <c r="L1748" s="63" t="str">
        <f t="shared" si="9"/>
        <v>2024-04</v>
      </c>
      <c r="M1748" s="64" t="str">
        <f t="shared" si="10"/>
        <v>2024-H1</v>
      </c>
      <c r="N1748" s="65" t="s">
        <v>80</v>
      </c>
    </row>
    <row r="1749">
      <c r="I1749" s="61" t="str">
        <f t="shared" si="6"/>
        <v>2024</v>
      </c>
      <c r="J1749" s="62">
        <f t="shared" si="7"/>
        <v>4</v>
      </c>
      <c r="K1749" s="61" t="str">
        <f t="shared" si="8"/>
        <v>2024-Q2</v>
      </c>
      <c r="L1749" s="63" t="str">
        <f t="shared" si="9"/>
        <v>2024-04</v>
      </c>
      <c r="M1749" s="64" t="str">
        <f t="shared" si="10"/>
        <v>2024-H1</v>
      </c>
      <c r="N1749" s="65" t="s">
        <v>80</v>
      </c>
    </row>
    <row r="1750">
      <c r="I1750" s="61" t="str">
        <f t="shared" si="6"/>
        <v>2024</v>
      </c>
      <c r="J1750" s="62">
        <f t="shared" si="7"/>
        <v>5</v>
      </c>
      <c r="K1750" s="61" t="str">
        <f t="shared" si="8"/>
        <v>2024-Q2</v>
      </c>
      <c r="L1750" s="63" t="str">
        <f t="shared" si="9"/>
        <v>2024-05</v>
      </c>
      <c r="M1750" s="64" t="str">
        <f t="shared" si="10"/>
        <v>2024-H1</v>
      </c>
      <c r="N1750" s="65" t="s">
        <v>80</v>
      </c>
    </row>
    <row r="1751">
      <c r="I1751" s="61" t="str">
        <f t="shared" si="6"/>
        <v>2024</v>
      </c>
      <c r="J1751" s="62">
        <f t="shared" si="7"/>
        <v>4</v>
      </c>
      <c r="K1751" s="61" t="str">
        <f t="shared" si="8"/>
        <v>2024-Q2</v>
      </c>
      <c r="L1751" s="63" t="str">
        <f t="shared" si="9"/>
        <v>2024-04</v>
      </c>
      <c r="M1751" s="64" t="str">
        <f t="shared" si="10"/>
        <v>2024-H1</v>
      </c>
      <c r="N1751" s="65" t="s">
        <v>80</v>
      </c>
    </row>
    <row r="1752">
      <c r="I1752" s="61" t="str">
        <f t="shared" si="6"/>
        <v>2024</v>
      </c>
      <c r="J1752" s="62">
        <f t="shared" si="7"/>
        <v>4</v>
      </c>
      <c r="K1752" s="61" t="str">
        <f t="shared" si="8"/>
        <v>2024-Q2</v>
      </c>
      <c r="L1752" s="63" t="str">
        <f t="shared" si="9"/>
        <v>2024-04</v>
      </c>
      <c r="M1752" s="64" t="str">
        <f t="shared" si="10"/>
        <v>2024-H1</v>
      </c>
      <c r="N1752" s="65" t="s">
        <v>80</v>
      </c>
    </row>
    <row r="1753">
      <c r="I1753" s="61" t="str">
        <f t="shared" si="6"/>
        <v>2024</v>
      </c>
      <c r="J1753" s="62">
        <f t="shared" si="7"/>
        <v>4</v>
      </c>
      <c r="K1753" s="61" t="str">
        <f t="shared" si="8"/>
        <v>2024-Q2</v>
      </c>
      <c r="L1753" s="63" t="str">
        <f t="shared" si="9"/>
        <v>2024-04</v>
      </c>
      <c r="M1753" s="64" t="str">
        <f t="shared" si="10"/>
        <v>2024-H1</v>
      </c>
      <c r="N1753" s="65" t="s">
        <v>80</v>
      </c>
    </row>
    <row r="1754">
      <c r="I1754" s="61" t="str">
        <f t="shared" si="6"/>
        <v>2024</v>
      </c>
      <c r="J1754" s="62">
        <f t="shared" si="7"/>
        <v>6</v>
      </c>
      <c r="K1754" s="61" t="str">
        <f t="shared" si="8"/>
        <v>2024-Q2</v>
      </c>
      <c r="L1754" s="63" t="str">
        <f t="shared" si="9"/>
        <v>2024-06</v>
      </c>
      <c r="M1754" s="64" t="str">
        <f t="shared" si="10"/>
        <v>2024-H1</v>
      </c>
      <c r="N1754" s="65" t="s">
        <v>80</v>
      </c>
    </row>
    <row r="1755">
      <c r="I1755" s="61" t="str">
        <f t="shared" si="6"/>
        <v>2024</v>
      </c>
      <c r="J1755" s="62">
        <f t="shared" si="7"/>
        <v>4</v>
      </c>
      <c r="K1755" s="61" t="str">
        <f t="shared" si="8"/>
        <v>2024-Q2</v>
      </c>
      <c r="L1755" s="63" t="str">
        <f t="shared" si="9"/>
        <v>2024-04</v>
      </c>
      <c r="M1755" s="64" t="str">
        <f t="shared" si="10"/>
        <v>2024-H1</v>
      </c>
      <c r="N1755" s="65" t="s">
        <v>80</v>
      </c>
    </row>
    <row r="1756">
      <c r="I1756" s="61" t="str">
        <f t="shared" si="6"/>
        <v>2024</v>
      </c>
      <c r="J1756" s="62">
        <f t="shared" si="7"/>
        <v>5</v>
      </c>
      <c r="K1756" s="61" t="str">
        <f t="shared" si="8"/>
        <v>2024-Q2</v>
      </c>
      <c r="L1756" s="63" t="str">
        <f t="shared" si="9"/>
        <v>2024-05</v>
      </c>
      <c r="M1756" s="64" t="str">
        <f t="shared" si="10"/>
        <v>2024-H1</v>
      </c>
      <c r="N1756" s="65" t="s">
        <v>80</v>
      </c>
    </row>
    <row r="1757">
      <c r="I1757" s="61" t="str">
        <f t="shared" si="6"/>
        <v>2024</v>
      </c>
      <c r="J1757" s="62">
        <f t="shared" si="7"/>
        <v>5</v>
      </c>
      <c r="K1757" s="61" t="str">
        <f t="shared" si="8"/>
        <v>2024-Q2</v>
      </c>
      <c r="L1757" s="63" t="str">
        <f t="shared" si="9"/>
        <v>2024-05</v>
      </c>
      <c r="M1757" s="64" t="str">
        <f t="shared" si="10"/>
        <v>2024-H1</v>
      </c>
      <c r="N1757" s="65" t="s">
        <v>80</v>
      </c>
    </row>
    <row r="1758">
      <c r="I1758" s="61" t="str">
        <f t="shared" si="6"/>
        <v>2024</v>
      </c>
      <c r="J1758" s="62">
        <f t="shared" si="7"/>
        <v>4</v>
      </c>
      <c r="K1758" s="61" t="str">
        <f t="shared" si="8"/>
        <v>2024-Q2</v>
      </c>
      <c r="L1758" s="63" t="str">
        <f t="shared" si="9"/>
        <v>2024-04</v>
      </c>
      <c r="M1758" s="64" t="str">
        <f t="shared" si="10"/>
        <v>2024-H1</v>
      </c>
      <c r="N1758" s="65" t="s">
        <v>80</v>
      </c>
    </row>
    <row r="1759">
      <c r="I1759" s="61" t="str">
        <f t="shared" si="6"/>
        <v>2024</v>
      </c>
      <c r="J1759" s="62">
        <f t="shared" si="7"/>
        <v>4</v>
      </c>
      <c r="K1759" s="61" t="str">
        <f t="shared" si="8"/>
        <v>2024-Q2</v>
      </c>
      <c r="L1759" s="63" t="str">
        <f t="shared" si="9"/>
        <v>2024-04</v>
      </c>
      <c r="M1759" s="64" t="str">
        <f t="shared" si="10"/>
        <v>2024-H1</v>
      </c>
      <c r="N1759" s="65" t="s">
        <v>80</v>
      </c>
    </row>
    <row r="1760">
      <c r="I1760" s="61" t="str">
        <f t="shared" si="6"/>
        <v>2024</v>
      </c>
      <c r="J1760" s="62">
        <f t="shared" si="7"/>
        <v>5</v>
      </c>
      <c r="K1760" s="61" t="str">
        <f t="shared" si="8"/>
        <v>2024-Q2</v>
      </c>
      <c r="L1760" s="63" t="str">
        <f t="shared" si="9"/>
        <v>2024-05</v>
      </c>
      <c r="M1760" s="64" t="str">
        <f t="shared" si="10"/>
        <v>2024-H1</v>
      </c>
      <c r="N1760" s="65" t="s">
        <v>80</v>
      </c>
    </row>
    <row r="1761">
      <c r="I1761" s="61" t="str">
        <f t="shared" si="6"/>
        <v>2024</v>
      </c>
      <c r="J1761" s="62">
        <f t="shared" si="7"/>
        <v>5</v>
      </c>
      <c r="K1761" s="61" t="str">
        <f t="shared" si="8"/>
        <v>2024-Q2</v>
      </c>
      <c r="L1761" s="63" t="str">
        <f t="shared" si="9"/>
        <v>2024-05</v>
      </c>
      <c r="M1761" s="64" t="str">
        <f t="shared" si="10"/>
        <v>2024-H1</v>
      </c>
      <c r="N1761" s="65" t="s">
        <v>80</v>
      </c>
    </row>
    <row r="1762">
      <c r="I1762" s="61" t="str">
        <f t="shared" si="6"/>
        <v>2024</v>
      </c>
      <c r="J1762" s="62">
        <f t="shared" si="7"/>
        <v>5</v>
      </c>
      <c r="K1762" s="61" t="str">
        <f t="shared" si="8"/>
        <v>2024-Q2</v>
      </c>
      <c r="L1762" s="63" t="str">
        <f t="shared" si="9"/>
        <v>2024-05</v>
      </c>
      <c r="M1762" s="64" t="str">
        <f t="shared" si="10"/>
        <v>2024-H1</v>
      </c>
      <c r="N1762" s="65" t="s">
        <v>80</v>
      </c>
    </row>
    <row r="1763">
      <c r="I1763" s="61" t="str">
        <f t="shared" si="6"/>
        <v>2024</v>
      </c>
      <c r="J1763" s="62">
        <f t="shared" si="7"/>
        <v>4</v>
      </c>
      <c r="K1763" s="61" t="str">
        <f t="shared" si="8"/>
        <v>2024-Q2</v>
      </c>
      <c r="L1763" s="63" t="str">
        <f t="shared" si="9"/>
        <v>2024-04</v>
      </c>
      <c r="M1763" s="64" t="str">
        <f t="shared" si="10"/>
        <v>2024-H1</v>
      </c>
      <c r="N1763" s="65" t="s">
        <v>80</v>
      </c>
    </row>
    <row r="1764">
      <c r="I1764" s="61" t="str">
        <f t="shared" si="6"/>
        <v>2024</v>
      </c>
      <c r="J1764" s="62">
        <f t="shared" si="7"/>
        <v>5</v>
      </c>
      <c r="K1764" s="61" t="str">
        <f t="shared" si="8"/>
        <v>2024-Q2</v>
      </c>
      <c r="L1764" s="63" t="str">
        <f t="shared" si="9"/>
        <v>2024-05</v>
      </c>
      <c r="M1764" s="64" t="str">
        <f t="shared" si="10"/>
        <v>2024-H1</v>
      </c>
      <c r="N1764" s="65" t="s">
        <v>80</v>
      </c>
    </row>
    <row r="1765">
      <c r="I1765" s="61" t="str">
        <f t="shared" si="6"/>
        <v>2024</v>
      </c>
      <c r="J1765" s="62">
        <f t="shared" si="7"/>
        <v>4</v>
      </c>
      <c r="K1765" s="61" t="str">
        <f t="shared" si="8"/>
        <v>2024-Q2</v>
      </c>
      <c r="L1765" s="63" t="str">
        <f t="shared" si="9"/>
        <v>2024-04</v>
      </c>
      <c r="M1765" s="64" t="str">
        <f t="shared" si="10"/>
        <v>2024-H1</v>
      </c>
      <c r="N1765" s="65" t="s">
        <v>80</v>
      </c>
    </row>
    <row r="1766">
      <c r="I1766" s="61" t="str">
        <f t="shared" si="6"/>
        <v>2024</v>
      </c>
      <c r="J1766" s="62">
        <f t="shared" si="7"/>
        <v>6</v>
      </c>
      <c r="K1766" s="61" t="str">
        <f t="shared" si="8"/>
        <v>2024-Q2</v>
      </c>
      <c r="L1766" s="63" t="str">
        <f t="shared" si="9"/>
        <v>2024-06</v>
      </c>
      <c r="M1766" s="64" t="str">
        <f t="shared" si="10"/>
        <v>2024-H1</v>
      </c>
      <c r="N1766" s="65" t="s">
        <v>80</v>
      </c>
    </row>
    <row r="1767">
      <c r="I1767" s="61" t="str">
        <f t="shared" si="6"/>
        <v>2024</v>
      </c>
      <c r="J1767" s="62">
        <f t="shared" si="7"/>
        <v>5</v>
      </c>
      <c r="K1767" s="61" t="str">
        <f t="shared" si="8"/>
        <v>2024-Q2</v>
      </c>
      <c r="L1767" s="63" t="str">
        <f t="shared" si="9"/>
        <v>2024-05</v>
      </c>
      <c r="M1767" s="64" t="str">
        <f t="shared" si="10"/>
        <v>2024-H1</v>
      </c>
      <c r="N1767" s="65" t="s">
        <v>80</v>
      </c>
    </row>
    <row r="1768">
      <c r="I1768" s="61" t="str">
        <f t="shared" si="6"/>
        <v>2024</v>
      </c>
      <c r="J1768" s="62">
        <f t="shared" si="7"/>
        <v>4</v>
      </c>
      <c r="K1768" s="61" t="str">
        <f t="shared" si="8"/>
        <v>2024-Q2</v>
      </c>
      <c r="L1768" s="63" t="str">
        <f t="shared" si="9"/>
        <v>2024-04</v>
      </c>
      <c r="M1768" s="64" t="str">
        <f t="shared" si="10"/>
        <v>2024-H1</v>
      </c>
      <c r="N1768" s="65" t="s">
        <v>80</v>
      </c>
    </row>
    <row r="1769">
      <c r="I1769" s="61" t="str">
        <f t="shared" si="6"/>
        <v>2024</v>
      </c>
      <c r="J1769" s="62">
        <f t="shared" si="7"/>
        <v>4</v>
      </c>
      <c r="K1769" s="61" t="str">
        <f t="shared" si="8"/>
        <v>2024-Q2</v>
      </c>
      <c r="L1769" s="63" t="str">
        <f t="shared" si="9"/>
        <v>2024-04</v>
      </c>
      <c r="M1769" s="64" t="str">
        <f t="shared" si="10"/>
        <v>2024-H1</v>
      </c>
      <c r="N1769" s="65" t="s">
        <v>80</v>
      </c>
    </row>
    <row r="1770">
      <c r="I1770" s="61" t="str">
        <f t="shared" si="6"/>
        <v>2024</v>
      </c>
      <c r="J1770" s="62">
        <f t="shared" si="7"/>
        <v>6</v>
      </c>
      <c r="K1770" s="61" t="str">
        <f t="shared" si="8"/>
        <v>2024-Q2</v>
      </c>
      <c r="L1770" s="63" t="str">
        <f t="shared" si="9"/>
        <v>2024-06</v>
      </c>
      <c r="M1770" s="64" t="str">
        <f t="shared" si="10"/>
        <v>2024-H1</v>
      </c>
      <c r="N1770" s="65" t="s">
        <v>80</v>
      </c>
    </row>
    <row r="1771">
      <c r="I1771" s="61" t="str">
        <f t="shared" si="6"/>
        <v>2024</v>
      </c>
      <c r="J1771" s="62">
        <f t="shared" si="7"/>
        <v>6</v>
      </c>
      <c r="K1771" s="61" t="str">
        <f t="shared" si="8"/>
        <v>2024-Q2</v>
      </c>
      <c r="L1771" s="63" t="str">
        <f t="shared" si="9"/>
        <v>2024-06</v>
      </c>
      <c r="M1771" s="64" t="str">
        <f t="shared" si="10"/>
        <v>2024-H1</v>
      </c>
      <c r="N1771" s="65" t="s">
        <v>80</v>
      </c>
    </row>
    <row r="1772">
      <c r="I1772" s="61" t="str">
        <f t="shared" si="6"/>
        <v>2024</v>
      </c>
      <c r="J1772" s="62">
        <f t="shared" si="7"/>
        <v>4</v>
      </c>
      <c r="K1772" s="61" t="str">
        <f t="shared" si="8"/>
        <v>2024-Q2</v>
      </c>
      <c r="L1772" s="63" t="str">
        <f t="shared" si="9"/>
        <v>2024-04</v>
      </c>
      <c r="M1772" s="64" t="str">
        <f t="shared" si="10"/>
        <v>2024-H1</v>
      </c>
      <c r="N1772" s="65" t="s">
        <v>80</v>
      </c>
    </row>
    <row r="1773">
      <c r="I1773" s="61" t="str">
        <f t="shared" si="6"/>
        <v>2024</v>
      </c>
      <c r="J1773" s="62">
        <f t="shared" si="7"/>
        <v>5</v>
      </c>
      <c r="K1773" s="61" t="str">
        <f t="shared" si="8"/>
        <v>2024-Q2</v>
      </c>
      <c r="L1773" s="63" t="str">
        <f t="shared" si="9"/>
        <v>2024-05</v>
      </c>
      <c r="M1773" s="64" t="str">
        <f t="shared" si="10"/>
        <v>2024-H1</v>
      </c>
      <c r="N1773" s="65" t="s">
        <v>80</v>
      </c>
    </row>
    <row r="1774">
      <c r="I1774" s="61" t="str">
        <f t="shared" si="6"/>
        <v>2024</v>
      </c>
      <c r="J1774" s="62">
        <f t="shared" si="7"/>
        <v>4</v>
      </c>
      <c r="K1774" s="61" t="str">
        <f t="shared" si="8"/>
        <v>2024-Q2</v>
      </c>
      <c r="L1774" s="63" t="str">
        <f t="shared" si="9"/>
        <v>2024-04</v>
      </c>
      <c r="M1774" s="64" t="str">
        <f t="shared" si="10"/>
        <v>2024-H1</v>
      </c>
      <c r="N1774" s="65" t="s">
        <v>80</v>
      </c>
    </row>
    <row r="1775">
      <c r="I1775" s="61" t="str">
        <f t="shared" si="6"/>
        <v>2024</v>
      </c>
      <c r="J1775" s="62">
        <f t="shared" si="7"/>
        <v>4</v>
      </c>
      <c r="K1775" s="61" t="str">
        <f t="shared" si="8"/>
        <v>2024-Q2</v>
      </c>
      <c r="L1775" s="63" t="str">
        <f t="shared" si="9"/>
        <v>2024-04</v>
      </c>
      <c r="M1775" s="64" t="str">
        <f t="shared" si="10"/>
        <v>2024-H1</v>
      </c>
      <c r="N1775" s="65" t="s">
        <v>80</v>
      </c>
    </row>
    <row r="1776">
      <c r="I1776" s="61" t="str">
        <f t="shared" si="6"/>
        <v>2024</v>
      </c>
      <c r="J1776" s="62">
        <f t="shared" si="7"/>
        <v>4</v>
      </c>
      <c r="K1776" s="61" t="str">
        <f t="shared" si="8"/>
        <v>2024-Q2</v>
      </c>
      <c r="L1776" s="63" t="str">
        <f t="shared" si="9"/>
        <v>2024-04</v>
      </c>
      <c r="M1776" s="64" t="str">
        <f t="shared" si="10"/>
        <v>2024-H1</v>
      </c>
      <c r="N1776" s="65" t="s">
        <v>80</v>
      </c>
    </row>
    <row r="1777">
      <c r="I1777" s="61" t="str">
        <f t="shared" si="6"/>
        <v>2024</v>
      </c>
      <c r="J1777" s="62">
        <f t="shared" si="7"/>
        <v>4</v>
      </c>
      <c r="K1777" s="61" t="str">
        <f t="shared" si="8"/>
        <v>2024-Q2</v>
      </c>
      <c r="L1777" s="63" t="str">
        <f t="shared" si="9"/>
        <v>2024-04</v>
      </c>
      <c r="M1777" s="64" t="str">
        <f t="shared" si="10"/>
        <v>2024-H1</v>
      </c>
      <c r="N1777" s="65" t="s">
        <v>80</v>
      </c>
    </row>
    <row r="1778">
      <c r="I1778" s="61" t="str">
        <f t="shared" si="6"/>
        <v>2024</v>
      </c>
      <c r="J1778" s="62">
        <f t="shared" si="7"/>
        <v>4</v>
      </c>
      <c r="K1778" s="61" t="str">
        <f t="shared" si="8"/>
        <v>2024-Q2</v>
      </c>
      <c r="L1778" s="63" t="str">
        <f t="shared" si="9"/>
        <v>2024-04</v>
      </c>
      <c r="M1778" s="64" t="str">
        <f t="shared" si="10"/>
        <v>2024-H1</v>
      </c>
      <c r="N1778" s="65" t="s">
        <v>80</v>
      </c>
    </row>
    <row r="1779">
      <c r="I1779" s="61" t="str">
        <f t="shared" si="6"/>
        <v>2024</v>
      </c>
      <c r="J1779" s="62">
        <f t="shared" si="7"/>
        <v>4</v>
      </c>
      <c r="K1779" s="61" t="str">
        <f t="shared" si="8"/>
        <v>2024-Q2</v>
      </c>
      <c r="L1779" s="63" t="str">
        <f t="shared" si="9"/>
        <v>2024-04</v>
      </c>
      <c r="M1779" s="64" t="str">
        <f t="shared" si="10"/>
        <v>2024-H1</v>
      </c>
      <c r="N1779" s="65" t="s">
        <v>80</v>
      </c>
    </row>
    <row r="1780">
      <c r="I1780" s="61" t="str">
        <f t="shared" si="6"/>
        <v>2024</v>
      </c>
      <c r="J1780" s="62">
        <f t="shared" si="7"/>
        <v>4</v>
      </c>
      <c r="K1780" s="61" t="str">
        <f t="shared" si="8"/>
        <v>2024-Q2</v>
      </c>
      <c r="L1780" s="63" t="str">
        <f t="shared" si="9"/>
        <v>2024-04</v>
      </c>
      <c r="M1780" s="64" t="str">
        <f t="shared" si="10"/>
        <v>2024-H1</v>
      </c>
      <c r="N1780" s="65" t="s">
        <v>80</v>
      </c>
    </row>
    <row r="1781">
      <c r="I1781" s="61" t="str">
        <f t="shared" si="6"/>
        <v>2024</v>
      </c>
      <c r="J1781" s="62">
        <f t="shared" si="7"/>
        <v>5</v>
      </c>
      <c r="K1781" s="61" t="str">
        <f t="shared" si="8"/>
        <v>2024-Q2</v>
      </c>
      <c r="L1781" s="63" t="str">
        <f t="shared" si="9"/>
        <v>2024-05</v>
      </c>
      <c r="M1781" s="64" t="str">
        <f t="shared" si="10"/>
        <v>2024-H1</v>
      </c>
      <c r="N1781" s="65" t="s">
        <v>80</v>
      </c>
    </row>
    <row r="1782">
      <c r="I1782" s="61" t="str">
        <f t="shared" si="6"/>
        <v>2024</v>
      </c>
      <c r="J1782" s="62">
        <f t="shared" si="7"/>
        <v>4</v>
      </c>
      <c r="K1782" s="61" t="str">
        <f t="shared" si="8"/>
        <v>2024-Q2</v>
      </c>
      <c r="L1782" s="63" t="str">
        <f t="shared" si="9"/>
        <v>2024-04</v>
      </c>
      <c r="M1782" s="64" t="str">
        <f t="shared" si="10"/>
        <v>2024-H1</v>
      </c>
      <c r="N1782" s="65" t="s">
        <v>80</v>
      </c>
    </row>
    <row r="1783">
      <c r="I1783" s="61" t="str">
        <f t="shared" si="6"/>
        <v>2024</v>
      </c>
      <c r="J1783" s="62">
        <f t="shared" si="7"/>
        <v>4</v>
      </c>
      <c r="K1783" s="61" t="str">
        <f t="shared" si="8"/>
        <v>2024-Q2</v>
      </c>
      <c r="L1783" s="63" t="str">
        <f t="shared" si="9"/>
        <v>2024-04</v>
      </c>
      <c r="M1783" s="64" t="str">
        <f t="shared" si="10"/>
        <v>2024-H1</v>
      </c>
      <c r="N1783" s="65" t="s">
        <v>80</v>
      </c>
    </row>
    <row r="1784">
      <c r="I1784" s="61" t="str">
        <f t="shared" si="6"/>
        <v>2024</v>
      </c>
      <c r="J1784" s="62">
        <f t="shared" si="7"/>
        <v>4</v>
      </c>
      <c r="K1784" s="61" t="str">
        <f t="shared" si="8"/>
        <v>2024-Q2</v>
      </c>
      <c r="L1784" s="63" t="str">
        <f t="shared" si="9"/>
        <v>2024-04</v>
      </c>
      <c r="M1784" s="64" t="str">
        <f t="shared" si="10"/>
        <v>2024-H1</v>
      </c>
      <c r="N1784" s="65" t="s">
        <v>80</v>
      </c>
    </row>
    <row r="1785">
      <c r="I1785" s="61" t="str">
        <f t="shared" si="6"/>
        <v>2024</v>
      </c>
      <c r="J1785" s="62">
        <f t="shared" si="7"/>
        <v>4</v>
      </c>
      <c r="K1785" s="61" t="str">
        <f t="shared" si="8"/>
        <v>2024-Q2</v>
      </c>
      <c r="L1785" s="63" t="str">
        <f t="shared" si="9"/>
        <v>2024-04</v>
      </c>
      <c r="M1785" s="64" t="str">
        <f t="shared" si="10"/>
        <v>2024-H1</v>
      </c>
      <c r="N1785" s="65" t="s">
        <v>80</v>
      </c>
    </row>
    <row r="1786">
      <c r="I1786" s="61" t="str">
        <f t="shared" si="6"/>
        <v>2024</v>
      </c>
      <c r="J1786" s="62">
        <f t="shared" si="7"/>
        <v>4</v>
      </c>
      <c r="K1786" s="61" t="str">
        <f t="shared" si="8"/>
        <v>2024-Q2</v>
      </c>
      <c r="L1786" s="63" t="str">
        <f t="shared" si="9"/>
        <v>2024-04</v>
      </c>
      <c r="M1786" s="64" t="str">
        <f t="shared" si="10"/>
        <v>2024-H1</v>
      </c>
      <c r="N1786" s="65" t="s">
        <v>80</v>
      </c>
    </row>
    <row r="1787">
      <c r="I1787" s="61" t="str">
        <f t="shared" si="6"/>
        <v>2024</v>
      </c>
      <c r="J1787" s="62">
        <f t="shared" si="7"/>
        <v>4</v>
      </c>
      <c r="K1787" s="61" t="str">
        <f t="shared" si="8"/>
        <v>2024-Q2</v>
      </c>
      <c r="L1787" s="63" t="str">
        <f t="shared" si="9"/>
        <v>2024-04</v>
      </c>
      <c r="M1787" s="64" t="str">
        <f t="shared" si="10"/>
        <v>2024-H1</v>
      </c>
      <c r="N1787" s="65" t="s">
        <v>80</v>
      </c>
    </row>
    <row r="1788">
      <c r="I1788" s="61" t="str">
        <f t="shared" si="6"/>
        <v>2024</v>
      </c>
      <c r="J1788" s="62">
        <f t="shared" si="7"/>
        <v>4</v>
      </c>
      <c r="K1788" s="61" t="str">
        <f t="shared" si="8"/>
        <v>2024-Q2</v>
      </c>
      <c r="L1788" s="63" t="str">
        <f t="shared" si="9"/>
        <v>2024-04</v>
      </c>
      <c r="M1788" s="64" t="str">
        <f t="shared" si="10"/>
        <v>2024-H1</v>
      </c>
      <c r="N1788" s="65" t="s">
        <v>80</v>
      </c>
    </row>
    <row r="1789">
      <c r="I1789" s="61" t="str">
        <f t="shared" si="6"/>
        <v>2024</v>
      </c>
      <c r="J1789" s="62">
        <f t="shared" si="7"/>
        <v>4</v>
      </c>
      <c r="K1789" s="61" t="str">
        <f t="shared" si="8"/>
        <v>2024-Q2</v>
      </c>
      <c r="L1789" s="63" t="str">
        <f t="shared" si="9"/>
        <v>2024-04</v>
      </c>
      <c r="M1789" s="64" t="str">
        <f t="shared" si="10"/>
        <v>2024-H1</v>
      </c>
      <c r="N1789" s="65" t="s">
        <v>80</v>
      </c>
    </row>
    <row r="1790">
      <c r="I1790" s="61" t="str">
        <f t="shared" si="6"/>
        <v>2024</v>
      </c>
      <c r="J1790" s="62">
        <f t="shared" si="7"/>
        <v>4</v>
      </c>
      <c r="K1790" s="61" t="str">
        <f t="shared" si="8"/>
        <v>2024-Q2</v>
      </c>
      <c r="L1790" s="63" t="str">
        <f t="shared" si="9"/>
        <v>2024-04</v>
      </c>
      <c r="M1790" s="64" t="str">
        <f t="shared" si="10"/>
        <v>2024-H1</v>
      </c>
      <c r="N1790" s="65" t="s">
        <v>80</v>
      </c>
    </row>
    <row r="1791">
      <c r="I1791" s="61" t="str">
        <f t="shared" si="6"/>
        <v>2024</v>
      </c>
      <c r="J1791" s="62">
        <f t="shared" si="7"/>
        <v>4</v>
      </c>
      <c r="K1791" s="61" t="str">
        <f t="shared" si="8"/>
        <v>2024-Q2</v>
      </c>
      <c r="L1791" s="63" t="str">
        <f t="shared" si="9"/>
        <v>2024-04</v>
      </c>
      <c r="M1791" s="64" t="str">
        <f t="shared" si="10"/>
        <v>2024-H1</v>
      </c>
      <c r="N1791" s="65" t="s">
        <v>80</v>
      </c>
    </row>
    <row r="1792">
      <c r="I1792" s="61" t="str">
        <f t="shared" si="6"/>
        <v>2024</v>
      </c>
      <c r="J1792" s="62">
        <f t="shared" si="7"/>
        <v>4</v>
      </c>
      <c r="K1792" s="61" t="str">
        <f t="shared" si="8"/>
        <v>2024-Q2</v>
      </c>
      <c r="L1792" s="63" t="str">
        <f t="shared" si="9"/>
        <v>2024-04</v>
      </c>
      <c r="M1792" s="64" t="str">
        <f t="shared" si="10"/>
        <v>2024-H1</v>
      </c>
      <c r="N1792" s="65" t="s">
        <v>80</v>
      </c>
    </row>
    <row r="1793">
      <c r="I1793" s="61" t="str">
        <f t="shared" si="6"/>
        <v>2024</v>
      </c>
      <c r="J1793" s="62">
        <f t="shared" si="7"/>
        <v>4</v>
      </c>
      <c r="K1793" s="61" t="str">
        <f t="shared" si="8"/>
        <v>2024-Q2</v>
      </c>
      <c r="L1793" s="63" t="str">
        <f t="shared" si="9"/>
        <v>2024-04</v>
      </c>
      <c r="M1793" s="64" t="str">
        <f t="shared" si="10"/>
        <v>2024-H1</v>
      </c>
      <c r="N1793" s="65" t="s">
        <v>80</v>
      </c>
    </row>
    <row r="1794">
      <c r="I1794" s="61" t="str">
        <f t="shared" si="6"/>
        <v>2024</v>
      </c>
      <c r="J1794" s="62">
        <f t="shared" si="7"/>
        <v>4</v>
      </c>
      <c r="K1794" s="61" t="str">
        <f t="shared" si="8"/>
        <v>2024-Q2</v>
      </c>
      <c r="L1794" s="63" t="str">
        <f t="shared" si="9"/>
        <v>2024-04</v>
      </c>
      <c r="M1794" s="64" t="str">
        <f t="shared" si="10"/>
        <v>2024-H1</v>
      </c>
      <c r="N1794" s="65" t="s">
        <v>80</v>
      </c>
    </row>
    <row r="1795">
      <c r="I1795" s="61" t="str">
        <f t="shared" si="6"/>
        <v>2024</v>
      </c>
      <c r="J1795" s="62">
        <f t="shared" si="7"/>
        <v>4</v>
      </c>
      <c r="K1795" s="61" t="str">
        <f t="shared" si="8"/>
        <v>2024-Q2</v>
      </c>
      <c r="L1795" s="63" t="str">
        <f t="shared" si="9"/>
        <v>2024-04</v>
      </c>
      <c r="M1795" s="64" t="str">
        <f t="shared" si="10"/>
        <v>2024-H1</v>
      </c>
      <c r="N1795" s="65" t="s">
        <v>80</v>
      </c>
    </row>
    <row r="1796">
      <c r="I1796" s="61" t="str">
        <f t="shared" si="6"/>
        <v>2024</v>
      </c>
      <c r="J1796" s="62">
        <f t="shared" si="7"/>
        <v>4</v>
      </c>
      <c r="K1796" s="61" t="str">
        <f t="shared" si="8"/>
        <v>2024-Q2</v>
      </c>
      <c r="L1796" s="63" t="str">
        <f t="shared" si="9"/>
        <v>2024-04</v>
      </c>
      <c r="M1796" s="64" t="str">
        <f t="shared" si="10"/>
        <v>2024-H1</v>
      </c>
      <c r="N1796" s="65" t="s">
        <v>80</v>
      </c>
    </row>
    <row r="1797">
      <c r="I1797" s="61" t="str">
        <f t="shared" si="6"/>
        <v>2024</v>
      </c>
      <c r="J1797" s="62">
        <f t="shared" si="7"/>
        <v>4</v>
      </c>
      <c r="K1797" s="61" t="str">
        <f t="shared" si="8"/>
        <v>2024-Q2</v>
      </c>
      <c r="L1797" s="63" t="str">
        <f t="shared" si="9"/>
        <v>2024-04</v>
      </c>
      <c r="M1797" s="64" t="str">
        <f t="shared" si="10"/>
        <v>2024-H1</v>
      </c>
      <c r="N1797" s="65" t="s">
        <v>80</v>
      </c>
    </row>
    <row r="1798">
      <c r="I1798" s="61" t="str">
        <f t="shared" si="6"/>
        <v>2024</v>
      </c>
      <c r="J1798" s="62">
        <f t="shared" si="7"/>
        <v>4</v>
      </c>
      <c r="K1798" s="61" t="str">
        <f t="shared" si="8"/>
        <v>2024-Q2</v>
      </c>
      <c r="L1798" s="63" t="str">
        <f t="shared" si="9"/>
        <v>2024-04</v>
      </c>
      <c r="M1798" s="64" t="str">
        <f t="shared" si="10"/>
        <v>2024-H1</v>
      </c>
      <c r="N1798" s="65" t="s">
        <v>80</v>
      </c>
    </row>
    <row r="1799">
      <c r="I1799" s="61" t="str">
        <f t="shared" si="6"/>
        <v>2024</v>
      </c>
      <c r="J1799" s="62">
        <f t="shared" si="7"/>
        <v>4</v>
      </c>
      <c r="K1799" s="61" t="str">
        <f t="shared" si="8"/>
        <v>2024-Q2</v>
      </c>
      <c r="L1799" s="63" t="str">
        <f t="shared" si="9"/>
        <v>2024-04</v>
      </c>
      <c r="M1799" s="64" t="str">
        <f t="shared" si="10"/>
        <v>2024-H1</v>
      </c>
      <c r="N1799" s="65" t="s">
        <v>80</v>
      </c>
    </row>
    <row r="1800">
      <c r="I1800" s="61" t="str">
        <f t="shared" si="6"/>
        <v>2024</v>
      </c>
      <c r="J1800" s="62">
        <f t="shared" si="7"/>
        <v>4</v>
      </c>
      <c r="K1800" s="61" t="str">
        <f t="shared" si="8"/>
        <v>2024-Q2</v>
      </c>
      <c r="L1800" s="63" t="str">
        <f t="shared" si="9"/>
        <v>2024-04</v>
      </c>
      <c r="M1800" s="64" t="str">
        <f t="shared" si="10"/>
        <v>2024-H1</v>
      </c>
      <c r="N1800" s="65" t="s">
        <v>80</v>
      </c>
    </row>
    <row r="1801">
      <c r="I1801" s="61" t="str">
        <f t="shared" si="6"/>
        <v>2024</v>
      </c>
      <c r="J1801" s="62">
        <f t="shared" si="7"/>
        <v>4</v>
      </c>
      <c r="K1801" s="61" t="str">
        <f t="shared" si="8"/>
        <v>2024-Q2</v>
      </c>
      <c r="L1801" s="63" t="str">
        <f t="shared" si="9"/>
        <v>2024-04</v>
      </c>
      <c r="M1801" s="64" t="str">
        <f t="shared" si="10"/>
        <v>2024-H1</v>
      </c>
      <c r="N1801" s="65" t="s">
        <v>80</v>
      </c>
    </row>
    <row r="1802">
      <c r="I1802" s="61" t="str">
        <f t="shared" si="6"/>
        <v>2024</v>
      </c>
      <c r="J1802" s="62">
        <f t="shared" si="7"/>
        <v>4</v>
      </c>
      <c r="K1802" s="61" t="str">
        <f t="shared" si="8"/>
        <v>2024-Q2</v>
      </c>
      <c r="L1802" s="63" t="str">
        <f t="shared" si="9"/>
        <v>2024-04</v>
      </c>
      <c r="M1802" s="64" t="str">
        <f t="shared" si="10"/>
        <v>2024-H1</v>
      </c>
      <c r="N1802" s="65" t="s">
        <v>80</v>
      </c>
    </row>
    <row r="1803">
      <c r="I1803" s="61" t="str">
        <f t="shared" si="6"/>
        <v>2024</v>
      </c>
      <c r="J1803" s="62">
        <f t="shared" si="7"/>
        <v>4</v>
      </c>
      <c r="K1803" s="61" t="str">
        <f t="shared" si="8"/>
        <v>2024-Q2</v>
      </c>
      <c r="L1803" s="63" t="str">
        <f t="shared" si="9"/>
        <v>2024-04</v>
      </c>
      <c r="M1803" s="64" t="str">
        <f t="shared" si="10"/>
        <v>2024-H1</v>
      </c>
      <c r="N1803" s="65" t="s">
        <v>80</v>
      </c>
    </row>
    <row r="1804">
      <c r="I1804" s="61" t="str">
        <f t="shared" si="6"/>
        <v>2024</v>
      </c>
      <c r="J1804" s="62">
        <f t="shared" si="7"/>
        <v>4</v>
      </c>
      <c r="K1804" s="61" t="str">
        <f t="shared" si="8"/>
        <v>2024-Q2</v>
      </c>
      <c r="L1804" s="63" t="str">
        <f t="shared" si="9"/>
        <v>2024-04</v>
      </c>
      <c r="M1804" s="64" t="str">
        <f t="shared" si="10"/>
        <v>2024-H1</v>
      </c>
      <c r="N1804" s="65" t="s">
        <v>80</v>
      </c>
    </row>
    <row r="1805">
      <c r="I1805" s="61" t="str">
        <f t="shared" si="6"/>
        <v>2024</v>
      </c>
      <c r="J1805" s="62">
        <f t="shared" si="7"/>
        <v>4</v>
      </c>
      <c r="K1805" s="61" t="str">
        <f t="shared" si="8"/>
        <v>2024-Q2</v>
      </c>
      <c r="L1805" s="63" t="str">
        <f t="shared" si="9"/>
        <v>2024-04</v>
      </c>
      <c r="M1805" s="64" t="str">
        <f t="shared" si="10"/>
        <v>2024-H1</v>
      </c>
      <c r="N1805" s="65" t="s">
        <v>80</v>
      </c>
    </row>
    <row r="1806">
      <c r="I1806" s="61" t="str">
        <f t="shared" si="6"/>
        <v>2024</v>
      </c>
      <c r="J1806" s="62">
        <f t="shared" si="7"/>
        <v>4</v>
      </c>
      <c r="K1806" s="61" t="str">
        <f t="shared" si="8"/>
        <v>2024-Q2</v>
      </c>
      <c r="L1806" s="63" t="str">
        <f t="shared" si="9"/>
        <v>2024-04</v>
      </c>
      <c r="M1806" s="64" t="str">
        <f t="shared" si="10"/>
        <v>2024-H1</v>
      </c>
      <c r="N1806" s="65" t="s">
        <v>80</v>
      </c>
    </row>
    <row r="1807">
      <c r="I1807" s="61" t="str">
        <f t="shared" si="6"/>
        <v>2024</v>
      </c>
      <c r="J1807" s="62">
        <f t="shared" si="7"/>
        <v>4</v>
      </c>
      <c r="K1807" s="61" t="str">
        <f t="shared" si="8"/>
        <v>2024-Q2</v>
      </c>
      <c r="L1807" s="63" t="str">
        <f t="shared" si="9"/>
        <v>2024-04</v>
      </c>
      <c r="M1807" s="64" t="str">
        <f t="shared" si="10"/>
        <v>2024-H1</v>
      </c>
      <c r="N1807" s="65" t="s">
        <v>80</v>
      </c>
    </row>
    <row r="1808">
      <c r="I1808" s="61" t="str">
        <f t="shared" si="6"/>
        <v>2024</v>
      </c>
      <c r="J1808" s="62">
        <f t="shared" si="7"/>
        <v>4</v>
      </c>
      <c r="K1808" s="61" t="str">
        <f t="shared" si="8"/>
        <v>2024-Q2</v>
      </c>
      <c r="L1808" s="63" t="str">
        <f t="shared" si="9"/>
        <v>2024-04</v>
      </c>
      <c r="M1808" s="64" t="str">
        <f t="shared" si="10"/>
        <v>2024-H1</v>
      </c>
      <c r="N1808" s="65" t="s">
        <v>80</v>
      </c>
    </row>
    <row r="1809">
      <c r="I1809" s="61" t="str">
        <f t="shared" si="6"/>
        <v>2024</v>
      </c>
      <c r="J1809" s="62">
        <f t="shared" si="7"/>
        <v>4</v>
      </c>
      <c r="K1809" s="61" t="str">
        <f t="shared" si="8"/>
        <v>2024-Q2</v>
      </c>
      <c r="L1809" s="63" t="str">
        <f t="shared" si="9"/>
        <v>2024-04</v>
      </c>
      <c r="M1809" s="64" t="str">
        <f t="shared" si="10"/>
        <v>2024-H1</v>
      </c>
      <c r="N1809" s="65" t="s">
        <v>80</v>
      </c>
    </row>
    <row r="1810">
      <c r="I1810" s="61" t="str">
        <f t="shared" si="6"/>
        <v>2024</v>
      </c>
      <c r="J1810" s="62">
        <f t="shared" si="7"/>
        <v>4</v>
      </c>
      <c r="K1810" s="61" t="str">
        <f t="shared" si="8"/>
        <v>2024-Q2</v>
      </c>
      <c r="L1810" s="63" t="str">
        <f t="shared" si="9"/>
        <v>2024-04</v>
      </c>
      <c r="M1810" s="64" t="str">
        <f t="shared" si="10"/>
        <v>2024-H1</v>
      </c>
      <c r="N1810" s="65" t="s">
        <v>80</v>
      </c>
    </row>
    <row r="1811">
      <c r="I1811" s="61" t="str">
        <f t="shared" si="6"/>
        <v>2024</v>
      </c>
      <c r="J1811" s="62">
        <f t="shared" si="7"/>
        <v>4</v>
      </c>
      <c r="K1811" s="61" t="str">
        <f t="shared" si="8"/>
        <v>2024-Q2</v>
      </c>
      <c r="L1811" s="63" t="str">
        <f t="shared" si="9"/>
        <v>2024-04</v>
      </c>
      <c r="M1811" s="64" t="str">
        <f t="shared" si="10"/>
        <v>2024-H1</v>
      </c>
      <c r="N1811" s="65" t="s">
        <v>80</v>
      </c>
    </row>
    <row r="1812">
      <c r="I1812" s="61" t="str">
        <f t="shared" si="6"/>
        <v>2024</v>
      </c>
      <c r="J1812" s="62">
        <f t="shared" si="7"/>
        <v>4</v>
      </c>
      <c r="K1812" s="61" t="str">
        <f t="shared" si="8"/>
        <v>2024-Q2</v>
      </c>
      <c r="L1812" s="63" t="str">
        <f t="shared" si="9"/>
        <v>2024-04</v>
      </c>
      <c r="M1812" s="64" t="str">
        <f t="shared" si="10"/>
        <v>2024-H1</v>
      </c>
      <c r="N1812" s="65" t="s">
        <v>80</v>
      </c>
    </row>
    <row r="1813">
      <c r="I1813" s="61" t="str">
        <f t="shared" si="6"/>
        <v>2024</v>
      </c>
      <c r="J1813" s="62">
        <f t="shared" si="7"/>
        <v>4</v>
      </c>
      <c r="K1813" s="61" t="str">
        <f t="shared" si="8"/>
        <v>2024-Q2</v>
      </c>
      <c r="L1813" s="63" t="str">
        <f t="shared" si="9"/>
        <v>2024-04</v>
      </c>
      <c r="M1813" s="64" t="str">
        <f t="shared" si="10"/>
        <v>2024-H1</v>
      </c>
      <c r="N1813" s="65" t="s">
        <v>80</v>
      </c>
    </row>
    <row r="1814">
      <c r="I1814" s="61" t="str">
        <f t="shared" si="6"/>
        <v>2024</v>
      </c>
      <c r="J1814" s="62">
        <f t="shared" si="7"/>
        <v>4</v>
      </c>
      <c r="K1814" s="61" t="str">
        <f t="shared" si="8"/>
        <v>2024-Q2</v>
      </c>
      <c r="L1814" s="63" t="str">
        <f t="shared" si="9"/>
        <v>2024-04</v>
      </c>
      <c r="M1814" s="64" t="str">
        <f t="shared" si="10"/>
        <v>2024-H1</v>
      </c>
      <c r="N1814" s="65" t="s">
        <v>80</v>
      </c>
    </row>
    <row r="1815">
      <c r="I1815" s="61" t="str">
        <f t="shared" si="6"/>
        <v>2024</v>
      </c>
      <c r="J1815" s="62">
        <f t="shared" si="7"/>
        <v>4</v>
      </c>
      <c r="K1815" s="61" t="str">
        <f t="shared" si="8"/>
        <v>2024-Q2</v>
      </c>
      <c r="L1815" s="63" t="str">
        <f t="shared" si="9"/>
        <v>2024-04</v>
      </c>
      <c r="M1815" s="64" t="str">
        <f t="shared" si="10"/>
        <v>2024-H1</v>
      </c>
      <c r="N1815" s="65" t="s">
        <v>80</v>
      </c>
    </row>
    <row r="1816">
      <c r="I1816" s="61" t="str">
        <f t="shared" si="6"/>
        <v>2024</v>
      </c>
      <c r="J1816" s="62">
        <f t="shared" si="7"/>
        <v>4</v>
      </c>
      <c r="K1816" s="61" t="str">
        <f t="shared" si="8"/>
        <v>2024-Q2</v>
      </c>
      <c r="L1816" s="63" t="str">
        <f t="shared" si="9"/>
        <v>2024-04</v>
      </c>
      <c r="M1816" s="64" t="str">
        <f t="shared" si="10"/>
        <v>2024-H1</v>
      </c>
      <c r="N1816" s="65" t="s">
        <v>80</v>
      </c>
    </row>
    <row r="1817">
      <c r="I1817" s="61" t="str">
        <f t="shared" si="6"/>
        <v>2024</v>
      </c>
      <c r="J1817" s="62">
        <f t="shared" si="7"/>
        <v>4</v>
      </c>
      <c r="K1817" s="61" t="str">
        <f t="shared" si="8"/>
        <v>2024-Q2</v>
      </c>
      <c r="L1817" s="63" t="str">
        <f t="shared" si="9"/>
        <v>2024-04</v>
      </c>
      <c r="M1817" s="64" t="str">
        <f t="shared" si="10"/>
        <v>2024-H1</v>
      </c>
      <c r="N1817" s="65" t="s">
        <v>80</v>
      </c>
    </row>
    <row r="1818">
      <c r="I1818" s="61" t="str">
        <f t="shared" si="6"/>
        <v>2024</v>
      </c>
      <c r="J1818" s="62">
        <f t="shared" si="7"/>
        <v>4</v>
      </c>
      <c r="K1818" s="61" t="str">
        <f t="shared" si="8"/>
        <v>2024-Q2</v>
      </c>
      <c r="L1818" s="63" t="str">
        <f t="shared" si="9"/>
        <v>2024-04</v>
      </c>
      <c r="M1818" s="64" t="str">
        <f t="shared" si="10"/>
        <v>2024-H1</v>
      </c>
      <c r="N1818" s="65" t="s">
        <v>80</v>
      </c>
    </row>
    <row r="1819">
      <c r="I1819" s="61" t="str">
        <f t="shared" si="6"/>
        <v>2024</v>
      </c>
      <c r="J1819" s="62">
        <f t="shared" si="7"/>
        <v>4</v>
      </c>
      <c r="K1819" s="61" t="str">
        <f t="shared" si="8"/>
        <v>2024-Q2</v>
      </c>
      <c r="L1819" s="63" t="str">
        <f t="shared" si="9"/>
        <v>2024-04</v>
      </c>
      <c r="M1819" s="64" t="str">
        <f t="shared" si="10"/>
        <v>2024-H1</v>
      </c>
      <c r="N1819" s="65" t="s">
        <v>80</v>
      </c>
    </row>
    <row r="1820">
      <c r="I1820" s="61" t="str">
        <f t="shared" si="6"/>
        <v>2024</v>
      </c>
      <c r="J1820" s="62">
        <f t="shared" si="7"/>
        <v>4</v>
      </c>
      <c r="K1820" s="61" t="str">
        <f t="shared" si="8"/>
        <v>2024-Q2</v>
      </c>
      <c r="L1820" s="63" t="str">
        <f t="shared" si="9"/>
        <v>2024-04</v>
      </c>
      <c r="M1820" s="64" t="str">
        <f t="shared" si="10"/>
        <v>2024-H1</v>
      </c>
      <c r="N1820" s="65" t="s">
        <v>80</v>
      </c>
    </row>
    <row r="1821">
      <c r="I1821" s="61" t="str">
        <f t="shared" si="6"/>
        <v>2024</v>
      </c>
      <c r="J1821" s="62">
        <f t="shared" si="7"/>
        <v>4</v>
      </c>
      <c r="K1821" s="61" t="str">
        <f t="shared" si="8"/>
        <v>2024-Q2</v>
      </c>
      <c r="L1821" s="63" t="str">
        <f t="shared" si="9"/>
        <v>2024-04</v>
      </c>
      <c r="M1821" s="64" t="str">
        <f t="shared" si="10"/>
        <v>2024-H1</v>
      </c>
      <c r="N1821" s="65" t="s">
        <v>80</v>
      </c>
    </row>
    <row r="1822">
      <c r="I1822" s="61" t="str">
        <f t="shared" si="6"/>
        <v>2024</v>
      </c>
      <c r="J1822" s="62">
        <f t="shared" si="7"/>
        <v>4</v>
      </c>
      <c r="K1822" s="61" t="str">
        <f t="shared" si="8"/>
        <v>2024-Q2</v>
      </c>
      <c r="L1822" s="63" t="str">
        <f t="shared" si="9"/>
        <v>2024-04</v>
      </c>
      <c r="M1822" s="64" t="str">
        <f t="shared" si="10"/>
        <v>2024-H1</v>
      </c>
      <c r="N1822" s="65" t="s">
        <v>80</v>
      </c>
    </row>
    <row r="1823">
      <c r="I1823" s="61" t="str">
        <f t="shared" si="6"/>
        <v>2024</v>
      </c>
      <c r="J1823" s="62">
        <f t="shared" si="7"/>
        <v>4</v>
      </c>
      <c r="K1823" s="61" t="str">
        <f t="shared" si="8"/>
        <v>2024-Q2</v>
      </c>
      <c r="L1823" s="63" t="str">
        <f t="shared" si="9"/>
        <v>2024-04</v>
      </c>
      <c r="M1823" s="64" t="str">
        <f t="shared" si="10"/>
        <v>2024-H1</v>
      </c>
      <c r="N1823" s="65" t="s">
        <v>80</v>
      </c>
    </row>
    <row r="1824">
      <c r="I1824" s="61" t="str">
        <f t="shared" si="6"/>
        <v>2024</v>
      </c>
      <c r="J1824" s="62">
        <f t="shared" si="7"/>
        <v>4</v>
      </c>
      <c r="K1824" s="61" t="str">
        <f t="shared" si="8"/>
        <v>2024-Q2</v>
      </c>
      <c r="L1824" s="63" t="str">
        <f t="shared" si="9"/>
        <v>2024-04</v>
      </c>
      <c r="M1824" s="64" t="str">
        <f t="shared" si="10"/>
        <v>2024-H1</v>
      </c>
      <c r="N1824" s="65" t="s">
        <v>80</v>
      </c>
    </row>
    <row r="1825">
      <c r="I1825" s="61" t="str">
        <f t="shared" si="6"/>
        <v>2024</v>
      </c>
      <c r="J1825" s="62">
        <f t="shared" si="7"/>
        <v>4</v>
      </c>
      <c r="K1825" s="61" t="str">
        <f t="shared" si="8"/>
        <v>2024-Q2</v>
      </c>
      <c r="L1825" s="63" t="str">
        <f t="shared" si="9"/>
        <v>2024-04</v>
      </c>
      <c r="M1825" s="64" t="str">
        <f t="shared" si="10"/>
        <v>2024-H1</v>
      </c>
      <c r="N1825" s="65" t="s">
        <v>80</v>
      </c>
    </row>
    <row r="1826">
      <c r="I1826" s="61" t="str">
        <f t="shared" si="6"/>
        <v>2024</v>
      </c>
      <c r="J1826" s="62">
        <f t="shared" si="7"/>
        <v>4</v>
      </c>
      <c r="K1826" s="61" t="str">
        <f t="shared" si="8"/>
        <v>2024-Q2</v>
      </c>
      <c r="L1826" s="63" t="str">
        <f t="shared" si="9"/>
        <v>2024-04</v>
      </c>
      <c r="M1826" s="64" t="str">
        <f t="shared" si="10"/>
        <v>2024-H1</v>
      </c>
      <c r="N1826" s="65" t="s">
        <v>80</v>
      </c>
    </row>
    <row r="1827">
      <c r="I1827" s="61" t="str">
        <f t="shared" si="6"/>
        <v>2024</v>
      </c>
      <c r="J1827" s="62">
        <f t="shared" si="7"/>
        <v>4</v>
      </c>
      <c r="K1827" s="61" t="str">
        <f t="shared" si="8"/>
        <v>2024-Q2</v>
      </c>
      <c r="L1827" s="63" t="str">
        <f t="shared" si="9"/>
        <v>2024-04</v>
      </c>
      <c r="M1827" s="64" t="str">
        <f t="shared" si="10"/>
        <v>2024-H1</v>
      </c>
      <c r="N1827" s="65" t="s">
        <v>80</v>
      </c>
    </row>
    <row r="1828">
      <c r="I1828" s="61" t="str">
        <f t="shared" si="6"/>
        <v>2024</v>
      </c>
      <c r="J1828" s="62">
        <f t="shared" si="7"/>
        <v>4</v>
      </c>
      <c r="K1828" s="61" t="str">
        <f t="shared" si="8"/>
        <v>2024-Q2</v>
      </c>
      <c r="L1828" s="63" t="str">
        <f t="shared" si="9"/>
        <v>2024-04</v>
      </c>
      <c r="M1828" s="64" t="str">
        <f t="shared" si="10"/>
        <v>2024-H1</v>
      </c>
      <c r="N1828" s="65" t="s">
        <v>80</v>
      </c>
    </row>
    <row r="1829">
      <c r="I1829" s="61" t="str">
        <f t="shared" si="6"/>
        <v>2024</v>
      </c>
      <c r="J1829" s="62">
        <f t="shared" si="7"/>
        <v>4</v>
      </c>
      <c r="K1829" s="61" t="str">
        <f t="shared" si="8"/>
        <v>2024-Q2</v>
      </c>
      <c r="L1829" s="63" t="str">
        <f t="shared" si="9"/>
        <v>2024-04</v>
      </c>
      <c r="M1829" s="64" t="str">
        <f t="shared" si="10"/>
        <v>2024-H1</v>
      </c>
      <c r="N1829" s="65" t="s">
        <v>80</v>
      </c>
    </row>
    <row r="1830">
      <c r="I1830" s="61" t="str">
        <f t="shared" si="6"/>
        <v>2024</v>
      </c>
      <c r="J1830" s="62">
        <f t="shared" si="7"/>
        <v>4</v>
      </c>
      <c r="K1830" s="61" t="str">
        <f t="shared" si="8"/>
        <v>2024-Q2</v>
      </c>
      <c r="L1830" s="63" t="str">
        <f t="shared" si="9"/>
        <v>2024-04</v>
      </c>
      <c r="M1830" s="64" t="str">
        <f t="shared" si="10"/>
        <v>2024-H1</v>
      </c>
      <c r="N1830" s="65" t="s">
        <v>80</v>
      </c>
    </row>
    <row r="1831">
      <c r="I1831" s="61" t="str">
        <f t="shared" si="6"/>
        <v>2024</v>
      </c>
      <c r="J1831" s="62">
        <f t="shared" si="7"/>
        <v>4</v>
      </c>
      <c r="K1831" s="61" t="str">
        <f t="shared" si="8"/>
        <v>2024-Q2</v>
      </c>
      <c r="L1831" s="63" t="str">
        <f t="shared" si="9"/>
        <v>2024-04</v>
      </c>
      <c r="M1831" s="64" t="str">
        <f t="shared" si="10"/>
        <v>2024-H1</v>
      </c>
      <c r="N1831" s="65" t="s">
        <v>80</v>
      </c>
    </row>
    <row r="1832">
      <c r="I1832" s="61" t="str">
        <f t="shared" si="6"/>
        <v>2024</v>
      </c>
      <c r="J1832" s="62">
        <f t="shared" si="7"/>
        <v>4</v>
      </c>
      <c r="K1832" s="61" t="str">
        <f t="shared" si="8"/>
        <v>2024-Q2</v>
      </c>
      <c r="L1832" s="63" t="str">
        <f t="shared" si="9"/>
        <v>2024-04</v>
      </c>
      <c r="M1832" s="64" t="str">
        <f t="shared" si="10"/>
        <v>2024-H1</v>
      </c>
      <c r="N1832" s="65" t="s">
        <v>80</v>
      </c>
    </row>
    <row r="1833">
      <c r="I1833" s="61" t="str">
        <f t="shared" si="6"/>
        <v>2024</v>
      </c>
      <c r="J1833" s="62">
        <f t="shared" si="7"/>
        <v>4</v>
      </c>
      <c r="K1833" s="61" t="str">
        <f t="shared" si="8"/>
        <v>2024-Q2</v>
      </c>
      <c r="L1833" s="63" t="str">
        <f t="shared" si="9"/>
        <v>2024-04</v>
      </c>
      <c r="M1833" s="64" t="str">
        <f t="shared" si="10"/>
        <v>2024-H1</v>
      </c>
      <c r="N1833" s="65" t="s">
        <v>80</v>
      </c>
    </row>
    <row r="1834">
      <c r="I1834" s="61" t="str">
        <f t="shared" si="6"/>
        <v>2024</v>
      </c>
      <c r="J1834" s="62">
        <f t="shared" si="7"/>
        <v>4</v>
      </c>
      <c r="K1834" s="61" t="str">
        <f t="shared" si="8"/>
        <v>2024-Q2</v>
      </c>
      <c r="L1834" s="63" t="str">
        <f t="shared" si="9"/>
        <v>2024-04</v>
      </c>
      <c r="M1834" s="64" t="str">
        <f t="shared" si="10"/>
        <v>2024-H1</v>
      </c>
      <c r="N1834" s="65" t="s">
        <v>80</v>
      </c>
    </row>
    <row r="1835">
      <c r="I1835" s="61" t="str">
        <f t="shared" si="6"/>
        <v>2024</v>
      </c>
      <c r="J1835" s="62">
        <f t="shared" si="7"/>
        <v>4</v>
      </c>
      <c r="K1835" s="61" t="str">
        <f t="shared" si="8"/>
        <v>2024-Q2</v>
      </c>
      <c r="L1835" s="63" t="str">
        <f t="shared" si="9"/>
        <v>2024-04</v>
      </c>
      <c r="M1835" s="64" t="str">
        <f t="shared" si="10"/>
        <v>2024-H1</v>
      </c>
      <c r="N1835" s="65" t="s">
        <v>80</v>
      </c>
    </row>
    <row r="1836">
      <c r="I1836" s="61" t="str">
        <f t="shared" si="6"/>
        <v>2024</v>
      </c>
      <c r="J1836" s="62">
        <f t="shared" si="7"/>
        <v>4</v>
      </c>
      <c r="K1836" s="61" t="str">
        <f t="shared" si="8"/>
        <v>2024-Q2</v>
      </c>
      <c r="L1836" s="63" t="str">
        <f t="shared" si="9"/>
        <v>2024-04</v>
      </c>
      <c r="M1836" s="64" t="str">
        <f t="shared" si="10"/>
        <v>2024-H1</v>
      </c>
      <c r="N1836" s="65" t="s">
        <v>80</v>
      </c>
    </row>
    <row r="1837">
      <c r="I1837" s="61" t="str">
        <f t="shared" si="6"/>
        <v>2024</v>
      </c>
      <c r="J1837" s="62">
        <f t="shared" si="7"/>
        <v>4</v>
      </c>
      <c r="K1837" s="61" t="str">
        <f t="shared" si="8"/>
        <v>2024-Q2</v>
      </c>
      <c r="L1837" s="63" t="str">
        <f t="shared" si="9"/>
        <v>2024-04</v>
      </c>
      <c r="M1837" s="64" t="str">
        <f t="shared" si="10"/>
        <v>2024-H1</v>
      </c>
      <c r="N1837" s="65" t="s">
        <v>80</v>
      </c>
    </row>
    <row r="1838">
      <c r="I1838" s="61" t="str">
        <f t="shared" si="6"/>
        <v>2024</v>
      </c>
      <c r="J1838" s="62">
        <f t="shared" si="7"/>
        <v>4</v>
      </c>
      <c r="K1838" s="61" t="str">
        <f t="shared" si="8"/>
        <v>2024-Q2</v>
      </c>
      <c r="L1838" s="63" t="str">
        <f t="shared" si="9"/>
        <v>2024-04</v>
      </c>
      <c r="M1838" s="64" t="str">
        <f t="shared" si="10"/>
        <v>2024-H1</v>
      </c>
      <c r="N1838" s="65" t="s">
        <v>80</v>
      </c>
    </row>
    <row r="1839">
      <c r="I1839" s="61" t="str">
        <f t="shared" si="6"/>
        <v>2024</v>
      </c>
      <c r="J1839" s="62">
        <f t="shared" si="7"/>
        <v>4</v>
      </c>
      <c r="K1839" s="61" t="str">
        <f t="shared" si="8"/>
        <v>2024-Q2</v>
      </c>
      <c r="L1839" s="63" t="str">
        <f t="shared" si="9"/>
        <v>2024-04</v>
      </c>
      <c r="M1839" s="64" t="str">
        <f t="shared" si="10"/>
        <v>2024-H1</v>
      </c>
      <c r="N1839" s="65" t="s">
        <v>80</v>
      </c>
    </row>
    <row r="1840">
      <c r="I1840" s="61" t="str">
        <f t="shared" si="6"/>
        <v>2024</v>
      </c>
      <c r="J1840" s="62">
        <f t="shared" si="7"/>
        <v>4</v>
      </c>
      <c r="K1840" s="61" t="str">
        <f t="shared" si="8"/>
        <v>2024-Q2</v>
      </c>
      <c r="L1840" s="63" t="str">
        <f t="shared" si="9"/>
        <v>2024-04</v>
      </c>
      <c r="M1840" s="64" t="str">
        <f t="shared" si="10"/>
        <v>2024-H1</v>
      </c>
      <c r="N1840" s="65" t="s">
        <v>80</v>
      </c>
    </row>
    <row r="1841">
      <c r="I1841" s="61" t="str">
        <f t="shared" si="6"/>
        <v>2024</v>
      </c>
      <c r="J1841" s="62">
        <f t="shared" si="7"/>
        <v>4</v>
      </c>
      <c r="K1841" s="61" t="str">
        <f t="shared" si="8"/>
        <v>2024-Q2</v>
      </c>
      <c r="L1841" s="63" t="str">
        <f t="shared" si="9"/>
        <v>2024-04</v>
      </c>
      <c r="M1841" s="64" t="str">
        <f t="shared" si="10"/>
        <v>2024-H1</v>
      </c>
      <c r="N1841" s="65" t="s">
        <v>80</v>
      </c>
    </row>
    <row r="1842">
      <c r="I1842" s="61" t="str">
        <f t="shared" si="6"/>
        <v>2024</v>
      </c>
      <c r="J1842" s="62">
        <f t="shared" si="7"/>
        <v>4</v>
      </c>
      <c r="K1842" s="61" t="str">
        <f t="shared" si="8"/>
        <v>2024-Q2</v>
      </c>
      <c r="L1842" s="63" t="str">
        <f t="shared" si="9"/>
        <v>2024-04</v>
      </c>
      <c r="M1842" s="64" t="str">
        <f t="shared" si="10"/>
        <v>2024-H1</v>
      </c>
      <c r="N1842" s="65" t="s">
        <v>80</v>
      </c>
    </row>
    <row r="1843">
      <c r="I1843" s="61" t="str">
        <f t="shared" si="6"/>
        <v>2024</v>
      </c>
      <c r="J1843" s="62">
        <f t="shared" si="7"/>
        <v>4</v>
      </c>
      <c r="K1843" s="61" t="str">
        <f t="shared" si="8"/>
        <v>2024-Q2</v>
      </c>
      <c r="L1843" s="63" t="str">
        <f t="shared" si="9"/>
        <v>2024-04</v>
      </c>
      <c r="M1843" s="64" t="str">
        <f t="shared" si="10"/>
        <v>2024-H1</v>
      </c>
      <c r="N1843" s="65" t="s">
        <v>80</v>
      </c>
    </row>
    <row r="1844">
      <c r="I1844" s="61" t="str">
        <f t="shared" si="6"/>
        <v>2024</v>
      </c>
      <c r="J1844" s="62">
        <f t="shared" si="7"/>
        <v>4</v>
      </c>
      <c r="K1844" s="61" t="str">
        <f t="shared" si="8"/>
        <v>2024-Q2</v>
      </c>
      <c r="L1844" s="63" t="str">
        <f t="shared" si="9"/>
        <v>2024-04</v>
      </c>
      <c r="M1844" s="64" t="str">
        <f t="shared" si="10"/>
        <v>2024-H1</v>
      </c>
      <c r="N1844" s="65" t="s">
        <v>80</v>
      </c>
    </row>
    <row r="1845">
      <c r="I1845" s="61" t="str">
        <f t="shared" si="6"/>
        <v>2024</v>
      </c>
      <c r="J1845" s="62">
        <f t="shared" si="7"/>
        <v>4</v>
      </c>
      <c r="K1845" s="61" t="str">
        <f t="shared" si="8"/>
        <v>2024-Q2</v>
      </c>
      <c r="L1845" s="63" t="str">
        <f t="shared" si="9"/>
        <v>2024-04</v>
      </c>
      <c r="M1845" s="64" t="str">
        <f t="shared" si="10"/>
        <v>2024-H1</v>
      </c>
      <c r="N1845" s="65" t="s">
        <v>80</v>
      </c>
    </row>
    <row r="1846">
      <c r="I1846" s="61" t="str">
        <f t="shared" si="6"/>
        <v>2024</v>
      </c>
      <c r="J1846" s="62">
        <f t="shared" si="7"/>
        <v>4</v>
      </c>
      <c r="K1846" s="61" t="str">
        <f t="shared" si="8"/>
        <v>2024-Q2</v>
      </c>
      <c r="L1846" s="63" t="str">
        <f t="shared" si="9"/>
        <v>2024-04</v>
      </c>
      <c r="M1846" s="64" t="str">
        <f t="shared" si="10"/>
        <v>2024-H1</v>
      </c>
      <c r="N1846" s="65" t="s">
        <v>80</v>
      </c>
    </row>
    <row r="1847">
      <c r="I1847" s="61" t="str">
        <f t="shared" si="6"/>
        <v>2024</v>
      </c>
      <c r="J1847" s="62">
        <f t="shared" si="7"/>
        <v>4</v>
      </c>
      <c r="K1847" s="61" t="str">
        <f t="shared" si="8"/>
        <v>2024-Q2</v>
      </c>
      <c r="L1847" s="63" t="str">
        <f t="shared" si="9"/>
        <v>2024-04</v>
      </c>
      <c r="M1847" s="64" t="str">
        <f t="shared" si="10"/>
        <v>2024-H1</v>
      </c>
      <c r="N1847" s="65" t="s">
        <v>80</v>
      </c>
    </row>
    <row r="1848">
      <c r="I1848" s="61" t="str">
        <f t="shared" si="6"/>
        <v>2024</v>
      </c>
      <c r="J1848" s="62">
        <f t="shared" si="7"/>
        <v>4</v>
      </c>
      <c r="K1848" s="61" t="str">
        <f t="shared" si="8"/>
        <v>2024-Q2</v>
      </c>
      <c r="L1848" s="63" t="str">
        <f t="shared" si="9"/>
        <v>2024-04</v>
      </c>
      <c r="M1848" s="64" t="str">
        <f t="shared" si="10"/>
        <v>2024-H1</v>
      </c>
      <c r="N1848" s="65" t="s">
        <v>80</v>
      </c>
    </row>
    <row r="1849">
      <c r="I1849" s="61" t="str">
        <f t="shared" si="6"/>
        <v>2024</v>
      </c>
      <c r="J1849" s="62">
        <f t="shared" si="7"/>
        <v>4</v>
      </c>
      <c r="K1849" s="61" t="str">
        <f t="shared" si="8"/>
        <v>2024-Q2</v>
      </c>
      <c r="L1849" s="63" t="str">
        <f t="shared" si="9"/>
        <v>2024-04</v>
      </c>
      <c r="M1849" s="64" t="str">
        <f t="shared" si="10"/>
        <v>2024-H1</v>
      </c>
      <c r="N1849" s="65" t="s">
        <v>80</v>
      </c>
    </row>
    <row r="1850">
      <c r="I1850" s="61" t="str">
        <f t="shared" si="6"/>
        <v>2024</v>
      </c>
      <c r="J1850" s="62">
        <f t="shared" si="7"/>
        <v>4</v>
      </c>
      <c r="K1850" s="61" t="str">
        <f t="shared" si="8"/>
        <v>2024-Q2</v>
      </c>
      <c r="L1850" s="63" t="str">
        <f t="shared" si="9"/>
        <v>2024-04</v>
      </c>
      <c r="M1850" s="64" t="str">
        <f t="shared" si="10"/>
        <v>2024-H1</v>
      </c>
      <c r="N1850" s="65" t="s">
        <v>80</v>
      </c>
    </row>
    <row r="1851">
      <c r="I1851" s="61" t="str">
        <f t="shared" si="6"/>
        <v>2024</v>
      </c>
      <c r="J1851" s="62">
        <f t="shared" si="7"/>
        <v>4</v>
      </c>
      <c r="K1851" s="61" t="str">
        <f t="shared" si="8"/>
        <v>2024-Q2</v>
      </c>
      <c r="L1851" s="63" t="str">
        <f t="shared" si="9"/>
        <v>2024-04</v>
      </c>
      <c r="M1851" s="64" t="str">
        <f t="shared" si="10"/>
        <v>2024-H1</v>
      </c>
      <c r="N1851" s="65" t="s">
        <v>80</v>
      </c>
    </row>
    <row r="1852">
      <c r="I1852" s="61" t="str">
        <f t="shared" si="6"/>
        <v>2024</v>
      </c>
      <c r="J1852" s="62">
        <f t="shared" si="7"/>
        <v>4</v>
      </c>
      <c r="K1852" s="61" t="str">
        <f t="shared" si="8"/>
        <v>2024-Q2</v>
      </c>
      <c r="L1852" s="63" t="str">
        <f t="shared" si="9"/>
        <v>2024-04</v>
      </c>
      <c r="M1852" s="64" t="str">
        <f t="shared" si="10"/>
        <v>2024-H1</v>
      </c>
      <c r="N1852" s="65" t="s">
        <v>80</v>
      </c>
    </row>
    <row r="1853">
      <c r="I1853" s="61" t="str">
        <f t="shared" si="6"/>
        <v>2024</v>
      </c>
      <c r="J1853" s="62">
        <f t="shared" si="7"/>
        <v>4</v>
      </c>
      <c r="K1853" s="61" t="str">
        <f t="shared" si="8"/>
        <v>2024-Q2</v>
      </c>
      <c r="L1853" s="63" t="str">
        <f t="shared" si="9"/>
        <v>2024-04</v>
      </c>
      <c r="M1853" s="64" t="str">
        <f t="shared" si="10"/>
        <v>2024-H1</v>
      </c>
      <c r="N1853" s="65" t="s">
        <v>80</v>
      </c>
    </row>
    <row r="1854">
      <c r="I1854" s="61" t="str">
        <f t="shared" si="6"/>
        <v>2024</v>
      </c>
      <c r="J1854" s="62">
        <f t="shared" si="7"/>
        <v>4</v>
      </c>
      <c r="K1854" s="61" t="str">
        <f t="shared" si="8"/>
        <v>2024-Q2</v>
      </c>
      <c r="L1854" s="63" t="str">
        <f t="shared" si="9"/>
        <v>2024-04</v>
      </c>
      <c r="M1854" s="64" t="str">
        <f t="shared" si="10"/>
        <v>2024-H1</v>
      </c>
      <c r="N1854" s="65" t="s">
        <v>80</v>
      </c>
    </row>
    <row r="1855">
      <c r="I1855" s="61" t="str">
        <f t="shared" si="6"/>
        <v>2024</v>
      </c>
      <c r="J1855" s="62">
        <f t="shared" si="7"/>
        <v>4</v>
      </c>
      <c r="K1855" s="61" t="str">
        <f t="shared" si="8"/>
        <v>2024-Q2</v>
      </c>
      <c r="L1855" s="63" t="str">
        <f t="shared" si="9"/>
        <v>2024-04</v>
      </c>
      <c r="M1855" s="64" t="str">
        <f t="shared" si="10"/>
        <v>2024-H1</v>
      </c>
      <c r="N1855" s="65" t="s">
        <v>80</v>
      </c>
    </row>
    <row r="1856">
      <c r="I1856" s="61" t="str">
        <f t="shared" si="6"/>
        <v>2024</v>
      </c>
      <c r="J1856" s="62">
        <f t="shared" si="7"/>
        <v>4</v>
      </c>
      <c r="K1856" s="61" t="str">
        <f t="shared" si="8"/>
        <v>2024-Q2</v>
      </c>
      <c r="L1856" s="63" t="str">
        <f t="shared" si="9"/>
        <v>2024-04</v>
      </c>
      <c r="M1856" s="64" t="str">
        <f t="shared" si="10"/>
        <v>2024-H1</v>
      </c>
      <c r="N1856" s="65" t="s">
        <v>80</v>
      </c>
    </row>
    <row r="1857">
      <c r="I1857" s="61" t="str">
        <f t="shared" si="6"/>
        <v>2024</v>
      </c>
      <c r="J1857" s="62">
        <f t="shared" si="7"/>
        <v>4</v>
      </c>
      <c r="K1857" s="61" t="str">
        <f t="shared" si="8"/>
        <v>2024-Q2</v>
      </c>
      <c r="L1857" s="63" t="str">
        <f t="shared" si="9"/>
        <v>2024-04</v>
      </c>
      <c r="M1857" s="64" t="str">
        <f t="shared" si="10"/>
        <v>2024-H1</v>
      </c>
      <c r="N1857" s="65" t="s">
        <v>80</v>
      </c>
    </row>
    <row r="1858">
      <c r="I1858" s="61" t="str">
        <f t="shared" si="6"/>
        <v>2024</v>
      </c>
      <c r="J1858" s="62">
        <f t="shared" si="7"/>
        <v>4</v>
      </c>
      <c r="K1858" s="61" t="str">
        <f t="shared" si="8"/>
        <v>2024-Q2</v>
      </c>
      <c r="L1858" s="63" t="str">
        <f t="shared" si="9"/>
        <v>2024-04</v>
      </c>
      <c r="M1858" s="64" t="str">
        <f t="shared" si="10"/>
        <v>2024-H1</v>
      </c>
      <c r="N1858" s="65" t="s">
        <v>80</v>
      </c>
    </row>
    <row r="1859">
      <c r="I1859" s="61" t="str">
        <f t="shared" si="6"/>
        <v>2024</v>
      </c>
      <c r="J1859" s="62">
        <f t="shared" si="7"/>
        <v>4</v>
      </c>
      <c r="K1859" s="61" t="str">
        <f t="shared" si="8"/>
        <v>2024-Q2</v>
      </c>
      <c r="L1859" s="63" t="str">
        <f t="shared" si="9"/>
        <v>2024-04</v>
      </c>
      <c r="M1859" s="64" t="str">
        <f t="shared" si="10"/>
        <v>2024-H1</v>
      </c>
      <c r="N1859" s="65" t="s">
        <v>80</v>
      </c>
    </row>
    <row r="1860">
      <c r="I1860" s="61" t="str">
        <f t="shared" si="6"/>
        <v>2024</v>
      </c>
      <c r="J1860" s="62">
        <f t="shared" si="7"/>
        <v>4</v>
      </c>
      <c r="K1860" s="61" t="str">
        <f t="shared" si="8"/>
        <v>2024-Q2</v>
      </c>
      <c r="L1860" s="63" t="str">
        <f t="shared" si="9"/>
        <v>2024-04</v>
      </c>
      <c r="M1860" s="64" t="str">
        <f t="shared" si="10"/>
        <v>2024-H1</v>
      </c>
      <c r="N1860" s="65" t="s">
        <v>80</v>
      </c>
    </row>
    <row r="1861">
      <c r="I1861" s="61" t="str">
        <f t="shared" si="6"/>
        <v>2024</v>
      </c>
      <c r="J1861" s="62">
        <f t="shared" si="7"/>
        <v>5</v>
      </c>
      <c r="K1861" s="61" t="str">
        <f t="shared" si="8"/>
        <v>2024-Q2</v>
      </c>
      <c r="L1861" s="63" t="str">
        <f t="shared" si="9"/>
        <v>2024-05</v>
      </c>
      <c r="M1861" s="64" t="str">
        <f t="shared" si="10"/>
        <v>2024-H1</v>
      </c>
      <c r="N1861" s="65" t="s">
        <v>80</v>
      </c>
    </row>
    <row r="1862">
      <c r="I1862" s="61" t="str">
        <f t="shared" si="6"/>
        <v>2024</v>
      </c>
      <c r="J1862" s="62">
        <f t="shared" si="7"/>
        <v>4</v>
      </c>
      <c r="K1862" s="61" t="str">
        <f t="shared" si="8"/>
        <v>2024-Q2</v>
      </c>
      <c r="L1862" s="63" t="str">
        <f t="shared" si="9"/>
        <v>2024-04</v>
      </c>
      <c r="M1862" s="64" t="str">
        <f t="shared" si="10"/>
        <v>2024-H1</v>
      </c>
      <c r="N1862" s="65" t="s">
        <v>80</v>
      </c>
    </row>
    <row r="1863">
      <c r="I1863" s="61" t="str">
        <f t="shared" si="6"/>
        <v>2024</v>
      </c>
      <c r="J1863" s="62">
        <f t="shared" si="7"/>
        <v>4</v>
      </c>
      <c r="K1863" s="61" t="str">
        <f t="shared" si="8"/>
        <v>2024-Q2</v>
      </c>
      <c r="L1863" s="63" t="str">
        <f t="shared" si="9"/>
        <v>2024-04</v>
      </c>
      <c r="M1863" s="64" t="str">
        <f t="shared" si="10"/>
        <v>2024-H1</v>
      </c>
      <c r="N1863" s="65" t="s">
        <v>80</v>
      </c>
    </row>
    <row r="1864">
      <c r="I1864" s="61" t="str">
        <f t="shared" si="6"/>
        <v>2024</v>
      </c>
      <c r="J1864" s="62">
        <f t="shared" si="7"/>
        <v>4</v>
      </c>
      <c r="K1864" s="61" t="str">
        <f t="shared" si="8"/>
        <v>2024-Q2</v>
      </c>
      <c r="L1864" s="63" t="str">
        <f t="shared" si="9"/>
        <v>2024-04</v>
      </c>
      <c r="M1864" s="64" t="str">
        <f t="shared" si="10"/>
        <v>2024-H1</v>
      </c>
      <c r="N1864" s="65" t="s">
        <v>80</v>
      </c>
    </row>
    <row r="1865">
      <c r="I1865" s="61" t="str">
        <f t="shared" si="6"/>
        <v>2024</v>
      </c>
      <c r="J1865" s="62">
        <f t="shared" si="7"/>
        <v>4</v>
      </c>
      <c r="K1865" s="61" t="str">
        <f t="shared" si="8"/>
        <v>2024-Q2</v>
      </c>
      <c r="L1865" s="63" t="str">
        <f t="shared" si="9"/>
        <v>2024-04</v>
      </c>
      <c r="M1865" s="64" t="str">
        <f t="shared" si="10"/>
        <v>2024-H1</v>
      </c>
      <c r="N1865" s="65" t="s">
        <v>80</v>
      </c>
    </row>
    <row r="1866">
      <c r="I1866" s="61" t="str">
        <f t="shared" si="6"/>
        <v>2024</v>
      </c>
      <c r="J1866" s="62">
        <f t="shared" si="7"/>
        <v>4</v>
      </c>
      <c r="K1866" s="61" t="str">
        <f t="shared" si="8"/>
        <v>2024-Q2</v>
      </c>
      <c r="L1866" s="63" t="str">
        <f t="shared" si="9"/>
        <v>2024-04</v>
      </c>
      <c r="M1866" s="64" t="str">
        <f t="shared" si="10"/>
        <v>2024-H1</v>
      </c>
      <c r="N1866" s="65" t="s">
        <v>80</v>
      </c>
    </row>
    <row r="1867">
      <c r="I1867" s="61" t="str">
        <f t="shared" si="6"/>
        <v>2024</v>
      </c>
      <c r="J1867" s="62">
        <f t="shared" si="7"/>
        <v>4</v>
      </c>
      <c r="K1867" s="61" t="str">
        <f t="shared" si="8"/>
        <v>2024-Q2</v>
      </c>
      <c r="L1867" s="63" t="str">
        <f t="shared" si="9"/>
        <v>2024-04</v>
      </c>
      <c r="M1867" s="64" t="str">
        <f t="shared" si="10"/>
        <v>2024-H1</v>
      </c>
      <c r="N1867" s="65" t="s">
        <v>80</v>
      </c>
    </row>
    <row r="1868">
      <c r="I1868" s="61" t="str">
        <f t="shared" si="6"/>
        <v>2024</v>
      </c>
      <c r="J1868" s="62">
        <f t="shared" si="7"/>
        <v>5</v>
      </c>
      <c r="K1868" s="61" t="str">
        <f t="shared" si="8"/>
        <v>2024-Q2</v>
      </c>
      <c r="L1868" s="63" t="str">
        <f t="shared" si="9"/>
        <v>2024-05</v>
      </c>
      <c r="M1868" s="64" t="str">
        <f t="shared" si="10"/>
        <v>2024-H1</v>
      </c>
      <c r="N1868" s="65" t="s">
        <v>80</v>
      </c>
    </row>
    <row r="1869">
      <c r="I1869" s="61" t="str">
        <f t="shared" si="6"/>
        <v>2024</v>
      </c>
      <c r="J1869" s="62">
        <f t="shared" si="7"/>
        <v>4</v>
      </c>
      <c r="K1869" s="61" t="str">
        <f t="shared" si="8"/>
        <v>2024-Q2</v>
      </c>
      <c r="L1869" s="63" t="str">
        <f t="shared" si="9"/>
        <v>2024-04</v>
      </c>
      <c r="M1869" s="64" t="str">
        <f t="shared" si="10"/>
        <v>2024-H1</v>
      </c>
      <c r="N1869" s="65" t="s">
        <v>80</v>
      </c>
    </row>
    <row r="1870">
      <c r="I1870" s="61" t="str">
        <f t="shared" si="6"/>
        <v>2024</v>
      </c>
      <c r="J1870" s="62">
        <f t="shared" si="7"/>
        <v>4</v>
      </c>
      <c r="K1870" s="61" t="str">
        <f t="shared" si="8"/>
        <v>2024-Q2</v>
      </c>
      <c r="L1870" s="63" t="str">
        <f t="shared" si="9"/>
        <v>2024-04</v>
      </c>
      <c r="M1870" s="64" t="str">
        <f t="shared" si="10"/>
        <v>2024-H1</v>
      </c>
      <c r="N1870" s="65" t="s">
        <v>80</v>
      </c>
    </row>
    <row r="1871">
      <c r="I1871" s="61" t="str">
        <f t="shared" si="6"/>
        <v>2024</v>
      </c>
      <c r="J1871" s="62">
        <f t="shared" si="7"/>
        <v>4</v>
      </c>
      <c r="K1871" s="61" t="str">
        <f t="shared" si="8"/>
        <v>2024-Q2</v>
      </c>
      <c r="L1871" s="63" t="str">
        <f t="shared" si="9"/>
        <v>2024-04</v>
      </c>
      <c r="M1871" s="64" t="str">
        <f t="shared" si="10"/>
        <v>2024-H1</v>
      </c>
      <c r="N1871" s="65" t="s">
        <v>80</v>
      </c>
    </row>
    <row r="1872">
      <c r="I1872" s="61" t="str">
        <f t="shared" si="6"/>
        <v>2024</v>
      </c>
      <c r="J1872" s="62">
        <f t="shared" si="7"/>
        <v>4</v>
      </c>
      <c r="K1872" s="61" t="str">
        <f t="shared" si="8"/>
        <v>2024-Q2</v>
      </c>
      <c r="L1872" s="63" t="str">
        <f t="shared" si="9"/>
        <v>2024-04</v>
      </c>
      <c r="M1872" s="64" t="str">
        <f t="shared" si="10"/>
        <v>2024-H1</v>
      </c>
      <c r="N1872" s="65" t="s">
        <v>80</v>
      </c>
    </row>
    <row r="1873">
      <c r="I1873" s="61" t="str">
        <f t="shared" si="6"/>
        <v>2024</v>
      </c>
      <c r="J1873" s="62">
        <f t="shared" si="7"/>
        <v>5</v>
      </c>
      <c r="K1873" s="61" t="str">
        <f t="shared" si="8"/>
        <v>2024-Q2</v>
      </c>
      <c r="L1873" s="63" t="str">
        <f t="shared" si="9"/>
        <v>2024-05</v>
      </c>
      <c r="M1873" s="64" t="str">
        <f t="shared" si="10"/>
        <v>2024-H1</v>
      </c>
      <c r="N1873" s="65" t="s">
        <v>80</v>
      </c>
    </row>
    <row r="1874">
      <c r="I1874" s="61" t="str">
        <f t="shared" si="6"/>
        <v>2024</v>
      </c>
      <c r="J1874" s="62">
        <f t="shared" si="7"/>
        <v>4</v>
      </c>
      <c r="K1874" s="61" t="str">
        <f t="shared" si="8"/>
        <v>2024-Q2</v>
      </c>
      <c r="L1874" s="63" t="str">
        <f t="shared" si="9"/>
        <v>2024-04</v>
      </c>
      <c r="M1874" s="64" t="str">
        <f t="shared" si="10"/>
        <v>2024-H1</v>
      </c>
      <c r="N1874" s="65" t="s">
        <v>80</v>
      </c>
    </row>
    <row r="1875">
      <c r="I1875" s="61" t="str">
        <f t="shared" si="6"/>
        <v>2024</v>
      </c>
      <c r="J1875" s="62">
        <f t="shared" si="7"/>
        <v>4</v>
      </c>
      <c r="K1875" s="61" t="str">
        <f t="shared" si="8"/>
        <v>2024-Q2</v>
      </c>
      <c r="L1875" s="63" t="str">
        <f t="shared" si="9"/>
        <v>2024-04</v>
      </c>
      <c r="M1875" s="64" t="str">
        <f t="shared" si="10"/>
        <v>2024-H1</v>
      </c>
      <c r="N1875" s="65" t="s">
        <v>80</v>
      </c>
    </row>
    <row r="1876">
      <c r="I1876" s="61" t="str">
        <f t="shared" si="6"/>
        <v>2024</v>
      </c>
      <c r="J1876" s="62">
        <f t="shared" si="7"/>
        <v>5</v>
      </c>
      <c r="K1876" s="61" t="str">
        <f t="shared" si="8"/>
        <v>2024-Q2</v>
      </c>
      <c r="L1876" s="63" t="str">
        <f t="shared" si="9"/>
        <v>2024-05</v>
      </c>
      <c r="M1876" s="64" t="str">
        <f t="shared" si="10"/>
        <v>2024-H1</v>
      </c>
      <c r="N1876" s="65" t="s">
        <v>80</v>
      </c>
    </row>
    <row r="1877">
      <c r="I1877" s="61" t="str">
        <f t="shared" si="6"/>
        <v>2024</v>
      </c>
      <c r="J1877" s="62">
        <f t="shared" si="7"/>
        <v>5</v>
      </c>
      <c r="K1877" s="61" t="str">
        <f t="shared" si="8"/>
        <v>2024-Q2</v>
      </c>
      <c r="L1877" s="63" t="str">
        <f t="shared" si="9"/>
        <v>2024-05</v>
      </c>
      <c r="M1877" s="64" t="str">
        <f t="shared" si="10"/>
        <v>2024-H1</v>
      </c>
      <c r="N1877" s="65" t="s">
        <v>80</v>
      </c>
    </row>
    <row r="1878">
      <c r="I1878" s="61" t="str">
        <f t="shared" si="6"/>
        <v>2024</v>
      </c>
      <c r="J1878" s="62">
        <f t="shared" si="7"/>
        <v>5</v>
      </c>
      <c r="K1878" s="61" t="str">
        <f t="shared" si="8"/>
        <v>2024-Q2</v>
      </c>
      <c r="L1878" s="63" t="str">
        <f t="shared" si="9"/>
        <v>2024-05</v>
      </c>
      <c r="M1878" s="64" t="str">
        <f t="shared" si="10"/>
        <v>2024-H1</v>
      </c>
      <c r="N1878" s="65" t="s">
        <v>80</v>
      </c>
    </row>
    <row r="1879">
      <c r="I1879" s="61" t="str">
        <f t="shared" si="6"/>
        <v>2024</v>
      </c>
      <c r="J1879" s="62">
        <f t="shared" si="7"/>
        <v>4</v>
      </c>
      <c r="K1879" s="61" t="str">
        <f t="shared" si="8"/>
        <v>2024-Q2</v>
      </c>
      <c r="L1879" s="63" t="str">
        <f t="shared" si="9"/>
        <v>2024-04</v>
      </c>
      <c r="M1879" s="64" t="str">
        <f t="shared" si="10"/>
        <v>2024-H1</v>
      </c>
      <c r="N1879" s="65" t="s">
        <v>80</v>
      </c>
    </row>
    <row r="1880">
      <c r="I1880" s="61" t="str">
        <f t="shared" si="6"/>
        <v>2024</v>
      </c>
      <c r="J1880" s="62">
        <f t="shared" si="7"/>
        <v>4</v>
      </c>
      <c r="K1880" s="61" t="str">
        <f t="shared" si="8"/>
        <v>2024-Q2</v>
      </c>
      <c r="L1880" s="63" t="str">
        <f t="shared" si="9"/>
        <v>2024-04</v>
      </c>
      <c r="M1880" s="64" t="str">
        <f t="shared" si="10"/>
        <v>2024-H1</v>
      </c>
      <c r="N1880" s="65" t="s">
        <v>80</v>
      </c>
    </row>
    <row r="1881">
      <c r="I1881" s="61" t="str">
        <f t="shared" si="6"/>
        <v>2024</v>
      </c>
      <c r="J1881" s="62">
        <f t="shared" si="7"/>
        <v>5</v>
      </c>
      <c r="K1881" s="61" t="str">
        <f t="shared" si="8"/>
        <v>2024-Q2</v>
      </c>
      <c r="L1881" s="63" t="str">
        <f t="shared" si="9"/>
        <v>2024-05</v>
      </c>
      <c r="M1881" s="64" t="str">
        <f t="shared" si="10"/>
        <v>2024-H1</v>
      </c>
      <c r="N1881" s="65" t="s">
        <v>80</v>
      </c>
    </row>
    <row r="1882">
      <c r="I1882" s="61" t="str">
        <f t="shared" si="6"/>
        <v>2024</v>
      </c>
      <c r="J1882" s="62">
        <f t="shared" si="7"/>
        <v>5</v>
      </c>
      <c r="K1882" s="61" t="str">
        <f t="shared" si="8"/>
        <v>2024-Q2</v>
      </c>
      <c r="L1882" s="63" t="str">
        <f t="shared" si="9"/>
        <v>2024-05</v>
      </c>
      <c r="M1882" s="64" t="str">
        <f t="shared" si="10"/>
        <v>2024-H1</v>
      </c>
      <c r="N1882" s="65" t="s">
        <v>80</v>
      </c>
    </row>
    <row r="1883">
      <c r="I1883" s="61" t="str">
        <f t="shared" si="6"/>
        <v>2024</v>
      </c>
      <c r="J1883" s="62">
        <f t="shared" si="7"/>
        <v>5</v>
      </c>
      <c r="K1883" s="61" t="str">
        <f t="shared" si="8"/>
        <v>2024-Q2</v>
      </c>
      <c r="L1883" s="63" t="str">
        <f t="shared" si="9"/>
        <v>2024-05</v>
      </c>
      <c r="M1883" s="64" t="str">
        <f t="shared" si="10"/>
        <v>2024-H1</v>
      </c>
      <c r="N1883" s="65" t="s">
        <v>80</v>
      </c>
    </row>
    <row r="1884">
      <c r="I1884" s="61" t="str">
        <f t="shared" si="6"/>
        <v>2024</v>
      </c>
      <c r="J1884" s="62">
        <f t="shared" si="7"/>
        <v>5</v>
      </c>
      <c r="K1884" s="61" t="str">
        <f t="shared" si="8"/>
        <v>2024-Q2</v>
      </c>
      <c r="L1884" s="63" t="str">
        <f t="shared" si="9"/>
        <v>2024-05</v>
      </c>
      <c r="M1884" s="64" t="str">
        <f t="shared" si="10"/>
        <v>2024-H1</v>
      </c>
      <c r="N1884" s="65" t="s">
        <v>80</v>
      </c>
    </row>
    <row r="1885">
      <c r="I1885" s="61" t="str">
        <f t="shared" si="6"/>
        <v>2024</v>
      </c>
      <c r="J1885" s="62">
        <f t="shared" si="7"/>
        <v>5</v>
      </c>
      <c r="K1885" s="61" t="str">
        <f t="shared" si="8"/>
        <v>2024-Q2</v>
      </c>
      <c r="L1885" s="63" t="str">
        <f t="shared" si="9"/>
        <v>2024-05</v>
      </c>
      <c r="M1885" s="64" t="str">
        <f t="shared" si="10"/>
        <v>2024-H1</v>
      </c>
      <c r="N1885" s="65" t="s">
        <v>80</v>
      </c>
    </row>
    <row r="1886">
      <c r="I1886" s="61" t="str">
        <f t="shared" si="6"/>
        <v>2024</v>
      </c>
      <c r="J1886" s="62">
        <f t="shared" si="7"/>
        <v>5</v>
      </c>
      <c r="K1886" s="61" t="str">
        <f t="shared" si="8"/>
        <v>2024-Q2</v>
      </c>
      <c r="L1886" s="63" t="str">
        <f t="shared" si="9"/>
        <v>2024-05</v>
      </c>
      <c r="M1886" s="64" t="str">
        <f t="shared" si="10"/>
        <v>2024-H1</v>
      </c>
      <c r="N1886" s="65" t="s">
        <v>80</v>
      </c>
    </row>
    <row r="1887">
      <c r="I1887" s="61" t="str">
        <f t="shared" si="6"/>
        <v>2024</v>
      </c>
      <c r="J1887" s="62">
        <f t="shared" si="7"/>
        <v>5</v>
      </c>
      <c r="K1887" s="61" t="str">
        <f t="shared" si="8"/>
        <v>2024-Q2</v>
      </c>
      <c r="L1887" s="63" t="str">
        <f t="shared" si="9"/>
        <v>2024-05</v>
      </c>
      <c r="M1887" s="64" t="str">
        <f t="shared" si="10"/>
        <v>2024-H1</v>
      </c>
      <c r="N1887" s="65" t="s">
        <v>80</v>
      </c>
    </row>
    <row r="1888">
      <c r="I1888" s="61" t="str">
        <f t="shared" si="6"/>
        <v>2024</v>
      </c>
      <c r="J1888" s="62">
        <f t="shared" si="7"/>
        <v>5</v>
      </c>
      <c r="K1888" s="61" t="str">
        <f t="shared" si="8"/>
        <v>2024-Q2</v>
      </c>
      <c r="L1888" s="63" t="str">
        <f t="shared" si="9"/>
        <v>2024-05</v>
      </c>
      <c r="M1888" s="64" t="str">
        <f t="shared" si="10"/>
        <v>2024-H1</v>
      </c>
      <c r="N1888" s="65" t="s">
        <v>80</v>
      </c>
    </row>
    <row r="1889">
      <c r="I1889" s="61" t="str">
        <f t="shared" si="6"/>
        <v>2024</v>
      </c>
      <c r="J1889" s="62">
        <f t="shared" si="7"/>
        <v>5</v>
      </c>
      <c r="K1889" s="61" t="str">
        <f t="shared" si="8"/>
        <v>2024-Q2</v>
      </c>
      <c r="L1889" s="63" t="str">
        <f t="shared" si="9"/>
        <v>2024-05</v>
      </c>
      <c r="M1889" s="64" t="str">
        <f t="shared" si="10"/>
        <v>2024-H1</v>
      </c>
      <c r="N1889" s="65" t="s">
        <v>80</v>
      </c>
    </row>
    <row r="1890">
      <c r="I1890" s="61" t="str">
        <f t="shared" si="6"/>
        <v>2024</v>
      </c>
      <c r="J1890" s="62">
        <f t="shared" si="7"/>
        <v>5</v>
      </c>
      <c r="K1890" s="61" t="str">
        <f t="shared" si="8"/>
        <v>2024-Q2</v>
      </c>
      <c r="L1890" s="63" t="str">
        <f t="shared" si="9"/>
        <v>2024-05</v>
      </c>
      <c r="M1890" s="64" t="str">
        <f t="shared" si="10"/>
        <v>2024-H1</v>
      </c>
      <c r="N1890" s="65" t="s">
        <v>80</v>
      </c>
    </row>
    <row r="1891">
      <c r="I1891" s="61" t="str">
        <f t="shared" si="6"/>
        <v>2024</v>
      </c>
      <c r="J1891" s="62">
        <f t="shared" si="7"/>
        <v>5</v>
      </c>
      <c r="K1891" s="61" t="str">
        <f t="shared" si="8"/>
        <v>2024-Q2</v>
      </c>
      <c r="L1891" s="63" t="str">
        <f t="shared" si="9"/>
        <v>2024-05</v>
      </c>
      <c r="M1891" s="64" t="str">
        <f t="shared" si="10"/>
        <v>2024-H1</v>
      </c>
      <c r="N1891" s="65" t="s">
        <v>80</v>
      </c>
    </row>
    <row r="1892">
      <c r="I1892" s="61" t="str">
        <f t="shared" si="6"/>
        <v>2024</v>
      </c>
      <c r="J1892" s="62">
        <f t="shared" si="7"/>
        <v>5</v>
      </c>
      <c r="K1892" s="61" t="str">
        <f t="shared" si="8"/>
        <v>2024-Q2</v>
      </c>
      <c r="L1892" s="63" t="str">
        <f t="shared" si="9"/>
        <v>2024-05</v>
      </c>
      <c r="M1892" s="64" t="str">
        <f t="shared" si="10"/>
        <v>2024-H1</v>
      </c>
      <c r="N1892" s="65" t="s">
        <v>80</v>
      </c>
    </row>
    <row r="1893">
      <c r="I1893" s="61" t="str">
        <f t="shared" si="6"/>
        <v>2024</v>
      </c>
      <c r="J1893" s="62">
        <f t="shared" si="7"/>
        <v>5</v>
      </c>
      <c r="K1893" s="61" t="str">
        <f t="shared" si="8"/>
        <v>2024-Q2</v>
      </c>
      <c r="L1893" s="63" t="str">
        <f t="shared" si="9"/>
        <v>2024-05</v>
      </c>
      <c r="M1893" s="64" t="str">
        <f t="shared" si="10"/>
        <v>2024-H1</v>
      </c>
      <c r="N1893" s="65" t="s">
        <v>80</v>
      </c>
    </row>
    <row r="1894">
      <c r="I1894" s="61" t="str">
        <f t="shared" si="6"/>
        <v>2024</v>
      </c>
      <c r="J1894" s="62">
        <f t="shared" si="7"/>
        <v>5</v>
      </c>
      <c r="K1894" s="61" t="str">
        <f t="shared" si="8"/>
        <v>2024-Q2</v>
      </c>
      <c r="L1894" s="63" t="str">
        <f t="shared" si="9"/>
        <v>2024-05</v>
      </c>
      <c r="M1894" s="64" t="str">
        <f t="shared" si="10"/>
        <v>2024-H1</v>
      </c>
      <c r="N1894" s="65" t="s">
        <v>80</v>
      </c>
    </row>
    <row r="1895">
      <c r="I1895" s="61" t="str">
        <f t="shared" si="6"/>
        <v>2024</v>
      </c>
      <c r="J1895" s="62">
        <f t="shared" si="7"/>
        <v>5</v>
      </c>
      <c r="K1895" s="61" t="str">
        <f t="shared" si="8"/>
        <v>2024-Q2</v>
      </c>
      <c r="L1895" s="63" t="str">
        <f t="shared" si="9"/>
        <v>2024-05</v>
      </c>
      <c r="M1895" s="64" t="str">
        <f t="shared" si="10"/>
        <v>2024-H1</v>
      </c>
      <c r="N1895" s="65" t="s">
        <v>80</v>
      </c>
    </row>
    <row r="1896">
      <c r="I1896" s="61" t="str">
        <f t="shared" si="6"/>
        <v>2024</v>
      </c>
      <c r="J1896" s="62">
        <f t="shared" si="7"/>
        <v>5</v>
      </c>
      <c r="K1896" s="61" t="str">
        <f t="shared" si="8"/>
        <v>2024-Q2</v>
      </c>
      <c r="L1896" s="63" t="str">
        <f t="shared" si="9"/>
        <v>2024-05</v>
      </c>
      <c r="M1896" s="64" t="str">
        <f t="shared" si="10"/>
        <v>2024-H1</v>
      </c>
      <c r="N1896" s="65" t="s">
        <v>80</v>
      </c>
    </row>
    <row r="1897">
      <c r="I1897" s="61" t="str">
        <f t="shared" si="6"/>
        <v>2024</v>
      </c>
      <c r="J1897" s="62">
        <f t="shared" si="7"/>
        <v>5</v>
      </c>
      <c r="K1897" s="61" t="str">
        <f t="shared" si="8"/>
        <v>2024-Q2</v>
      </c>
      <c r="L1897" s="63" t="str">
        <f t="shared" si="9"/>
        <v>2024-05</v>
      </c>
      <c r="M1897" s="64" t="str">
        <f t="shared" si="10"/>
        <v>2024-H1</v>
      </c>
      <c r="N1897" s="65" t="s">
        <v>80</v>
      </c>
    </row>
    <row r="1898">
      <c r="I1898" s="61" t="str">
        <f t="shared" si="6"/>
        <v>2024</v>
      </c>
      <c r="J1898" s="62">
        <f t="shared" si="7"/>
        <v>5</v>
      </c>
      <c r="K1898" s="61" t="str">
        <f t="shared" si="8"/>
        <v>2024-Q2</v>
      </c>
      <c r="L1898" s="63" t="str">
        <f t="shared" si="9"/>
        <v>2024-05</v>
      </c>
      <c r="M1898" s="64" t="str">
        <f t="shared" si="10"/>
        <v>2024-H1</v>
      </c>
      <c r="N1898" s="65" t="s">
        <v>80</v>
      </c>
    </row>
    <row r="1899">
      <c r="I1899" s="61" t="str">
        <f t="shared" si="6"/>
        <v>2024</v>
      </c>
      <c r="J1899" s="62">
        <f t="shared" si="7"/>
        <v>6</v>
      </c>
      <c r="K1899" s="61" t="str">
        <f t="shared" si="8"/>
        <v>2024-Q2</v>
      </c>
      <c r="L1899" s="63" t="str">
        <f t="shared" si="9"/>
        <v>2024-06</v>
      </c>
      <c r="M1899" s="64" t="str">
        <f t="shared" si="10"/>
        <v>2024-H1</v>
      </c>
      <c r="N1899" s="65" t="s">
        <v>80</v>
      </c>
    </row>
    <row r="1900">
      <c r="I1900" s="61" t="str">
        <f t="shared" si="6"/>
        <v>2024</v>
      </c>
      <c r="J1900" s="62">
        <f t="shared" si="7"/>
        <v>5</v>
      </c>
      <c r="K1900" s="61" t="str">
        <f t="shared" si="8"/>
        <v>2024-Q2</v>
      </c>
      <c r="L1900" s="63" t="str">
        <f t="shared" si="9"/>
        <v>2024-05</v>
      </c>
      <c r="M1900" s="64" t="str">
        <f t="shared" si="10"/>
        <v>2024-H1</v>
      </c>
      <c r="N1900" s="65" t="s">
        <v>80</v>
      </c>
    </row>
    <row r="1901">
      <c r="I1901" s="61" t="str">
        <f t="shared" si="6"/>
        <v>2024</v>
      </c>
      <c r="J1901" s="62">
        <f t="shared" si="7"/>
        <v>5</v>
      </c>
      <c r="K1901" s="61" t="str">
        <f t="shared" si="8"/>
        <v>2024-Q2</v>
      </c>
      <c r="L1901" s="63" t="str">
        <f t="shared" si="9"/>
        <v>2024-05</v>
      </c>
      <c r="M1901" s="64" t="str">
        <f t="shared" si="10"/>
        <v>2024-H1</v>
      </c>
      <c r="N1901" s="65" t="s">
        <v>80</v>
      </c>
    </row>
    <row r="1902">
      <c r="I1902" s="61" t="str">
        <f t="shared" si="6"/>
        <v>2024</v>
      </c>
      <c r="J1902" s="62">
        <f t="shared" si="7"/>
        <v>5</v>
      </c>
      <c r="K1902" s="61" t="str">
        <f t="shared" si="8"/>
        <v>2024-Q2</v>
      </c>
      <c r="L1902" s="63" t="str">
        <f t="shared" si="9"/>
        <v>2024-05</v>
      </c>
      <c r="M1902" s="64" t="str">
        <f t="shared" si="10"/>
        <v>2024-H1</v>
      </c>
      <c r="N1902" s="65" t="s">
        <v>80</v>
      </c>
    </row>
    <row r="1903">
      <c r="I1903" s="61" t="str">
        <f t="shared" si="6"/>
        <v>2024</v>
      </c>
      <c r="J1903" s="62">
        <f t="shared" si="7"/>
        <v>5</v>
      </c>
      <c r="K1903" s="61" t="str">
        <f t="shared" si="8"/>
        <v>2024-Q2</v>
      </c>
      <c r="L1903" s="63" t="str">
        <f t="shared" si="9"/>
        <v>2024-05</v>
      </c>
      <c r="M1903" s="64" t="str">
        <f t="shared" si="10"/>
        <v>2024-H1</v>
      </c>
      <c r="N1903" s="65" t="s">
        <v>80</v>
      </c>
    </row>
    <row r="1904">
      <c r="I1904" s="61" t="str">
        <f t="shared" si="6"/>
        <v>2024</v>
      </c>
      <c r="J1904" s="62">
        <f t="shared" si="7"/>
        <v>5</v>
      </c>
      <c r="K1904" s="61" t="str">
        <f t="shared" si="8"/>
        <v>2024-Q2</v>
      </c>
      <c r="L1904" s="63" t="str">
        <f t="shared" si="9"/>
        <v>2024-05</v>
      </c>
      <c r="M1904" s="64" t="str">
        <f t="shared" si="10"/>
        <v>2024-H1</v>
      </c>
      <c r="N1904" s="65" t="s">
        <v>80</v>
      </c>
    </row>
    <row r="1905">
      <c r="I1905" s="61" t="str">
        <f t="shared" si="6"/>
        <v>2024</v>
      </c>
      <c r="J1905" s="62">
        <f t="shared" si="7"/>
        <v>6</v>
      </c>
      <c r="K1905" s="61" t="str">
        <f t="shared" si="8"/>
        <v>2024-Q2</v>
      </c>
      <c r="L1905" s="63" t="str">
        <f t="shared" si="9"/>
        <v>2024-06</v>
      </c>
      <c r="M1905" s="64" t="str">
        <f t="shared" si="10"/>
        <v>2024-H1</v>
      </c>
      <c r="N1905" s="65" t="s">
        <v>80</v>
      </c>
    </row>
    <row r="1906">
      <c r="I1906" s="61" t="str">
        <f t="shared" si="6"/>
        <v>2024</v>
      </c>
      <c r="J1906" s="62">
        <f t="shared" si="7"/>
        <v>5</v>
      </c>
      <c r="K1906" s="61" t="str">
        <f t="shared" si="8"/>
        <v>2024-Q2</v>
      </c>
      <c r="L1906" s="63" t="str">
        <f t="shared" si="9"/>
        <v>2024-05</v>
      </c>
      <c r="M1906" s="64" t="str">
        <f t="shared" si="10"/>
        <v>2024-H1</v>
      </c>
      <c r="N1906" s="65" t="s">
        <v>80</v>
      </c>
    </row>
    <row r="1907">
      <c r="I1907" s="61" t="str">
        <f t="shared" si="6"/>
        <v>2024</v>
      </c>
      <c r="J1907" s="62">
        <f t="shared" si="7"/>
        <v>5</v>
      </c>
      <c r="K1907" s="61" t="str">
        <f t="shared" si="8"/>
        <v>2024-Q2</v>
      </c>
      <c r="L1907" s="63" t="str">
        <f t="shared" si="9"/>
        <v>2024-05</v>
      </c>
      <c r="M1907" s="64" t="str">
        <f t="shared" si="10"/>
        <v>2024-H1</v>
      </c>
      <c r="N1907" s="65" t="s">
        <v>80</v>
      </c>
    </row>
    <row r="1908">
      <c r="I1908" s="61" t="str">
        <f t="shared" si="6"/>
        <v>2024</v>
      </c>
      <c r="J1908" s="62">
        <f t="shared" si="7"/>
        <v>5</v>
      </c>
      <c r="K1908" s="61" t="str">
        <f t="shared" si="8"/>
        <v>2024-Q2</v>
      </c>
      <c r="L1908" s="63" t="str">
        <f t="shared" si="9"/>
        <v>2024-05</v>
      </c>
      <c r="M1908" s="64" t="str">
        <f t="shared" si="10"/>
        <v>2024-H1</v>
      </c>
      <c r="N1908" s="65" t="s">
        <v>80</v>
      </c>
    </row>
    <row r="1909">
      <c r="I1909" s="61" t="str">
        <f t="shared" si="6"/>
        <v>2024</v>
      </c>
      <c r="J1909" s="62">
        <f t="shared" si="7"/>
        <v>5</v>
      </c>
      <c r="K1909" s="61" t="str">
        <f t="shared" si="8"/>
        <v>2024-Q2</v>
      </c>
      <c r="L1909" s="63" t="str">
        <f t="shared" si="9"/>
        <v>2024-05</v>
      </c>
      <c r="M1909" s="64" t="str">
        <f t="shared" si="10"/>
        <v>2024-H1</v>
      </c>
      <c r="N1909" s="65" t="s">
        <v>80</v>
      </c>
    </row>
    <row r="1910">
      <c r="I1910" s="61" t="str">
        <f t="shared" si="6"/>
        <v>2024</v>
      </c>
      <c r="J1910" s="62">
        <f t="shared" si="7"/>
        <v>5</v>
      </c>
      <c r="K1910" s="61" t="str">
        <f t="shared" si="8"/>
        <v>2024-Q2</v>
      </c>
      <c r="L1910" s="63" t="str">
        <f t="shared" si="9"/>
        <v>2024-05</v>
      </c>
      <c r="M1910" s="64" t="str">
        <f t="shared" si="10"/>
        <v>2024-H1</v>
      </c>
      <c r="N1910" s="65" t="s">
        <v>80</v>
      </c>
    </row>
    <row r="1911">
      <c r="I1911" s="61" t="str">
        <f t="shared" si="6"/>
        <v>2024</v>
      </c>
      <c r="J1911" s="62">
        <f t="shared" si="7"/>
        <v>5</v>
      </c>
      <c r="K1911" s="61" t="str">
        <f t="shared" si="8"/>
        <v>2024-Q2</v>
      </c>
      <c r="L1911" s="63" t="str">
        <f t="shared" si="9"/>
        <v>2024-05</v>
      </c>
      <c r="M1911" s="64" t="str">
        <f t="shared" si="10"/>
        <v>2024-H1</v>
      </c>
      <c r="N1911" s="65" t="s">
        <v>80</v>
      </c>
    </row>
    <row r="1912">
      <c r="I1912" s="61" t="str">
        <f t="shared" si="6"/>
        <v>2024</v>
      </c>
      <c r="J1912" s="62">
        <f t="shared" si="7"/>
        <v>5</v>
      </c>
      <c r="K1912" s="61" t="str">
        <f t="shared" si="8"/>
        <v>2024-Q2</v>
      </c>
      <c r="L1912" s="63" t="str">
        <f t="shared" si="9"/>
        <v>2024-05</v>
      </c>
      <c r="M1912" s="64" t="str">
        <f t="shared" si="10"/>
        <v>2024-H1</v>
      </c>
      <c r="N1912" s="65" t="s">
        <v>80</v>
      </c>
    </row>
    <row r="1913">
      <c r="I1913" s="61" t="str">
        <f t="shared" si="6"/>
        <v>2024</v>
      </c>
      <c r="J1913" s="62">
        <f t="shared" si="7"/>
        <v>6</v>
      </c>
      <c r="K1913" s="61" t="str">
        <f t="shared" si="8"/>
        <v>2024-Q2</v>
      </c>
      <c r="L1913" s="63" t="str">
        <f t="shared" si="9"/>
        <v>2024-06</v>
      </c>
      <c r="M1913" s="64" t="str">
        <f t="shared" si="10"/>
        <v>2024-H1</v>
      </c>
      <c r="N1913" s="65" t="s">
        <v>80</v>
      </c>
    </row>
    <row r="1914">
      <c r="I1914" s="61" t="str">
        <f t="shared" si="6"/>
        <v>2024</v>
      </c>
      <c r="J1914" s="62">
        <f t="shared" si="7"/>
        <v>5</v>
      </c>
      <c r="K1914" s="61" t="str">
        <f t="shared" si="8"/>
        <v>2024-Q2</v>
      </c>
      <c r="L1914" s="63" t="str">
        <f t="shared" si="9"/>
        <v>2024-05</v>
      </c>
      <c r="M1914" s="64" t="str">
        <f t="shared" si="10"/>
        <v>2024-H1</v>
      </c>
      <c r="N1914" s="65" t="s">
        <v>80</v>
      </c>
    </row>
    <row r="1915">
      <c r="I1915" s="61" t="str">
        <f t="shared" si="6"/>
        <v>2024</v>
      </c>
      <c r="J1915" s="62">
        <f t="shared" si="7"/>
        <v>5</v>
      </c>
      <c r="K1915" s="61" t="str">
        <f t="shared" si="8"/>
        <v>2024-Q2</v>
      </c>
      <c r="L1915" s="63" t="str">
        <f t="shared" si="9"/>
        <v>2024-05</v>
      </c>
      <c r="M1915" s="64" t="str">
        <f t="shared" si="10"/>
        <v>2024-H1</v>
      </c>
      <c r="N1915" s="65" t="s">
        <v>80</v>
      </c>
    </row>
    <row r="1916">
      <c r="I1916" s="61" t="str">
        <f t="shared" si="6"/>
        <v>2024</v>
      </c>
      <c r="J1916" s="62">
        <f t="shared" si="7"/>
        <v>5</v>
      </c>
      <c r="K1916" s="61" t="str">
        <f t="shared" si="8"/>
        <v>2024-Q2</v>
      </c>
      <c r="L1916" s="63" t="str">
        <f t="shared" si="9"/>
        <v>2024-05</v>
      </c>
      <c r="M1916" s="64" t="str">
        <f t="shared" si="10"/>
        <v>2024-H1</v>
      </c>
      <c r="N1916" s="65" t="s">
        <v>80</v>
      </c>
    </row>
    <row r="1917">
      <c r="I1917" s="61" t="str">
        <f t="shared" si="6"/>
        <v>2024</v>
      </c>
      <c r="J1917" s="62">
        <f t="shared" si="7"/>
        <v>5</v>
      </c>
      <c r="K1917" s="61" t="str">
        <f t="shared" si="8"/>
        <v>2024-Q2</v>
      </c>
      <c r="L1917" s="63" t="str">
        <f t="shared" si="9"/>
        <v>2024-05</v>
      </c>
      <c r="M1917" s="64" t="str">
        <f t="shared" si="10"/>
        <v>2024-H1</v>
      </c>
      <c r="N1917" s="65" t="s">
        <v>80</v>
      </c>
    </row>
    <row r="1918">
      <c r="I1918" s="61" t="str">
        <f t="shared" si="6"/>
        <v>2024</v>
      </c>
      <c r="J1918" s="62">
        <f t="shared" si="7"/>
        <v>5</v>
      </c>
      <c r="K1918" s="61" t="str">
        <f t="shared" si="8"/>
        <v>2024-Q2</v>
      </c>
      <c r="L1918" s="63" t="str">
        <f t="shared" si="9"/>
        <v>2024-05</v>
      </c>
      <c r="M1918" s="64" t="str">
        <f t="shared" si="10"/>
        <v>2024-H1</v>
      </c>
      <c r="N1918" s="65" t="s">
        <v>80</v>
      </c>
    </row>
    <row r="1919">
      <c r="I1919" s="61" t="str">
        <f t="shared" si="6"/>
        <v>2024</v>
      </c>
      <c r="J1919" s="62">
        <f t="shared" si="7"/>
        <v>5</v>
      </c>
      <c r="K1919" s="61" t="str">
        <f t="shared" si="8"/>
        <v>2024-Q2</v>
      </c>
      <c r="L1919" s="63" t="str">
        <f t="shared" si="9"/>
        <v>2024-05</v>
      </c>
      <c r="M1919" s="64" t="str">
        <f t="shared" si="10"/>
        <v>2024-H1</v>
      </c>
      <c r="N1919" s="65" t="s">
        <v>80</v>
      </c>
    </row>
    <row r="1920">
      <c r="I1920" s="61" t="str">
        <f t="shared" si="6"/>
        <v>2024</v>
      </c>
      <c r="J1920" s="62">
        <f t="shared" si="7"/>
        <v>5</v>
      </c>
      <c r="K1920" s="61" t="str">
        <f t="shared" si="8"/>
        <v>2024-Q2</v>
      </c>
      <c r="L1920" s="63" t="str">
        <f t="shared" si="9"/>
        <v>2024-05</v>
      </c>
      <c r="M1920" s="64" t="str">
        <f t="shared" si="10"/>
        <v>2024-H1</v>
      </c>
      <c r="N1920" s="65" t="s">
        <v>80</v>
      </c>
    </row>
    <row r="1921">
      <c r="I1921" s="61" t="str">
        <f t="shared" si="6"/>
        <v>2024</v>
      </c>
      <c r="J1921" s="62">
        <f t="shared" si="7"/>
        <v>5</v>
      </c>
      <c r="K1921" s="61" t="str">
        <f t="shared" si="8"/>
        <v>2024-Q2</v>
      </c>
      <c r="L1921" s="63" t="str">
        <f t="shared" si="9"/>
        <v>2024-05</v>
      </c>
      <c r="M1921" s="64" t="str">
        <f t="shared" si="10"/>
        <v>2024-H1</v>
      </c>
      <c r="N1921" s="65" t="s">
        <v>80</v>
      </c>
    </row>
    <row r="1922">
      <c r="I1922" s="61" t="str">
        <f t="shared" si="6"/>
        <v>2024</v>
      </c>
      <c r="J1922" s="62">
        <f t="shared" si="7"/>
        <v>5</v>
      </c>
      <c r="K1922" s="61" t="str">
        <f t="shared" si="8"/>
        <v>2024-Q2</v>
      </c>
      <c r="L1922" s="63" t="str">
        <f t="shared" si="9"/>
        <v>2024-05</v>
      </c>
      <c r="M1922" s="64" t="str">
        <f t="shared" si="10"/>
        <v>2024-H1</v>
      </c>
      <c r="N1922" s="65" t="s">
        <v>80</v>
      </c>
    </row>
    <row r="1923">
      <c r="I1923" s="61" t="str">
        <f t="shared" si="6"/>
        <v>2024</v>
      </c>
      <c r="J1923" s="62">
        <f t="shared" si="7"/>
        <v>5</v>
      </c>
      <c r="K1923" s="61" t="str">
        <f t="shared" si="8"/>
        <v>2024-Q2</v>
      </c>
      <c r="L1923" s="63" t="str">
        <f t="shared" si="9"/>
        <v>2024-05</v>
      </c>
      <c r="M1923" s="64" t="str">
        <f t="shared" si="10"/>
        <v>2024-H1</v>
      </c>
      <c r="N1923" s="65" t="s">
        <v>80</v>
      </c>
    </row>
    <row r="1924">
      <c r="I1924" s="61" t="str">
        <f t="shared" si="6"/>
        <v>2024</v>
      </c>
      <c r="J1924" s="62">
        <f t="shared" si="7"/>
        <v>5</v>
      </c>
      <c r="K1924" s="61" t="str">
        <f t="shared" si="8"/>
        <v>2024-Q2</v>
      </c>
      <c r="L1924" s="63" t="str">
        <f t="shared" si="9"/>
        <v>2024-05</v>
      </c>
      <c r="M1924" s="64" t="str">
        <f t="shared" si="10"/>
        <v>2024-H1</v>
      </c>
      <c r="N1924" s="65" t="s">
        <v>80</v>
      </c>
    </row>
    <row r="1925">
      <c r="I1925" s="61" t="str">
        <f t="shared" si="6"/>
        <v>2024</v>
      </c>
      <c r="J1925" s="62">
        <f t="shared" si="7"/>
        <v>5</v>
      </c>
      <c r="K1925" s="61" t="str">
        <f t="shared" si="8"/>
        <v>2024-Q2</v>
      </c>
      <c r="L1925" s="63" t="str">
        <f t="shared" si="9"/>
        <v>2024-05</v>
      </c>
      <c r="M1925" s="64" t="str">
        <f t="shared" si="10"/>
        <v>2024-H1</v>
      </c>
      <c r="N1925" s="65" t="s">
        <v>80</v>
      </c>
    </row>
    <row r="1926">
      <c r="I1926" s="61" t="str">
        <f t="shared" si="6"/>
        <v>2024</v>
      </c>
      <c r="J1926" s="62">
        <f t="shared" si="7"/>
        <v>5</v>
      </c>
      <c r="K1926" s="61" t="str">
        <f t="shared" si="8"/>
        <v>2024-Q2</v>
      </c>
      <c r="L1926" s="63" t="str">
        <f t="shared" si="9"/>
        <v>2024-05</v>
      </c>
      <c r="M1926" s="64" t="str">
        <f t="shared" si="10"/>
        <v>2024-H1</v>
      </c>
      <c r="N1926" s="65" t="s">
        <v>80</v>
      </c>
    </row>
    <row r="1927">
      <c r="I1927" s="61" t="str">
        <f t="shared" si="6"/>
        <v>2024</v>
      </c>
      <c r="J1927" s="62">
        <f t="shared" si="7"/>
        <v>5</v>
      </c>
      <c r="K1927" s="61" t="str">
        <f t="shared" si="8"/>
        <v>2024-Q2</v>
      </c>
      <c r="L1927" s="63" t="str">
        <f t="shared" si="9"/>
        <v>2024-05</v>
      </c>
      <c r="M1927" s="64" t="str">
        <f t="shared" si="10"/>
        <v>2024-H1</v>
      </c>
      <c r="N1927" s="65" t="s">
        <v>80</v>
      </c>
    </row>
    <row r="1928">
      <c r="I1928" s="61" t="str">
        <f t="shared" si="6"/>
        <v>2024</v>
      </c>
      <c r="J1928" s="62">
        <f t="shared" si="7"/>
        <v>5</v>
      </c>
      <c r="K1928" s="61" t="str">
        <f t="shared" si="8"/>
        <v>2024-Q2</v>
      </c>
      <c r="L1928" s="63" t="str">
        <f t="shared" si="9"/>
        <v>2024-05</v>
      </c>
      <c r="M1928" s="64" t="str">
        <f t="shared" si="10"/>
        <v>2024-H1</v>
      </c>
      <c r="N1928" s="65" t="s">
        <v>80</v>
      </c>
    </row>
    <row r="1929">
      <c r="I1929" s="61" t="str">
        <f t="shared" si="6"/>
        <v>2024</v>
      </c>
      <c r="J1929" s="62">
        <f t="shared" si="7"/>
        <v>5</v>
      </c>
      <c r="K1929" s="61" t="str">
        <f t="shared" si="8"/>
        <v>2024-Q2</v>
      </c>
      <c r="L1929" s="63" t="str">
        <f t="shared" si="9"/>
        <v>2024-05</v>
      </c>
      <c r="M1929" s="64" t="str">
        <f t="shared" si="10"/>
        <v>2024-H1</v>
      </c>
      <c r="N1929" s="65" t="s">
        <v>80</v>
      </c>
    </row>
    <row r="1930">
      <c r="I1930" s="61" t="str">
        <f t="shared" si="6"/>
        <v>2024</v>
      </c>
      <c r="J1930" s="62">
        <f t="shared" si="7"/>
        <v>5</v>
      </c>
      <c r="K1930" s="61" t="str">
        <f t="shared" si="8"/>
        <v>2024-Q2</v>
      </c>
      <c r="L1930" s="63" t="str">
        <f t="shared" si="9"/>
        <v>2024-05</v>
      </c>
      <c r="M1930" s="64" t="str">
        <f t="shared" si="10"/>
        <v>2024-H1</v>
      </c>
      <c r="N1930" s="65" t="s">
        <v>80</v>
      </c>
    </row>
    <row r="1931">
      <c r="I1931" s="61" t="str">
        <f t="shared" si="6"/>
        <v>2024</v>
      </c>
      <c r="J1931" s="62">
        <f t="shared" si="7"/>
        <v>5</v>
      </c>
      <c r="K1931" s="61" t="str">
        <f t="shared" si="8"/>
        <v>2024-Q2</v>
      </c>
      <c r="L1931" s="63" t="str">
        <f t="shared" si="9"/>
        <v>2024-05</v>
      </c>
      <c r="M1931" s="64" t="str">
        <f t="shared" si="10"/>
        <v>2024-H1</v>
      </c>
      <c r="N1931" s="65" t="s">
        <v>80</v>
      </c>
    </row>
    <row r="1932">
      <c r="I1932" s="61" t="str">
        <f t="shared" si="6"/>
        <v>2024</v>
      </c>
      <c r="J1932" s="62">
        <f t="shared" si="7"/>
        <v>5</v>
      </c>
      <c r="K1932" s="61" t="str">
        <f t="shared" si="8"/>
        <v>2024-Q2</v>
      </c>
      <c r="L1932" s="63" t="str">
        <f t="shared" si="9"/>
        <v>2024-05</v>
      </c>
      <c r="M1932" s="64" t="str">
        <f t="shared" si="10"/>
        <v>2024-H1</v>
      </c>
      <c r="N1932" s="65" t="s">
        <v>80</v>
      </c>
    </row>
    <row r="1933">
      <c r="I1933" s="61" t="str">
        <f t="shared" si="6"/>
        <v>2024</v>
      </c>
      <c r="J1933" s="62">
        <f t="shared" si="7"/>
        <v>5</v>
      </c>
      <c r="K1933" s="61" t="str">
        <f t="shared" si="8"/>
        <v>2024-Q2</v>
      </c>
      <c r="L1933" s="63" t="str">
        <f t="shared" si="9"/>
        <v>2024-05</v>
      </c>
      <c r="M1933" s="64" t="str">
        <f t="shared" si="10"/>
        <v>2024-H1</v>
      </c>
      <c r="N1933" s="65" t="s">
        <v>80</v>
      </c>
    </row>
    <row r="1934">
      <c r="I1934" s="61" t="str">
        <f t="shared" si="6"/>
        <v>2024</v>
      </c>
      <c r="J1934" s="62">
        <f t="shared" si="7"/>
        <v>5</v>
      </c>
      <c r="K1934" s="61" t="str">
        <f t="shared" si="8"/>
        <v>2024-Q2</v>
      </c>
      <c r="L1934" s="63" t="str">
        <f t="shared" si="9"/>
        <v>2024-05</v>
      </c>
      <c r="M1934" s="64" t="str">
        <f t="shared" si="10"/>
        <v>2024-H1</v>
      </c>
      <c r="N1934" s="65" t="s">
        <v>80</v>
      </c>
    </row>
    <row r="1935">
      <c r="I1935" s="61" t="str">
        <f t="shared" si="6"/>
        <v>2024</v>
      </c>
      <c r="J1935" s="62">
        <f t="shared" si="7"/>
        <v>5</v>
      </c>
      <c r="K1935" s="61" t="str">
        <f t="shared" si="8"/>
        <v>2024-Q2</v>
      </c>
      <c r="L1935" s="63" t="str">
        <f t="shared" si="9"/>
        <v>2024-05</v>
      </c>
      <c r="M1935" s="64" t="str">
        <f t="shared" si="10"/>
        <v>2024-H1</v>
      </c>
      <c r="N1935" s="65" t="s">
        <v>80</v>
      </c>
    </row>
    <row r="1936">
      <c r="I1936" s="61" t="str">
        <f t="shared" si="6"/>
        <v>2024</v>
      </c>
      <c r="J1936" s="62">
        <f t="shared" si="7"/>
        <v>5</v>
      </c>
      <c r="K1936" s="61" t="str">
        <f t="shared" si="8"/>
        <v>2024-Q2</v>
      </c>
      <c r="L1936" s="63" t="str">
        <f t="shared" si="9"/>
        <v>2024-05</v>
      </c>
      <c r="M1936" s="64" t="str">
        <f t="shared" si="10"/>
        <v>2024-H1</v>
      </c>
      <c r="N1936" s="65" t="s">
        <v>80</v>
      </c>
    </row>
    <row r="1937">
      <c r="I1937" s="61" t="str">
        <f t="shared" si="6"/>
        <v>2024</v>
      </c>
      <c r="J1937" s="62">
        <f t="shared" si="7"/>
        <v>5</v>
      </c>
      <c r="K1937" s="61" t="str">
        <f t="shared" si="8"/>
        <v>2024-Q2</v>
      </c>
      <c r="L1937" s="63" t="str">
        <f t="shared" si="9"/>
        <v>2024-05</v>
      </c>
      <c r="M1937" s="64" t="str">
        <f t="shared" si="10"/>
        <v>2024-H1</v>
      </c>
      <c r="N1937" s="65" t="s">
        <v>80</v>
      </c>
    </row>
    <row r="1938">
      <c r="I1938" s="61" t="str">
        <f t="shared" si="6"/>
        <v>2024</v>
      </c>
      <c r="J1938" s="62">
        <f t="shared" si="7"/>
        <v>5</v>
      </c>
      <c r="K1938" s="61" t="str">
        <f t="shared" si="8"/>
        <v>2024-Q2</v>
      </c>
      <c r="L1938" s="63" t="str">
        <f t="shared" si="9"/>
        <v>2024-05</v>
      </c>
      <c r="M1938" s="64" t="str">
        <f t="shared" si="10"/>
        <v>2024-H1</v>
      </c>
      <c r="N1938" s="65" t="s">
        <v>80</v>
      </c>
    </row>
    <row r="1939">
      <c r="I1939" s="61" t="str">
        <f t="shared" si="6"/>
        <v>2024</v>
      </c>
      <c r="J1939" s="62">
        <f t="shared" si="7"/>
        <v>5</v>
      </c>
      <c r="K1939" s="61" t="str">
        <f t="shared" si="8"/>
        <v>2024-Q2</v>
      </c>
      <c r="L1939" s="63" t="str">
        <f t="shared" si="9"/>
        <v>2024-05</v>
      </c>
      <c r="M1939" s="64" t="str">
        <f t="shared" si="10"/>
        <v>2024-H1</v>
      </c>
      <c r="N1939" s="65" t="s">
        <v>80</v>
      </c>
    </row>
    <row r="1940">
      <c r="I1940" s="61" t="str">
        <f t="shared" si="6"/>
        <v>2024</v>
      </c>
      <c r="J1940" s="62">
        <f t="shared" si="7"/>
        <v>5</v>
      </c>
      <c r="K1940" s="61" t="str">
        <f t="shared" si="8"/>
        <v>2024-Q2</v>
      </c>
      <c r="L1940" s="63" t="str">
        <f t="shared" si="9"/>
        <v>2024-05</v>
      </c>
      <c r="M1940" s="64" t="str">
        <f t="shared" si="10"/>
        <v>2024-H1</v>
      </c>
      <c r="N1940" s="65" t="s">
        <v>80</v>
      </c>
    </row>
    <row r="1941">
      <c r="I1941" s="61" t="str">
        <f t="shared" si="6"/>
        <v>2024</v>
      </c>
      <c r="J1941" s="62">
        <f t="shared" si="7"/>
        <v>5</v>
      </c>
      <c r="K1941" s="61" t="str">
        <f t="shared" si="8"/>
        <v>2024-Q2</v>
      </c>
      <c r="L1941" s="63" t="str">
        <f t="shared" si="9"/>
        <v>2024-05</v>
      </c>
      <c r="M1941" s="64" t="str">
        <f t="shared" si="10"/>
        <v>2024-H1</v>
      </c>
      <c r="N1941" s="65" t="s">
        <v>80</v>
      </c>
    </row>
    <row r="1942">
      <c r="I1942" s="61" t="str">
        <f t="shared" si="6"/>
        <v>2024</v>
      </c>
      <c r="J1942" s="62">
        <f t="shared" si="7"/>
        <v>5</v>
      </c>
      <c r="K1942" s="61" t="str">
        <f t="shared" si="8"/>
        <v>2024-Q2</v>
      </c>
      <c r="L1942" s="63" t="str">
        <f t="shared" si="9"/>
        <v>2024-05</v>
      </c>
      <c r="M1942" s="64" t="str">
        <f t="shared" si="10"/>
        <v>2024-H1</v>
      </c>
      <c r="N1942" s="65" t="s">
        <v>80</v>
      </c>
    </row>
    <row r="1943">
      <c r="I1943" s="61" t="str">
        <f t="shared" si="6"/>
        <v>2024</v>
      </c>
      <c r="J1943" s="62">
        <f t="shared" si="7"/>
        <v>5</v>
      </c>
      <c r="K1943" s="61" t="str">
        <f t="shared" si="8"/>
        <v>2024-Q2</v>
      </c>
      <c r="L1943" s="63" t="str">
        <f t="shared" si="9"/>
        <v>2024-05</v>
      </c>
      <c r="M1943" s="64" t="str">
        <f t="shared" si="10"/>
        <v>2024-H1</v>
      </c>
      <c r="N1943" s="65" t="s">
        <v>80</v>
      </c>
    </row>
    <row r="1944">
      <c r="I1944" s="61" t="str">
        <f t="shared" si="6"/>
        <v>2024</v>
      </c>
      <c r="J1944" s="62">
        <f t="shared" si="7"/>
        <v>5</v>
      </c>
      <c r="K1944" s="61" t="str">
        <f t="shared" si="8"/>
        <v>2024-Q2</v>
      </c>
      <c r="L1944" s="63" t="str">
        <f t="shared" si="9"/>
        <v>2024-05</v>
      </c>
      <c r="M1944" s="64" t="str">
        <f t="shared" si="10"/>
        <v>2024-H1</v>
      </c>
      <c r="N1944" s="65" t="s">
        <v>80</v>
      </c>
    </row>
    <row r="1945">
      <c r="I1945" s="61" t="str">
        <f t="shared" si="6"/>
        <v>2024</v>
      </c>
      <c r="J1945" s="62">
        <f t="shared" si="7"/>
        <v>5</v>
      </c>
      <c r="K1945" s="61" t="str">
        <f t="shared" si="8"/>
        <v>2024-Q2</v>
      </c>
      <c r="L1945" s="63" t="str">
        <f t="shared" si="9"/>
        <v>2024-05</v>
      </c>
      <c r="M1945" s="64" t="str">
        <f t="shared" si="10"/>
        <v>2024-H1</v>
      </c>
      <c r="N1945" s="65" t="s">
        <v>80</v>
      </c>
    </row>
    <row r="1946">
      <c r="I1946" s="61" t="str">
        <f t="shared" si="6"/>
        <v>2024</v>
      </c>
      <c r="J1946" s="62">
        <f t="shared" si="7"/>
        <v>5</v>
      </c>
      <c r="K1946" s="61" t="str">
        <f t="shared" si="8"/>
        <v>2024-Q2</v>
      </c>
      <c r="L1946" s="63" t="str">
        <f t="shared" si="9"/>
        <v>2024-05</v>
      </c>
      <c r="M1946" s="64" t="str">
        <f t="shared" si="10"/>
        <v>2024-H1</v>
      </c>
      <c r="N1946" s="65" t="s">
        <v>80</v>
      </c>
    </row>
    <row r="1947">
      <c r="I1947" s="61" t="str">
        <f t="shared" si="6"/>
        <v>2024</v>
      </c>
      <c r="J1947" s="62">
        <f t="shared" si="7"/>
        <v>6</v>
      </c>
      <c r="K1947" s="61" t="str">
        <f t="shared" si="8"/>
        <v>2024-Q2</v>
      </c>
      <c r="L1947" s="63" t="str">
        <f t="shared" si="9"/>
        <v>2024-06</v>
      </c>
      <c r="M1947" s="64" t="str">
        <f t="shared" si="10"/>
        <v>2024-H1</v>
      </c>
      <c r="N1947" s="65" t="s">
        <v>80</v>
      </c>
    </row>
    <row r="1948">
      <c r="I1948" s="61" t="str">
        <f t="shared" si="6"/>
        <v>2024</v>
      </c>
      <c r="J1948" s="62">
        <f t="shared" si="7"/>
        <v>5</v>
      </c>
      <c r="K1948" s="61" t="str">
        <f t="shared" si="8"/>
        <v>2024-Q2</v>
      </c>
      <c r="L1948" s="63" t="str">
        <f t="shared" si="9"/>
        <v>2024-05</v>
      </c>
      <c r="M1948" s="64" t="str">
        <f t="shared" si="10"/>
        <v>2024-H1</v>
      </c>
      <c r="N1948" s="65" t="s">
        <v>80</v>
      </c>
    </row>
    <row r="1949">
      <c r="I1949" s="61" t="str">
        <f t="shared" si="6"/>
        <v>2024</v>
      </c>
      <c r="J1949" s="62">
        <f t="shared" si="7"/>
        <v>5</v>
      </c>
      <c r="K1949" s="61" t="str">
        <f t="shared" si="8"/>
        <v>2024-Q2</v>
      </c>
      <c r="L1949" s="63" t="str">
        <f t="shared" si="9"/>
        <v>2024-05</v>
      </c>
      <c r="M1949" s="64" t="str">
        <f t="shared" si="10"/>
        <v>2024-H1</v>
      </c>
      <c r="N1949" s="65" t="s">
        <v>80</v>
      </c>
    </row>
    <row r="1950">
      <c r="I1950" s="61" t="str">
        <f t="shared" si="6"/>
        <v>2024</v>
      </c>
      <c r="J1950" s="62">
        <f t="shared" si="7"/>
        <v>5</v>
      </c>
      <c r="K1950" s="61" t="str">
        <f t="shared" si="8"/>
        <v>2024-Q2</v>
      </c>
      <c r="L1950" s="63" t="str">
        <f t="shared" si="9"/>
        <v>2024-05</v>
      </c>
      <c r="M1950" s="64" t="str">
        <f t="shared" si="10"/>
        <v>2024-H1</v>
      </c>
      <c r="N1950" s="65" t="s">
        <v>80</v>
      </c>
    </row>
    <row r="1951">
      <c r="I1951" s="61" t="str">
        <f t="shared" si="6"/>
        <v>2024</v>
      </c>
      <c r="J1951" s="62">
        <f t="shared" si="7"/>
        <v>5</v>
      </c>
      <c r="K1951" s="61" t="str">
        <f t="shared" si="8"/>
        <v>2024-Q2</v>
      </c>
      <c r="L1951" s="63" t="str">
        <f t="shared" si="9"/>
        <v>2024-05</v>
      </c>
      <c r="M1951" s="64" t="str">
        <f t="shared" si="10"/>
        <v>2024-H1</v>
      </c>
      <c r="N1951" s="65" t="s">
        <v>80</v>
      </c>
    </row>
    <row r="1952">
      <c r="I1952" s="61" t="str">
        <f t="shared" si="6"/>
        <v>2024</v>
      </c>
      <c r="J1952" s="62">
        <f t="shared" si="7"/>
        <v>6</v>
      </c>
      <c r="K1952" s="61" t="str">
        <f t="shared" si="8"/>
        <v>2024-Q2</v>
      </c>
      <c r="L1952" s="63" t="str">
        <f t="shared" si="9"/>
        <v>2024-06</v>
      </c>
      <c r="M1952" s="64" t="str">
        <f t="shared" si="10"/>
        <v>2024-H1</v>
      </c>
      <c r="N1952" s="65" t="s">
        <v>80</v>
      </c>
    </row>
    <row r="1953">
      <c r="I1953" s="61" t="str">
        <f t="shared" si="6"/>
        <v>2024</v>
      </c>
      <c r="J1953" s="62">
        <f t="shared" si="7"/>
        <v>5</v>
      </c>
      <c r="K1953" s="61" t="str">
        <f t="shared" si="8"/>
        <v>2024-Q2</v>
      </c>
      <c r="L1953" s="63" t="str">
        <f t="shared" si="9"/>
        <v>2024-05</v>
      </c>
      <c r="M1953" s="64" t="str">
        <f t="shared" si="10"/>
        <v>2024-H1</v>
      </c>
      <c r="N1953" s="65" t="s">
        <v>80</v>
      </c>
    </row>
    <row r="1954">
      <c r="I1954" s="61" t="str">
        <f t="shared" si="6"/>
        <v>2024</v>
      </c>
      <c r="J1954" s="62">
        <f t="shared" si="7"/>
        <v>5</v>
      </c>
      <c r="K1954" s="61" t="str">
        <f t="shared" si="8"/>
        <v>2024-Q2</v>
      </c>
      <c r="L1954" s="63" t="str">
        <f t="shared" si="9"/>
        <v>2024-05</v>
      </c>
      <c r="M1954" s="64" t="str">
        <f t="shared" si="10"/>
        <v>2024-H1</v>
      </c>
      <c r="N1954" s="65" t="s">
        <v>80</v>
      </c>
    </row>
    <row r="1955">
      <c r="I1955" s="61" t="str">
        <f t="shared" si="6"/>
        <v>2024</v>
      </c>
      <c r="J1955" s="62">
        <f t="shared" si="7"/>
        <v>5</v>
      </c>
      <c r="K1955" s="61" t="str">
        <f t="shared" si="8"/>
        <v>2024-Q2</v>
      </c>
      <c r="L1955" s="63" t="str">
        <f t="shared" si="9"/>
        <v>2024-05</v>
      </c>
      <c r="M1955" s="64" t="str">
        <f t="shared" si="10"/>
        <v>2024-H1</v>
      </c>
      <c r="N1955" s="65" t="s">
        <v>80</v>
      </c>
    </row>
    <row r="1956">
      <c r="I1956" s="61" t="str">
        <f t="shared" si="6"/>
        <v>2024</v>
      </c>
      <c r="J1956" s="62">
        <f t="shared" si="7"/>
        <v>5</v>
      </c>
      <c r="K1956" s="61" t="str">
        <f t="shared" si="8"/>
        <v>2024-Q2</v>
      </c>
      <c r="L1956" s="63" t="str">
        <f t="shared" si="9"/>
        <v>2024-05</v>
      </c>
      <c r="M1956" s="64" t="str">
        <f t="shared" si="10"/>
        <v>2024-H1</v>
      </c>
      <c r="N1956" s="65" t="s">
        <v>80</v>
      </c>
    </row>
    <row r="1957">
      <c r="I1957" s="61" t="str">
        <f t="shared" si="6"/>
        <v>2024</v>
      </c>
      <c r="J1957" s="62">
        <f t="shared" si="7"/>
        <v>5</v>
      </c>
      <c r="K1957" s="61" t="str">
        <f t="shared" si="8"/>
        <v>2024-Q2</v>
      </c>
      <c r="L1957" s="63" t="str">
        <f t="shared" si="9"/>
        <v>2024-05</v>
      </c>
      <c r="M1957" s="64" t="str">
        <f t="shared" si="10"/>
        <v>2024-H1</v>
      </c>
      <c r="N1957" s="65" t="s">
        <v>80</v>
      </c>
    </row>
    <row r="1958">
      <c r="I1958" s="61" t="str">
        <f t="shared" si="6"/>
        <v>2024</v>
      </c>
      <c r="J1958" s="62">
        <f t="shared" si="7"/>
        <v>5</v>
      </c>
      <c r="K1958" s="61" t="str">
        <f t="shared" si="8"/>
        <v>2024-Q2</v>
      </c>
      <c r="L1958" s="63" t="str">
        <f t="shared" si="9"/>
        <v>2024-05</v>
      </c>
      <c r="M1958" s="64" t="str">
        <f t="shared" si="10"/>
        <v>2024-H1</v>
      </c>
      <c r="N1958" s="65" t="s">
        <v>80</v>
      </c>
    </row>
    <row r="1959">
      <c r="I1959" s="61" t="str">
        <f t="shared" si="6"/>
        <v>2024</v>
      </c>
      <c r="J1959" s="62">
        <f t="shared" si="7"/>
        <v>5</v>
      </c>
      <c r="K1959" s="61" t="str">
        <f t="shared" si="8"/>
        <v>2024-Q2</v>
      </c>
      <c r="L1959" s="63" t="str">
        <f t="shared" si="9"/>
        <v>2024-05</v>
      </c>
      <c r="M1959" s="64" t="str">
        <f t="shared" si="10"/>
        <v>2024-H1</v>
      </c>
      <c r="N1959" s="65" t="s">
        <v>80</v>
      </c>
    </row>
    <row r="1960">
      <c r="I1960" s="61" t="str">
        <f t="shared" si="6"/>
        <v>2024</v>
      </c>
      <c r="J1960" s="62">
        <f t="shared" si="7"/>
        <v>5</v>
      </c>
      <c r="K1960" s="61" t="str">
        <f t="shared" si="8"/>
        <v>2024-Q2</v>
      </c>
      <c r="L1960" s="63" t="str">
        <f t="shared" si="9"/>
        <v>2024-05</v>
      </c>
      <c r="M1960" s="64" t="str">
        <f t="shared" si="10"/>
        <v>2024-H1</v>
      </c>
      <c r="N1960" s="65" t="s">
        <v>80</v>
      </c>
    </row>
    <row r="1961">
      <c r="I1961" s="61" t="str">
        <f t="shared" si="6"/>
        <v>2024</v>
      </c>
      <c r="J1961" s="62">
        <f t="shared" si="7"/>
        <v>5</v>
      </c>
      <c r="K1961" s="61" t="str">
        <f t="shared" si="8"/>
        <v>2024-Q2</v>
      </c>
      <c r="L1961" s="63" t="str">
        <f t="shared" si="9"/>
        <v>2024-05</v>
      </c>
      <c r="M1961" s="64" t="str">
        <f t="shared" si="10"/>
        <v>2024-H1</v>
      </c>
      <c r="N1961" s="65" t="s">
        <v>80</v>
      </c>
    </row>
    <row r="1962">
      <c r="I1962" s="61" t="str">
        <f t="shared" si="6"/>
        <v>2024</v>
      </c>
      <c r="J1962" s="62">
        <f t="shared" si="7"/>
        <v>5</v>
      </c>
      <c r="K1962" s="61" t="str">
        <f t="shared" si="8"/>
        <v>2024-Q2</v>
      </c>
      <c r="L1962" s="63" t="str">
        <f t="shared" si="9"/>
        <v>2024-05</v>
      </c>
      <c r="M1962" s="64" t="str">
        <f t="shared" si="10"/>
        <v>2024-H1</v>
      </c>
      <c r="N1962" s="65" t="s">
        <v>80</v>
      </c>
    </row>
    <row r="1963">
      <c r="I1963" s="61" t="str">
        <f t="shared" si="6"/>
        <v>2024</v>
      </c>
      <c r="J1963" s="62">
        <f t="shared" si="7"/>
        <v>5</v>
      </c>
      <c r="K1963" s="61" t="str">
        <f t="shared" si="8"/>
        <v>2024-Q2</v>
      </c>
      <c r="L1963" s="63" t="str">
        <f t="shared" si="9"/>
        <v>2024-05</v>
      </c>
      <c r="M1963" s="64" t="str">
        <f t="shared" si="10"/>
        <v>2024-H1</v>
      </c>
      <c r="N1963" s="65" t="s">
        <v>80</v>
      </c>
    </row>
    <row r="1964">
      <c r="I1964" s="61" t="str">
        <f t="shared" si="6"/>
        <v>2024</v>
      </c>
      <c r="J1964" s="62">
        <f t="shared" si="7"/>
        <v>5</v>
      </c>
      <c r="K1964" s="61" t="str">
        <f t="shared" si="8"/>
        <v>2024-Q2</v>
      </c>
      <c r="L1964" s="63" t="str">
        <f t="shared" si="9"/>
        <v>2024-05</v>
      </c>
      <c r="M1964" s="64" t="str">
        <f t="shared" si="10"/>
        <v>2024-H1</v>
      </c>
      <c r="N1964" s="65" t="s">
        <v>80</v>
      </c>
    </row>
    <row r="1965">
      <c r="I1965" s="61" t="str">
        <f t="shared" si="6"/>
        <v>2024</v>
      </c>
      <c r="J1965" s="62">
        <f t="shared" si="7"/>
        <v>5</v>
      </c>
      <c r="K1965" s="61" t="str">
        <f t="shared" si="8"/>
        <v>2024-Q2</v>
      </c>
      <c r="L1965" s="63" t="str">
        <f t="shared" si="9"/>
        <v>2024-05</v>
      </c>
      <c r="M1965" s="64" t="str">
        <f t="shared" si="10"/>
        <v>2024-H1</v>
      </c>
      <c r="N1965" s="65" t="s">
        <v>80</v>
      </c>
    </row>
    <row r="1966">
      <c r="I1966" s="61" t="str">
        <f t="shared" si="6"/>
        <v>2024</v>
      </c>
      <c r="J1966" s="62">
        <f t="shared" si="7"/>
        <v>5</v>
      </c>
      <c r="K1966" s="61" t="str">
        <f t="shared" si="8"/>
        <v>2024-Q2</v>
      </c>
      <c r="L1966" s="63" t="str">
        <f t="shared" si="9"/>
        <v>2024-05</v>
      </c>
      <c r="M1966" s="64" t="str">
        <f t="shared" si="10"/>
        <v>2024-H1</v>
      </c>
      <c r="N1966" s="65" t="s">
        <v>80</v>
      </c>
    </row>
    <row r="1967">
      <c r="I1967" s="61" t="str">
        <f t="shared" si="6"/>
        <v>2024</v>
      </c>
      <c r="J1967" s="62">
        <f t="shared" si="7"/>
        <v>5</v>
      </c>
      <c r="K1967" s="61" t="str">
        <f t="shared" si="8"/>
        <v>2024-Q2</v>
      </c>
      <c r="L1967" s="63" t="str">
        <f t="shared" si="9"/>
        <v>2024-05</v>
      </c>
      <c r="M1967" s="64" t="str">
        <f t="shared" si="10"/>
        <v>2024-H1</v>
      </c>
      <c r="N1967" s="65" t="s">
        <v>80</v>
      </c>
    </row>
    <row r="1968">
      <c r="I1968" s="61" t="str">
        <f t="shared" si="6"/>
        <v>2024</v>
      </c>
      <c r="J1968" s="62">
        <f t="shared" si="7"/>
        <v>5</v>
      </c>
      <c r="K1968" s="61" t="str">
        <f t="shared" si="8"/>
        <v>2024-Q2</v>
      </c>
      <c r="L1968" s="63" t="str">
        <f t="shared" si="9"/>
        <v>2024-05</v>
      </c>
      <c r="M1968" s="64" t="str">
        <f t="shared" si="10"/>
        <v>2024-H1</v>
      </c>
      <c r="N1968" s="65" t="s">
        <v>80</v>
      </c>
    </row>
    <row r="1969">
      <c r="I1969" s="61" t="str">
        <f t="shared" si="6"/>
        <v>2024</v>
      </c>
      <c r="J1969" s="62">
        <f t="shared" si="7"/>
        <v>5</v>
      </c>
      <c r="K1969" s="61" t="str">
        <f t="shared" si="8"/>
        <v>2024-Q2</v>
      </c>
      <c r="L1969" s="63" t="str">
        <f t="shared" si="9"/>
        <v>2024-05</v>
      </c>
      <c r="M1969" s="64" t="str">
        <f t="shared" si="10"/>
        <v>2024-H1</v>
      </c>
      <c r="N1969" s="65" t="s">
        <v>80</v>
      </c>
    </row>
    <row r="1970">
      <c r="I1970" s="61" t="str">
        <f t="shared" si="6"/>
        <v>2024</v>
      </c>
      <c r="J1970" s="62">
        <f t="shared" si="7"/>
        <v>5</v>
      </c>
      <c r="K1970" s="61" t="str">
        <f t="shared" si="8"/>
        <v>2024-Q2</v>
      </c>
      <c r="L1970" s="63" t="str">
        <f t="shared" si="9"/>
        <v>2024-05</v>
      </c>
      <c r="M1970" s="64" t="str">
        <f t="shared" si="10"/>
        <v>2024-H1</v>
      </c>
      <c r="N1970" s="65" t="s">
        <v>80</v>
      </c>
    </row>
    <row r="1971">
      <c r="I1971" s="61" t="str">
        <f t="shared" si="6"/>
        <v>2024</v>
      </c>
      <c r="J1971" s="62">
        <f t="shared" si="7"/>
        <v>5</v>
      </c>
      <c r="K1971" s="61" t="str">
        <f t="shared" si="8"/>
        <v>2024-Q2</v>
      </c>
      <c r="L1971" s="63" t="str">
        <f t="shared" si="9"/>
        <v>2024-05</v>
      </c>
      <c r="M1971" s="64" t="str">
        <f t="shared" si="10"/>
        <v>2024-H1</v>
      </c>
      <c r="N1971" s="65" t="s">
        <v>80</v>
      </c>
    </row>
    <row r="1972">
      <c r="I1972" s="61" t="str">
        <f t="shared" si="6"/>
        <v>2024</v>
      </c>
      <c r="J1972" s="62">
        <f t="shared" si="7"/>
        <v>5</v>
      </c>
      <c r="K1972" s="61" t="str">
        <f t="shared" si="8"/>
        <v>2024-Q2</v>
      </c>
      <c r="L1972" s="63" t="str">
        <f t="shared" si="9"/>
        <v>2024-05</v>
      </c>
      <c r="M1972" s="64" t="str">
        <f t="shared" si="10"/>
        <v>2024-H1</v>
      </c>
      <c r="N1972" s="65" t="s">
        <v>80</v>
      </c>
    </row>
    <row r="1973">
      <c r="I1973" s="61" t="str">
        <f t="shared" si="6"/>
        <v>2024</v>
      </c>
      <c r="J1973" s="62">
        <f t="shared" si="7"/>
        <v>5</v>
      </c>
      <c r="K1973" s="61" t="str">
        <f t="shared" si="8"/>
        <v>2024-Q2</v>
      </c>
      <c r="L1973" s="63" t="str">
        <f t="shared" si="9"/>
        <v>2024-05</v>
      </c>
      <c r="M1973" s="64" t="str">
        <f t="shared" si="10"/>
        <v>2024-H1</v>
      </c>
      <c r="N1973" s="65" t="s">
        <v>80</v>
      </c>
    </row>
    <row r="1974">
      <c r="I1974" s="61" t="str">
        <f t="shared" si="6"/>
        <v>2024</v>
      </c>
      <c r="J1974" s="62">
        <f t="shared" si="7"/>
        <v>5</v>
      </c>
      <c r="K1974" s="61" t="str">
        <f t="shared" si="8"/>
        <v>2024-Q2</v>
      </c>
      <c r="L1974" s="63" t="str">
        <f t="shared" si="9"/>
        <v>2024-05</v>
      </c>
      <c r="M1974" s="64" t="str">
        <f t="shared" si="10"/>
        <v>2024-H1</v>
      </c>
      <c r="N1974" s="65" t="s">
        <v>80</v>
      </c>
    </row>
    <row r="1975">
      <c r="I1975" s="61" t="str">
        <f t="shared" si="6"/>
        <v>2024</v>
      </c>
      <c r="J1975" s="62">
        <f t="shared" si="7"/>
        <v>5</v>
      </c>
      <c r="K1975" s="61" t="str">
        <f t="shared" si="8"/>
        <v>2024-Q2</v>
      </c>
      <c r="L1975" s="63" t="str">
        <f t="shared" si="9"/>
        <v>2024-05</v>
      </c>
      <c r="M1975" s="64" t="str">
        <f t="shared" si="10"/>
        <v>2024-H1</v>
      </c>
      <c r="N1975" s="65" t="s">
        <v>80</v>
      </c>
    </row>
    <row r="1976">
      <c r="I1976" s="61" t="str">
        <f t="shared" si="6"/>
        <v>2024</v>
      </c>
      <c r="J1976" s="62">
        <f t="shared" si="7"/>
        <v>5</v>
      </c>
      <c r="K1976" s="61" t="str">
        <f t="shared" si="8"/>
        <v>2024-Q2</v>
      </c>
      <c r="L1976" s="63" t="str">
        <f t="shared" si="9"/>
        <v>2024-05</v>
      </c>
      <c r="M1976" s="64" t="str">
        <f t="shared" si="10"/>
        <v>2024-H1</v>
      </c>
      <c r="N1976" s="65" t="s">
        <v>80</v>
      </c>
    </row>
    <row r="1977">
      <c r="I1977" s="61" t="str">
        <f t="shared" si="6"/>
        <v>2024</v>
      </c>
      <c r="J1977" s="62">
        <f t="shared" si="7"/>
        <v>5</v>
      </c>
      <c r="K1977" s="61" t="str">
        <f t="shared" si="8"/>
        <v>2024-Q2</v>
      </c>
      <c r="L1977" s="63" t="str">
        <f t="shared" si="9"/>
        <v>2024-05</v>
      </c>
      <c r="M1977" s="64" t="str">
        <f t="shared" si="10"/>
        <v>2024-H1</v>
      </c>
      <c r="N1977" s="65" t="s">
        <v>80</v>
      </c>
    </row>
    <row r="1978">
      <c r="I1978" s="61" t="str">
        <f t="shared" si="6"/>
        <v>2024</v>
      </c>
      <c r="J1978" s="62">
        <f t="shared" si="7"/>
        <v>5</v>
      </c>
      <c r="K1978" s="61" t="str">
        <f t="shared" si="8"/>
        <v>2024-Q2</v>
      </c>
      <c r="L1978" s="63" t="str">
        <f t="shared" si="9"/>
        <v>2024-05</v>
      </c>
      <c r="M1978" s="64" t="str">
        <f t="shared" si="10"/>
        <v>2024-H1</v>
      </c>
      <c r="N1978" s="65" t="s">
        <v>80</v>
      </c>
    </row>
    <row r="1979">
      <c r="I1979" s="61" t="str">
        <f t="shared" si="6"/>
        <v>2024</v>
      </c>
      <c r="J1979" s="62">
        <f t="shared" si="7"/>
        <v>5</v>
      </c>
      <c r="K1979" s="61" t="str">
        <f t="shared" si="8"/>
        <v>2024-Q2</v>
      </c>
      <c r="L1979" s="63" t="str">
        <f t="shared" si="9"/>
        <v>2024-05</v>
      </c>
      <c r="M1979" s="64" t="str">
        <f t="shared" si="10"/>
        <v>2024-H1</v>
      </c>
      <c r="N1979" s="65" t="s">
        <v>80</v>
      </c>
    </row>
    <row r="1980">
      <c r="I1980" s="61" t="str">
        <f t="shared" si="6"/>
        <v>2024</v>
      </c>
      <c r="J1980" s="62">
        <f t="shared" si="7"/>
        <v>5</v>
      </c>
      <c r="K1980" s="61" t="str">
        <f t="shared" si="8"/>
        <v>2024-Q2</v>
      </c>
      <c r="L1980" s="63" t="str">
        <f t="shared" si="9"/>
        <v>2024-05</v>
      </c>
      <c r="M1980" s="64" t="str">
        <f t="shared" si="10"/>
        <v>2024-H1</v>
      </c>
      <c r="N1980" s="65" t="s">
        <v>80</v>
      </c>
    </row>
    <row r="1981">
      <c r="I1981" s="61" t="str">
        <f t="shared" si="6"/>
        <v>2024</v>
      </c>
      <c r="J1981" s="62">
        <f t="shared" si="7"/>
        <v>5</v>
      </c>
      <c r="K1981" s="61" t="str">
        <f t="shared" si="8"/>
        <v>2024-Q2</v>
      </c>
      <c r="L1981" s="63" t="str">
        <f t="shared" si="9"/>
        <v>2024-05</v>
      </c>
      <c r="M1981" s="64" t="str">
        <f t="shared" si="10"/>
        <v>2024-H1</v>
      </c>
      <c r="N1981" s="65" t="s">
        <v>80</v>
      </c>
    </row>
    <row r="1982">
      <c r="I1982" s="61" t="str">
        <f t="shared" si="6"/>
        <v>2024</v>
      </c>
      <c r="J1982" s="62">
        <f t="shared" si="7"/>
        <v>5</v>
      </c>
      <c r="K1982" s="61" t="str">
        <f t="shared" si="8"/>
        <v>2024-Q2</v>
      </c>
      <c r="L1982" s="63" t="str">
        <f t="shared" si="9"/>
        <v>2024-05</v>
      </c>
      <c r="M1982" s="64" t="str">
        <f t="shared" si="10"/>
        <v>2024-H1</v>
      </c>
      <c r="N1982" s="65" t="s">
        <v>80</v>
      </c>
    </row>
    <row r="1983">
      <c r="I1983" s="61" t="str">
        <f t="shared" si="6"/>
        <v>2024</v>
      </c>
      <c r="J1983" s="62">
        <f t="shared" si="7"/>
        <v>5</v>
      </c>
      <c r="K1983" s="61" t="str">
        <f t="shared" si="8"/>
        <v>2024-Q2</v>
      </c>
      <c r="L1983" s="63" t="str">
        <f t="shared" si="9"/>
        <v>2024-05</v>
      </c>
      <c r="M1983" s="64" t="str">
        <f t="shared" si="10"/>
        <v>2024-H1</v>
      </c>
      <c r="N1983" s="65" t="s">
        <v>80</v>
      </c>
    </row>
    <row r="1984">
      <c r="I1984" s="61" t="str">
        <f t="shared" si="6"/>
        <v>2024</v>
      </c>
      <c r="J1984" s="62">
        <f t="shared" si="7"/>
        <v>5</v>
      </c>
      <c r="K1984" s="61" t="str">
        <f t="shared" si="8"/>
        <v>2024-Q2</v>
      </c>
      <c r="L1984" s="63" t="str">
        <f t="shared" si="9"/>
        <v>2024-05</v>
      </c>
      <c r="M1984" s="64" t="str">
        <f t="shared" si="10"/>
        <v>2024-H1</v>
      </c>
      <c r="N1984" s="65" t="s">
        <v>80</v>
      </c>
    </row>
    <row r="1985">
      <c r="I1985" s="61" t="str">
        <f t="shared" si="6"/>
        <v>2024</v>
      </c>
      <c r="J1985" s="62">
        <f t="shared" si="7"/>
        <v>5</v>
      </c>
      <c r="K1985" s="61" t="str">
        <f t="shared" si="8"/>
        <v>2024-Q2</v>
      </c>
      <c r="L1985" s="63" t="str">
        <f t="shared" si="9"/>
        <v>2024-05</v>
      </c>
      <c r="M1985" s="64" t="str">
        <f t="shared" si="10"/>
        <v>2024-H1</v>
      </c>
      <c r="N1985" s="65" t="s">
        <v>80</v>
      </c>
    </row>
    <row r="1986">
      <c r="I1986" s="61" t="str">
        <f t="shared" si="6"/>
        <v>2024</v>
      </c>
      <c r="J1986" s="62">
        <f t="shared" si="7"/>
        <v>5</v>
      </c>
      <c r="K1986" s="61" t="str">
        <f t="shared" si="8"/>
        <v>2024-Q2</v>
      </c>
      <c r="L1986" s="63" t="str">
        <f t="shared" si="9"/>
        <v>2024-05</v>
      </c>
      <c r="M1986" s="64" t="str">
        <f t="shared" si="10"/>
        <v>2024-H1</v>
      </c>
      <c r="N1986" s="65" t="s">
        <v>80</v>
      </c>
    </row>
    <row r="1987">
      <c r="I1987" s="61" t="str">
        <f t="shared" si="6"/>
        <v>2024</v>
      </c>
      <c r="J1987" s="62">
        <f t="shared" si="7"/>
        <v>5</v>
      </c>
      <c r="K1987" s="61" t="str">
        <f t="shared" si="8"/>
        <v>2024-Q2</v>
      </c>
      <c r="L1987" s="63" t="str">
        <f t="shared" si="9"/>
        <v>2024-05</v>
      </c>
      <c r="M1987" s="64" t="str">
        <f t="shared" si="10"/>
        <v>2024-H1</v>
      </c>
      <c r="N1987" s="65" t="s">
        <v>80</v>
      </c>
    </row>
    <row r="1988">
      <c r="I1988" s="61" t="str">
        <f t="shared" si="6"/>
        <v>2024</v>
      </c>
      <c r="J1988" s="62">
        <f t="shared" si="7"/>
        <v>5</v>
      </c>
      <c r="K1988" s="61" t="str">
        <f t="shared" si="8"/>
        <v>2024-Q2</v>
      </c>
      <c r="L1988" s="63" t="str">
        <f t="shared" si="9"/>
        <v>2024-05</v>
      </c>
      <c r="M1988" s="64" t="str">
        <f t="shared" si="10"/>
        <v>2024-H1</v>
      </c>
      <c r="N1988" s="65" t="s">
        <v>80</v>
      </c>
    </row>
    <row r="1989">
      <c r="I1989" s="61" t="str">
        <f t="shared" si="6"/>
        <v>2024</v>
      </c>
      <c r="J1989" s="62">
        <f t="shared" si="7"/>
        <v>5</v>
      </c>
      <c r="K1989" s="61" t="str">
        <f t="shared" si="8"/>
        <v>2024-Q2</v>
      </c>
      <c r="L1989" s="63" t="str">
        <f t="shared" si="9"/>
        <v>2024-05</v>
      </c>
      <c r="M1989" s="64" t="str">
        <f t="shared" si="10"/>
        <v>2024-H1</v>
      </c>
      <c r="N1989" s="65" t="s">
        <v>80</v>
      </c>
    </row>
    <row r="1990">
      <c r="I1990" s="61" t="str">
        <f t="shared" si="6"/>
        <v>2024</v>
      </c>
      <c r="J1990" s="62">
        <f t="shared" si="7"/>
        <v>5</v>
      </c>
      <c r="K1990" s="61" t="str">
        <f t="shared" si="8"/>
        <v>2024-Q2</v>
      </c>
      <c r="L1990" s="63" t="str">
        <f t="shared" si="9"/>
        <v>2024-05</v>
      </c>
      <c r="M1990" s="64" t="str">
        <f t="shared" si="10"/>
        <v>2024-H1</v>
      </c>
      <c r="N1990" s="65" t="s">
        <v>80</v>
      </c>
    </row>
    <row r="1991">
      <c r="I1991" s="61" t="str">
        <f t="shared" si="6"/>
        <v>2024</v>
      </c>
      <c r="J1991" s="62">
        <f t="shared" si="7"/>
        <v>5</v>
      </c>
      <c r="K1991" s="61" t="str">
        <f t="shared" si="8"/>
        <v>2024-Q2</v>
      </c>
      <c r="L1991" s="63" t="str">
        <f t="shared" si="9"/>
        <v>2024-05</v>
      </c>
      <c r="M1991" s="64" t="str">
        <f t="shared" si="10"/>
        <v>2024-H1</v>
      </c>
      <c r="N1991" s="65" t="s">
        <v>80</v>
      </c>
    </row>
    <row r="1992">
      <c r="I1992" s="61" t="str">
        <f t="shared" si="6"/>
        <v>2024</v>
      </c>
      <c r="J1992" s="62">
        <f t="shared" si="7"/>
        <v>5</v>
      </c>
      <c r="K1992" s="61" t="str">
        <f t="shared" si="8"/>
        <v>2024-Q2</v>
      </c>
      <c r="L1992" s="63" t="str">
        <f t="shared" si="9"/>
        <v>2024-05</v>
      </c>
      <c r="M1992" s="64" t="str">
        <f t="shared" si="10"/>
        <v>2024-H1</v>
      </c>
      <c r="N1992" s="65" t="s">
        <v>80</v>
      </c>
    </row>
    <row r="1993">
      <c r="I1993" s="61" t="str">
        <f t="shared" si="6"/>
        <v>2024</v>
      </c>
      <c r="J1993" s="62">
        <f t="shared" si="7"/>
        <v>5</v>
      </c>
      <c r="K1993" s="61" t="str">
        <f t="shared" si="8"/>
        <v>2024-Q2</v>
      </c>
      <c r="L1993" s="63" t="str">
        <f t="shared" si="9"/>
        <v>2024-05</v>
      </c>
      <c r="M1993" s="64" t="str">
        <f t="shared" si="10"/>
        <v>2024-H1</v>
      </c>
      <c r="N1993" s="65" t="s">
        <v>80</v>
      </c>
    </row>
    <row r="1994">
      <c r="I1994" s="61" t="str">
        <f t="shared" si="6"/>
        <v>2024</v>
      </c>
      <c r="J1994" s="62">
        <f t="shared" si="7"/>
        <v>5</v>
      </c>
      <c r="K1994" s="61" t="str">
        <f t="shared" si="8"/>
        <v>2024-Q2</v>
      </c>
      <c r="L1994" s="63" t="str">
        <f t="shared" si="9"/>
        <v>2024-05</v>
      </c>
      <c r="M1994" s="64" t="str">
        <f t="shared" si="10"/>
        <v>2024-H1</v>
      </c>
      <c r="N1994" s="65" t="s">
        <v>80</v>
      </c>
    </row>
    <row r="1995">
      <c r="I1995" s="61" t="str">
        <f t="shared" si="6"/>
        <v>2024</v>
      </c>
      <c r="J1995" s="62">
        <f t="shared" si="7"/>
        <v>5</v>
      </c>
      <c r="K1995" s="61" t="str">
        <f t="shared" si="8"/>
        <v>2024-Q2</v>
      </c>
      <c r="L1995" s="63" t="str">
        <f t="shared" si="9"/>
        <v>2024-05</v>
      </c>
      <c r="M1995" s="64" t="str">
        <f t="shared" si="10"/>
        <v>2024-H1</v>
      </c>
      <c r="N1995" s="65" t="s">
        <v>80</v>
      </c>
    </row>
    <row r="1996">
      <c r="I1996" s="61" t="str">
        <f t="shared" si="6"/>
        <v>2024</v>
      </c>
      <c r="J1996" s="62">
        <f t="shared" si="7"/>
        <v>5</v>
      </c>
      <c r="K1996" s="61" t="str">
        <f t="shared" si="8"/>
        <v>2024-Q2</v>
      </c>
      <c r="L1996" s="63" t="str">
        <f t="shared" si="9"/>
        <v>2024-05</v>
      </c>
      <c r="M1996" s="64" t="str">
        <f t="shared" si="10"/>
        <v>2024-H1</v>
      </c>
      <c r="N1996" s="65" t="s">
        <v>80</v>
      </c>
    </row>
    <row r="1997">
      <c r="I1997" s="61" t="str">
        <f t="shared" si="6"/>
        <v>2024</v>
      </c>
      <c r="J1997" s="62">
        <f t="shared" si="7"/>
        <v>5</v>
      </c>
      <c r="K1997" s="61" t="str">
        <f t="shared" si="8"/>
        <v>2024-Q2</v>
      </c>
      <c r="L1997" s="63" t="str">
        <f t="shared" si="9"/>
        <v>2024-05</v>
      </c>
      <c r="M1997" s="64" t="str">
        <f t="shared" si="10"/>
        <v>2024-H1</v>
      </c>
      <c r="N1997" s="65" t="s">
        <v>80</v>
      </c>
    </row>
    <row r="1998">
      <c r="I1998" s="61" t="str">
        <f t="shared" si="6"/>
        <v>2024</v>
      </c>
      <c r="J1998" s="62">
        <f t="shared" si="7"/>
        <v>5</v>
      </c>
      <c r="K1998" s="61" t="str">
        <f t="shared" si="8"/>
        <v>2024-Q2</v>
      </c>
      <c r="L1998" s="63" t="str">
        <f t="shared" si="9"/>
        <v>2024-05</v>
      </c>
      <c r="M1998" s="64" t="str">
        <f t="shared" si="10"/>
        <v>2024-H1</v>
      </c>
      <c r="N1998" s="65" t="s">
        <v>80</v>
      </c>
    </row>
    <row r="1999">
      <c r="I1999" s="61" t="str">
        <f t="shared" si="6"/>
        <v>2024</v>
      </c>
      <c r="J1999" s="62">
        <f t="shared" si="7"/>
        <v>5</v>
      </c>
      <c r="K1999" s="61" t="str">
        <f t="shared" si="8"/>
        <v>2024-Q2</v>
      </c>
      <c r="L1999" s="63" t="str">
        <f t="shared" si="9"/>
        <v>2024-05</v>
      </c>
      <c r="M1999" s="64" t="str">
        <f t="shared" si="10"/>
        <v>2024-H1</v>
      </c>
      <c r="N1999" s="65" t="s">
        <v>80</v>
      </c>
    </row>
    <row r="2000">
      <c r="I2000" s="61" t="str">
        <f t="shared" si="6"/>
        <v>2024</v>
      </c>
      <c r="J2000" s="62">
        <f t="shared" si="7"/>
        <v>5</v>
      </c>
      <c r="K2000" s="61" t="str">
        <f t="shared" si="8"/>
        <v>2024-Q2</v>
      </c>
      <c r="L2000" s="63" t="str">
        <f t="shared" si="9"/>
        <v>2024-05</v>
      </c>
      <c r="M2000" s="64" t="str">
        <f t="shared" si="10"/>
        <v>2024-H1</v>
      </c>
      <c r="N2000" s="65" t="s">
        <v>80</v>
      </c>
    </row>
    <row r="2001">
      <c r="I2001" s="61" t="str">
        <f t="shared" si="6"/>
        <v>2024</v>
      </c>
      <c r="J2001" s="62">
        <f t="shared" si="7"/>
        <v>5</v>
      </c>
      <c r="K2001" s="61" t="str">
        <f t="shared" si="8"/>
        <v>2024-Q2</v>
      </c>
      <c r="L2001" s="63" t="str">
        <f t="shared" si="9"/>
        <v>2024-05</v>
      </c>
      <c r="M2001" s="64" t="str">
        <f t="shared" si="10"/>
        <v>2024-H1</v>
      </c>
      <c r="N2001" s="65" t="s">
        <v>80</v>
      </c>
    </row>
    <row r="2002">
      <c r="I2002" s="61" t="str">
        <f t="shared" si="6"/>
        <v>2024</v>
      </c>
      <c r="J2002" s="62">
        <f t="shared" si="7"/>
        <v>5</v>
      </c>
      <c r="K2002" s="61" t="str">
        <f t="shared" si="8"/>
        <v>2024-Q2</v>
      </c>
      <c r="L2002" s="63" t="str">
        <f t="shared" si="9"/>
        <v>2024-05</v>
      </c>
      <c r="M2002" s="64" t="str">
        <f t="shared" si="10"/>
        <v>2024-H1</v>
      </c>
      <c r="N2002" s="65" t="s">
        <v>80</v>
      </c>
    </row>
    <row r="2003">
      <c r="I2003" s="61" t="str">
        <f t="shared" si="6"/>
        <v>2024</v>
      </c>
      <c r="J2003" s="62">
        <f t="shared" si="7"/>
        <v>5</v>
      </c>
      <c r="K2003" s="61" t="str">
        <f t="shared" si="8"/>
        <v>2024-Q2</v>
      </c>
      <c r="L2003" s="63" t="str">
        <f t="shared" si="9"/>
        <v>2024-05</v>
      </c>
      <c r="M2003" s="64" t="str">
        <f t="shared" si="10"/>
        <v>2024-H1</v>
      </c>
      <c r="N2003" s="65" t="s">
        <v>80</v>
      </c>
    </row>
    <row r="2004">
      <c r="I2004" s="61" t="str">
        <f t="shared" si="6"/>
        <v>2024</v>
      </c>
      <c r="J2004" s="62">
        <f t="shared" si="7"/>
        <v>5</v>
      </c>
      <c r="K2004" s="61" t="str">
        <f t="shared" si="8"/>
        <v>2024-Q2</v>
      </c>
      <c r="L2004" s="63" t="str">
        <f t="shared" si="9"/>
        <v>2024-05</v>
      </c>
      <c r="M2004" s="64" t="str">
        <f t="shared" si="10"/>
        <v>2024-H1</v>
      </c>
      <c r="N2004" s="65" t="s">
        <v>80</v>
      </c>
    </row>
    <row r="2005">
      <c r="I2005" s="61" t="str">
        <f t="shared" si="6"/>
        <v>2024</v>
      </c>
      <c r="J2005" s="62">
        <f t="shared" si="7"/>
        <v>5</v>
      </c>
      <c r="K2005" s="61" t="str">
        <f t="shared" si="8"/>
        <v>2024-Q2</v>
      </c>
      <c r="L2005" s="63" t="str">
        <f t="shared" si="9"/>
        <v>2024-05</v>
      </c>
      <c r="M2005" s="64" t="str">
        <f t="shared" si="10"/>
        <v>2024-H1</v>
      </c>
      <c r="N2005" s="65" t="s">
        <v>80</v>
      </c>
    </row>
    <row r="2006">
      <c r="I2006" s="61" t="str">
        <f t="shared" si="6"/>
        <v>2024</v>
      </c>
      <c r="J2006" s="62">
        <f t="shared" si="7"/>
        <v>5</v>
      </c>
      <c r="K2006" s="61" t="str">
        <f t="shared" si="8"/>
        <v>2024-Q2</v>
      </c>
      <c r="L2006" s="63" t="str">
        <f t="shared" si="9"/>
        <v>2024-05</v>
      </c>
      <c r="M2006" s="64" t="str">
        <f t="shared" si="10"/>
        <v>2024-H1</v>
      </c>
      <c r="N2006" s="65" t="s">
        <v>80</v>
      </c>
    </row>
    <row r="2007">
      <c r="I2007" s="61" t="str">
        <f t="shared" si="6"/>
        <v>2024</v>
      </c>
      <c r="J2007" s="62">
        <f t="shared" si="7"/>
        <v>5</v>
      </c>
      <c r="K2007" s="61" t="str">
        <f t="shared" si="8"/>
        <v>2024-Q2</v>
      </c>
      <c r="L2007" s="63" t="str">
        <f t="shared" si="9"/>
        <v>2024-05</v>
      </c>
      <c r="M2007" s="64" t="str">
        <f t="shared" si="10"/>
        <v>2024-H1</v>
      </c>
      <c r="N2007" s="65" t="s">
        <v>80</v>
      </c>
    </row>
    <row r="2008">
      <c r="I2008" s="61" t="str">
        <f t="shared" si="6"/>
        <v>2024</v>
      </c>
      <c r="J2008" s="62">
        <f t="shared" si="7"/>
        <v>5</v>
      </c>
      <c r="K2008" s="61" t="str">
        <f t="shared" si="8"/>
        <v>2024-Q2</v>
      </c>
      <c r="L2008" s="63" t="str">
        <f t="shared" si="9"/>
        <v>2024-05</v>
      </c>
      <c r="M2008" s="64" t="str">
        <f t="shared" si="10"/>
        <v>2024-H1</v>
      </c>
      <c r="N2008" s="65" t="s">
        <v>80</v>
      </c>
    </row>
    <row r="2009">
      <c r="I2009" s="61" t="str">
        <f t="shared" si="6"/>
        <v>2024</v>
      </c>
      <c r="J2009" s="62">
        <f t="shared" si="7"/>
        <v>5</v>
      </c>
      <c r="K2009" s="61" t="str">
        <f t="shared" si="8"/>
        <v>2024-Q2</v>
      </c>
      <c r="L2009" s="63" t="str">
        <f t="shared" si="9"/>
        <v>2024-05</v>
      </c>
      <c r="M2009" s="64" t="str">
        <f t="shared" si="10"/>
        <v>2024-H1</v>
      </c>
      <c r="N2009" s="65" t="s">
        <v>80</v>
      </c>
    </row>
    <row r="2010">
      <c r="I2010" s="61" t="str">
        <f t="shared" si="6"/>
        <v>2024</v>
      </c>
      <c r="J2010" s="62">
        <f t="shared" si="7"/>
        <v>5</v>
      </c>
      <c r="K2010" s="61" t="str">
        <f t="shared" si="8"/>
        <v>2024-Q2</v>
      </c>
      <c r="L2010" s="63" t="str">
        <f t="shared" si="9"/>
        <v>2024-05</v>
      </c>
      <c r="M2010" s="64" t="str">
        <f t="shared" si="10"/>
        <v>2024-H1</v>
      </c>
      <c r="N2010" s="65" t="s">
        <v>80</v>
      </c>
    </row>
    <row r="2011">
      <c r="I2011" s="61" t="str">
        <f t="shared" si="6"/>
        <v>2024</v>
      </c>
      <c r="J2011" s="62">
        <f t="shared" si="7"/>
        <v>5</v>
      </c>
      <c r="K2011" s="61" t="str">
        <f t="shared" si="8"/>
        <v>2024-Q2</v>
      </c>
      <c r="L2011" s="63" t="str">
        <f t="shared" si="9"/>
        <v>2024-05</v>
      </c>
      <c r="M2011" s="64" t="str">
        <f t="shared" si="10"/>
        <v>2024-H1</v>
      </c>
      <c r="N2011" s="65" t="s">
        <v>80</v>
      </c>
    </row>
    <row r="2012">
      <c r="I2012" s="61" t="str">
        <f t="shared" si="6"/>
        <v>2024</v>
      </c>
      <c r="J2012" s="62">
        <f t="shared" si="7"/>
        <v>5</v>
      </c>
      <c r="K2012" s="61" t="str">
        <f t="shared" si="8"/>
        <v>2024-Q2</v>
      </c>
      <c r="L2012" s="63" t="str">
        <f t="shared" si="9"/>
        <v>2024-05</v>
      </c>
      <c r="M2012" s="64" t="str">
        <f t="shared" si="10"/>
        <v>2024-H1</v>
      </c>
      <c r="N2012" s="65" t="s">
        <v>80</v>
      </c>
    </row>
    <row r="2013">
      <c r="I2013" s="61" t="str">
        <f t="shared" si="6"/>
        <v>2024</v>
      </c>
      <c r="J2013" s="62">
        <f t="shared" si="7"/>
        <v>5</v>
      </c>
      <c r="K2013" s="61" t="str">
        <f t="shared" si="8"/>
        <v>2024-Q2</v>
      </c>
      <c r="L2013" s="63" t="str">
        <f t="shared" si="9"/>
        <v>2024-05</v>
      </c>
      <c r="M2013" s="64" t="str">
        <f t="shared" si="10"/>
        <v>2024-H1</v>
      </c>
      <c r="N2013" s="65" t="s">
        <v>80</v>
      </c>
    </row>
    <row r="2014">
      <c r="I2014" s="61" t="str">
        <f t="shared" si="6"/>
        <v>2024</v>
      </c>
      <c r="J2014" s="62">
        <f t="shared" si="7"/>
        <v>5</v>
      </c>
      <c r="K2014" s="61" t="str">
        <f t="shared" si="8"/>
        <v>2024-Q2</v>
      </c>
      <c r="L2014" s="63" t="str">
        <f t="shared" si="9"/>
        <v>2024-05</v>
      </c>
      <c r="M2014" s="64" t="str">
        <f t="shared" si="10"/>
        <v>2024-H1</v>
      </c>
      <c r="N2014" s="65" t="s">
        <v>80</v>
      </c>
    </row>
    <row r="2015">
      <c r="I2015" s="61" t="str">
        <f t="shared" si="6"/>
        <v>2024</v>
      </c>
      <c r="J2015" s="62">
        <f t="shared" si="7"/>
        <v>5</v>
      </c>
      <c r="K2015" s="61" t="str">
        <f t="shared" si="8"/>
        <v>2024-Q2</v>
      </c>
      <c r="L2015" s="63" t="str">
        <f t="shared" si="9"/>
        <v>2024-05</v>
      </c>
      <c r="M2015" s="64" t="str">
        <f t="shared" si="10"/>
        <v>2024-H1</v>
      </c>
      <c r="N2015" s="65" t="s">
        <v>80</v>
      </c>
    </row>
    <row r="2016">
      <c r="I2016" s="61" t="str">
        <f t="shared" si="6"/>
        <v>2024</v>
      </c>
      <c r="J2016" s="62">
        <f t="shared" si="7"/>
        <v>5</v>
      </c>
      <c r="K2016" s="61" t="str">
        <f t="shared" si="8"/>
        <v>2024-Q2</v>
      </c>
      <c r="L2016" s="63" t="str">
        <f t="shared" si="9"/>
        <v>2024-05</v>
      </c>
      <c r="M2016" s="64" t="str">
        <f t="shared" si="10"/>
        <v>2024-H1</v>
      </c>
      <c r="N2016" s="65" t="s">
        <v>80</v>
      </c>
    </row>
    <row r="2017">
      <c r="I2017" s="61" t="str">
        <f t="shared" si="6"/>
        <v>2024</v>
      </c>
      <c r="J2017" s="62">
        <f t="shared" si="7"/>
        <v>5</v>
      </c>
      <c r="K2017" s="61" t="str">
        <f t="shared" si="8"/>
        <v>2024-Q2</v>
      </c>
      <c r="L2017" s="63" t="str">
        <f t="shared" si="9"/>
        <v>2024-05</v>
      </c>
      <c r="M2017" s="64" t="str">
        <f t="shared" si="10"/>
        <v>2024-H1</v>
      </c>
      <c r="N2017" s="65" t="s">
        <v>80</v>
      </c>
    </row>
    <row r="2018">
      <c r="I2018" s="61" t="str">
        <f t="shared" si="6"/>
        <v>2024</v>
      </c>
      <c r="J2018" s="62">
        <f t="shared" si="7"/>
        <v>5</v>
      </c>
      <c r="K2018" s="61" t="str">
        <f t="shared" si="8"/>
        <v>2024-Q2</v>
      </c>
      <c r="L2018" s="63" t="str">
        <f t="shared" si="9"/>
        <v>2024-05</v>
      </c>
      <c r="M2018" s="64" t="str">
        <f t="shared" si="10"/>
        <v>2024-H1</v>
      </c>
      <c r="N2018" s="65" t="s">
        <v>80</v>
      </c>
    </row>
    <row r="2019">
      <c r="I2019" s="61" t="str">
        <f t="shared" si="6"/>
        <v>2024</v>
      </c>
      <c r="J2019" s="62">
        <f t="shared" si="7"/>
        <v>5</v>
      </c>
      <c r="K2019" s="61" t="str">
        <f t="shared" si="8"/>
        <v>2024-Q2</v>
      </c>
      <c r="L2019" s="63" t="str">
        <f t="shared" si="9"/>
        <v>2024-05</v>
      </c>
      <c r="M2019" s="64" t="str">
        <f t="shared" si="10"/>
        <v>2024-H1</v>
      </c>
      <c r="N2019" s="65" t="s">
        <v>80</v>
      </c>
    </row>
    <row r="2020">
      <c r="I2020" s="61" t="str">
        <f t="shared" si="6"/>
        <v>2024</v>
      </c>
      <c r="J2020" s="62">
        <f t="shared" si="7"/>
        <v>5</v>
      </c>
      <c r="K2020" s="61" t="str">
        <f t="shared" si="8"/>
        <v>2024-Q2</v>
      </c>
      <c r="L2020" s="63" t="str">
        <f t="shared" si="9"/>
        <v>2024-05</v>
      </c>
      <c r="M2020" s="64" t="str">
        <f t="shared" si="10"/>
        <v>2024-H1</v>
      </c>
      <c r="N2020" s="65" t="s">
        <v>80</v>
      </c>
    </row>
    <row r="2021">
      <c r="I2021" s="61" t="str">
        <f t="shared" si="6"/>
        <v>2024</v>
      </c>
      <c r="J2021" s="62">
        <f t="shared" si="7"/>
        <v>5</v>
      </c>
      <c r="K2021" s="61" t="str">
        <f t="shared" si="8"/>
        <v>2024-Q2</v>
      </c>
      <c r="L2021" s="63" t="str">
        <f t="shared" si="9"/>
        <v>2024-05</v>
      </c>
      <c r="M2021" s="64" t="str">
        <f t="shared" si="10"/>
        <v>2024-H1</v>
      </c>
      <c r="N2021" s="65" t="s">
        <v>80</v>
      </c>
    </row>
    <row r="2022">
      <c r="I2022" s="61" t="str">
        <f t="shared" si="6"/>
        <v>2024</v>
      </c>
      <c r="J2022" s="62">
        <f t="shared" si="7"/>
        <v>5</v>
      </c>
      <c r="K2022" s="61" t="str">
        <f t="shared" si="8"/>
        <v>2024-Q2</v>
      </c>
      <c r="L2022" s="63" t="str">
        <f t="shared" si="9"/>
        <v>2024-05</v>
      </c>
      <c r="M2022" s="64" t="str">
        <f t="shared" si="10"/>
        <v>2024-H1</v>
      </c>
      <c r="N2022" s="65" t="s">
        <v>80</v>
      </c>
    </row>
    <row r="2023">
      <c r="I2023" s="61" t="str">
        <f t="shared" si="6"/>
        <v>2024</v>
      </c>
      <c r="J2023" s="62">
        <f t="shared" si="7"/>
        <v>5</v>
      </c>
      <c r="K2023" s="61" t="str">
        <f t="shared" si="8"/>
        <v>2024-Q2</v>
      </c>
      <c r="L2023" s="63" t="str">
        <f t="shared" si="9"/>
        <v>2024-05</v>
      </c>
      <c r="M2023" s="64" t="str">
        <f t="shared" si="10"/>
        <v>2024-H1</v>
      </c>
      <c r="N2023" s="65" t="s">
        <v>80</v>
      </c>
    </row>
    <row r="2024">
      <c r="I2024" s="61" t="str">
        <f t="shared" si="6"/>
        <v>2024</v>
      </c>
      <c r="J2024" s="62">
        <f t="shared" si="7"/>
        <v>5</v>
      </c>
      <c r="K2024" s="61" t="str">
        <f t="shared" si="8"/>
        <v>2024-Q2</v>
      </c>
      <c r="L2024" s="63" t="str">
        <f t="shared" si="9"/>
        <v>2024-05</v>
      </c>
      <c r="M2024" s="64" t="str">
        <f t="shared" si="10"/>
        <v>2024-H1</v>
      </c>
      <c r="N2024" s="65" t="s">
        <v>80</v>
      </c>
    </row>
    <row r="2025">
      <c r="I2025" s="61" t="str">
        <f t="shared" si="6"/>
        <v>2024</v>
      </c>
      <c r="J2025" s="62">
        <f t="shared" si="7"/>
        <v>5</v>
      </c>
      <c r="K2025" s="61" t="str">
        <f t="shared" si="8"/>
        <v>2024-Q2</v>
      </c>
      <c r="L2025" s="63" t="str">
        <f t="shared" si="9"/>
        <v>2024-05</v>
      </c>
      <c r="M2025" s="64" t="str">
        <f t="shared" si="10"/>
        <v>2024-H1</v>
      </c>
      <c r="N2025" s="65" t="s">
        <v>80</v>
      </c>
    </row>
    <row r="2026">
      <c r="I2026" s="61" t="str">
        <f t="shared" si="6"/>
        <v>2024</v>
      </c>
      <c r="J2026" s="62">
        <f t="shared" si="7"/>
        <v>5</v>
      </c>
      <c r="K2026" s="61" t="str">
        <f t="shared" si="8"/>
        <v>2024-Q2</v>
      </c>
      <c r="L2026" s="63" t="str">
        <f t="shared" si="9"/>
        <v>2024-05</v>
      </c>
      <c r="M2026" s="64" t="str">
        <f t="shared" si="10"/>
        <v>2024-H1</v>
      </c>
      <c r="N2026" s="65" t="s">
        <v>80</v>
      </c>
    </row>
    <row r="2027">
      <c r="I2027" s="61" t="str">
        <f t="shared" si="6"/>
        <v>2024</v>
      </c>
      <c r="J2027" s="62">
        <f t="shared" si="7"/>
        <v>5</v>
      </c>
      <c r="K2027" s="61" t="str">
        <f t="shared" si="8"/>
        <v>2024-Q2</v>
      </c>
      <c r="L2027" s="63" t="str">
        <f t="shared" si="9"/>
        <v>2024-05</v>
      </c>
      <c r="M2027" s="64" t="str">
        <f t="shared" si="10"/>
        <v>2024-H1</v>
      </c>
      <c r="N2027" s="65" t="s">
        <v>80</v>
      </c>
    </row>
    <row r="2028">
      <c r="I2028" s="61" t="str">
        <f t="shared" si="6"/>
        <v>2024</v>
      </c>
      <c r="J2028" s="62">
        <f t="shared" si="7"/>
        <v>5</v>
      </c>
      <c r="K2028" s="61" t="str">
        <f t="shared" si="8"/>
        <v>2024-Q2</v>
      </c>
      <c r="L2028" s="63" t="str">
        <f t="shared" si="9"/>
        <v>2024-05</v>
      </c>
      <c r="M2028" s="64" t="str">
        <f t="shared" si="10"/>
        <v>2024-H1</v>
      </c>
      <c r="N2028" s="65" t="s">
        <v>80</v>
      </c>
    </row>
    <row r="2029">
      <c r="I2029" s="61" t="str">
        <f t="shared" si="6"/>
        <v>2024</v>
      </c>
      <c r="J2029" s="62">
        <f t="shared" si="7"/>
        <v>5</v>
      </c>
      <c r="K2029" s="61" t="str">
        <f t="shared" si="8"/>
        <v>2024-Q2</v>
      </c>
      <c r="L2029" s="63" t="str">
        <f t="shared" si="9"/>
        <v>2024-05</v>
      </c>
      <c r="M2029" s="64" t="str">
        <f t="shared" si="10"/>
        <v>2024-H1</v>
      </c>
      <c r="N2029" s="65" t="s">
        <v>80</v>
      </c>
    </row>
    <row r="2030">
      <c r="I2030" s="61" t="str">
        <f t="shared" si="6"/>
        <v>2024</v>
      </c>
      <c r="J2030" s="62">
        <f t="shared" si="7"/>
        <v>5</v>
      </c>
      <c r="K2030" s="61" t="str">
        <f t="shared" si="8"/>
        <v>2024-Q2</v>
      </c>
      <c r="L2030" s="63" t="str">
        <f t="shared" si="9"/>
        <v>2024-05</v>
      </c>
      <c r="M2030" s="64" t="str">
        <f t="shared" si="10"/>
        <v>2024-H1</v>
      </c>
      <c r="N2030" s="65" t="s">
        <v>80</v>
      </c>
    </row>
    <row r="2031">
      <c r="I2031" s="61" t="str">
        <f t="shared" si="6"/>
        <v>2024</v>
      </c>
      <c r="J2031" s="62">
        <f t="shared" si="7"/>
        <v>6</v>
      </c>
      <c r="K2031" s="61" t="str">
        <f t="shared" si="8"/>
        <v>2024-Q2</v>
      </c>
      <c r="L2031" s="63" t="str">
        <f t="shared" si="9"/>
        <v>2024-06</v>
      </c>
      <c r="M2031" s="64" t="str">
        <f t="shared" si="10"/>
        <v>2024-H1</v>
      </c>
      <c r="N2031" s="65" t="s">
        <v>80</v>
      </c>
    </row>
    <row r="2032">
      <c r="I2032" s="61" t="str">
        <f t="shared" si="6"/>
        <v>2024</v>
      </c>
      <c r="J2032" s="62">
        <f t="shared" si="7"/>
        <v>5</v>
      </c>
      <c r="K2032" s="61" t="str">
        <f t="shared" si="8"/>
        <v>2024-Q2</v>
      </c>
      <c r="L2032" s="63" t="str">
        <f t="shared" si="9"/>
        <v>2024-05</v>
      </c>
      <c r="M2032" s="64" t="str">
        <f t="shared" si="10"/>
        <v>2024-H1</v>
      </c>
      <c r="N2032" s="65" t="s">
        <v>80</v>
      </c>
    </row>
    <row r="2033">
      <c r="I2033" s="61" t="str">
        <f t="shared" si="6"/>
        <v>2024</v>
      </c>
      <c r="J2033" s="62">
        <f t="shared" si="7"/>
        <v>5</v>
      </c>
      <c r="K2033" s="61" t="str">
        <f t="shared" si="8"/>
        <v>2024-Q2</v>
      </c>
      <c r="L2033" s="63" t="str">
        <f t="shared" si="9"/>
        <v>2024-05</v>
      </c>
      <c r="M2033" s="64" t="str">
        <f t="shared" si="10"/>
        <v>2024-H1</v>
      </c>
      <c r="N2033" s="65" t="s">
        <v>80</v>
      </c>
    </row>
    <row r="2034">
      <c r="I2034" s="61" t="str">
        <f t="shared" si="6"/>
        <v>2024</v>
      </c>
      <c r="J2034" s="62">
        <f t="shared" si="7"/>
        <v>5</v>
      </c>
      <c r="K2034" s="61" t="str">
        <f t="shared" si="8"/>
        <v>2024-Q2</v>
      </c>
      <c r="L2034" s="63" t="str">
        <f t="shared" si="9"/>
        <v>2024-05</v>
      </c>
      <c r="M2034" s="64" t="str">
        <f t="shared" si="10"/>
        <v>2024-H1</v>
      </c>
      <c r="N2034" s="65" t="s">
        <v>80</v>
      </c>
    </row>
    <row r="2035">
      <c r="I2035" s="61" t="str">
        <f t="shared" si="6"/>
        <v>2024</v>
      </c>
      <c r="J2035" s="62">
        <f t="shared" si="7"/>
        <v>5</v>
      </c>
      <c r="K2035" s="61" t="str">
        <f t="shared" si="8"/>
        <v>2024-Q2</v>
      </c>
      <c r="L2035" s="63" t="str">
        <f t="shared" si="9"/>
        <v>2024-05</v>
      </c>
      <c r="M2035" s="64" t="str">
        <f t="shared" si="10"/>
        <v>2024-H1</v>
      </c>
      <c r="N2035" s="65" t="s">
        <v>80</v>
      </c>
    </row>
    <row r="2036">
      <c r="I2036" s="61" t="str">
        <f t="shared" si="6"/>
        <v>2024</v>
      </c>
      <c r="J2036" s="62">
        <f t="shared" si="7"/>
        <v>5</v>
      </c>
      <c r="K2036" s="61" t="str">
        <f t="shared" si="8"/>
        <v>2024-Q2</v>
      </c>
      <c r="L2036" s="63" t="str">
        <f t="shared" si="9"/>
        <v>2024-05</v>
      </c>
      <c r="M2036" s="64" t="str">
        <f t="shared" si="10"/>
        <v>2024-H1</v>
      </c>
      <c r="N2036" s="65" t="s">
        <v>80</v>
      </c>
    </row>
    <row r="2037">
      <c r="I2037" s="61" t="str">
        <f t="shared" si="6"/>
        <v>2024</v>
      </c>
      <c r="J2037" s="62">
        <f t="shared" si="7"/>
        <v>5</v>
      </c>
      <c r="K2037" s="61" t="str">
        <f t="shared" si="8"/>
        <v>2024-Q2</v>
      </c>
      <c r="L2037" s="63" t="str">
        <f t="shared" si="9"/>
        <v>2024-05</v>
      </c>
      <c r="M2037" s="64" t="str">
        <f t="shared" si="10"/>
        <v>2024-H1</v>
      </c>
      <c r="N2037" s="65" t="s">
        <v>80</v>
      </c>
    </row>
    <row r="2038">
      <c r="I2038" s="61" t="str">
        <f t="shared" si="6"/>
        <v>2024</v>
      </c>
      <c r="J2038" s="62">
        <f t="shared" si="7"/>
        <v>5</v>
      </c>
      <c r="K2038" s="61" t="str">
        <f t="shared" si="8"/>
        <v>2024-Q2</v>
      </c>
      <c r="L2038" s="63" t="str">
        <f t="shared" si="9"/>
        <v>2024-05</v>
      </c>
      <c r="M2038" s="64" t="str">
        <f t="shared" si="10"/>
        <v>2024-H1</v>
      </c>
      <c r="N2038" s="65" t="s">
        <v>80</v>
      </c>
    </row>
    <row r="2039">
      <c r="I2039" s="61" t="str">
        <f t="shared" si="6"/>
        <v>2024</v>
      </c>
      <c r="J2039" s="62">
        <f t="shared" si="7"/>
        <v>5</v>
      </c>
      <c r="K2039" s="61" t="str">
        <f t="shared" si="8"/>
        <v>2024-Q2</v>
      </c>
      <c r="L2039" s="63" t="str">
        <f t="shared" si="9"/>
        <v>2024-05</v>
      </c>
      <c r="M2039" s="64" t="str">
        <f t="shared" si="10"/>
        <v>2024-H1</v>
      </c>
      <c r="N2039" s="65" t="s">
        <v>80</v>
      </c>
    </row>
    <row r="2040">
      <c r="I2040" s="61" t="str">
        <f t="shared" si="6"/>
        <v>2024</v>
      </c>
      <c r="J2040" s="62">
        <f t="shared" si="7"/>
        <v>6</v>
      </c>
      <c r="K2040" s="61" t="str">
        <f t="shared" si="8"/>
        <v>2024-Q2</v>
      </c>
      <c r="L2040" s="63" t="str">
        <f t="shared" si="9"/>
        <v>2024-06</v>
      </c>
      <c r="M2040" s="64" t="str">
        <f t="shared" si="10"/>
        <v>2024-H1</v>
      </c>
      <c r="N2040" s="65" t="s">
        <v>80</v>
      </c>
    </row>
    <row r="2041">
      <c r="I2041" s="61" t="str">
        <f t="shared" si="6"/>
        <v>2024</v>
      </c>
      <c r="J2041" s="62">
        <f t="shared" si="7"/>
        <v>5</v>
      </c>
      <c r="K2041" s="61" t="str">
        <f t="shared" si="8"/>
        <v>2024-Q2</v>
      </c>
      <c r="L2041" s="63" t="str">
        <f t="shared" si="9"/>
        <v>2024-05</v>
      </c>
      <c r="M2041" s="64" t="str">
        <f t="shared" si="10"/>
        <v>2024-H1</v>
      </c>
      <c r="N2041" s="65" t="s">
        <v>80</v>
      </c>
    </row>
    <row r="2042">
      <c r="I2042" s="61" t="str">
        <f t="shared" si="6"/>
        <v>2024</v>
      </c>
      <c r="J2042" s="62">
        <f t="shared" si="7"/>
        <v>5</v>
      </c>
      <c r="K2042" s="61" t="str">
        <f t="shared" si="8"/>
        <v>2024-Q2</v>
      </c>
      <c r="L2042" s="63" t="str">
        <f t="shared" si="9"/>
        <v>2024-05</v>
      </c>
      <c r="M2042" s="64" t="str">
        <f t="shared" si="10"/>
        <v>2024-H1</v>
      </c>
      <c r="N2042" s="65" t="s">
        <v>80</v>
      </c>
    </row>
    <row r="2043">
      <c r="I2043" s="61" t="str">
        <f t="shared" si="6"/>
        <v>2024</v>
      </c>
      <c r="J2043" s="62">
        <f t="shared" si="7"/>
        <v>5</v>
      </c>
      <c r="K2043" s="61" t="str">
        <f t="shared" si="8"/>
        <v>2024-Q2</v>
      </c>
      <c r="L2043" s="63" t="str">
        <f t="shared" si="9"/>
        <v>2024-05</v>
      </c>
      <c r="M2043" s="64" t="str">
        <f t="shared" si="10"/>
        <v>2024-H1</v>
      </c>
      <c r="N2043" s="65" t="s">
        <v>80</v>
      </c>
    </row>
    <row r="2044">
      <c r="I2044" s="61" t="str">
        <f t="shared" si="6"/>
        <v>2024</v>
      </c>
      <c r="J2044" s="62">
        <f t="shared" si="7"/>
        <v>5</v>
      </c>
      <c r="K2044" s="61" t="str">
        <f t="shared" si="8"/>
        <v>2024-Q2</v>
      </c>
      <c r="L2044" s="63" t="str">
        <f t="shared" si="9"/>
        <v>2024-05</v>
      </c>
      <c r="M2044" s="64" t="str">
        <f t="shared" si="10"/>
        <v>2024-H1</v>
      </c>
      <c r="N2044" s="65" t="s">
        <v>80</v>
      </c>
    </row>
    <row r="2045">
      <c r="I2045" s="61" t="str">
        <f t="shared" si="6"/>
        <v>2024</v>
      </c>
      <c r="J2045" s="62">
        <f t="shared" si="7"/>
        <v>5</v>
      </c>
      <c r="K2045" s="61" t="str">
        <f t="shared" si="8"/>
        <v>2024-Q2</v>
      </c>
      <c r="L2045" s="63" t="str">
        <f t="shared" si="9"/>
        <v>2024-05</v>
      </c>
      <c r="M2045" s="64" t="str">
        <f t="shared" si="10"/>
        <v>2024-H1</v>
      </c>
      <c r="N2045" s="65" t="s">
        <v>80</v>
      </c>
    </row>
    <row r="2046">
      <c r="I2046" s="61" t="str">
        <f t="shared" si="6"/>
        <v>2024</v>
      </c>
      <c r="J2046" s="62">
        <f t="shared" si="7"/>
        <v>5</v>
      </c>
      <c r="K2046" s="61" t="str">
        <f t="shared" si="8"/>
        <v>2024-Q2</v>
      </c>
      <c r="L2046" s="63" t="str">
        <f t="shared" si="9"/>
        <v>2024-05</v>
      </c>
      <c r="M2046" s="64" t="str">
        <f t="shared" si="10"/>
        <v>2024-H1</v>
      </c>
      <c r="N2046" s="65" t="s">
        <v>80</v>
      </c>
    </row>
    <row r="2047">
      <c r="I2047" s="61" t="str">
        <f t="shared" si="6"/>
        <v>2024</v>
      </c>
      <c r="J2047" s="62">
        <f t="shared" si="7"/>
        <v>5</v>
      </c>
      <c r="K2047" s="61" t="str">
        <f t="shared" si="8"/>
        <v>2024-Q2</v>
      </c>
      <c r="L2047" s="63" t="str">
        <f t="shared" si="9"/>
        <v>2024-05</v>
      </c>
      <c r="M2047" s="64" t="str">
        <f t="shared" si="10"/>
        <v>2024-H1</v>
      </c>
      <c r="N2047" s="65" t="s">
        <v>80</v>
      </c>
    </row>
    <row r="2048">
      <c r="I2048" s="61" t="str">
        <f t="shared" si="6"/>
        <v>2024</v>
      </c>
      <c r="J2048" s="62">
        <f t="shared" si="7"/>
        <v>5</v>
      </c>
      <c r="K2048" s="61" t="str">
        <f t="shared" si="8"/>
        <v>2024-Q2</v>
      </c>
      <c r="L2048" s="63" t="str">
        <f t="shared" si="9"/>
        <v>2024-05</v>
      </c>
      <c r="M2048" s="64" t="str">
        <f t="shared" si="10"/>
        <v>2024-H1</v>
      </c>
      <c r="N2048" s="65" t="s">
        <v>80</v>
      </c>
    </row>
    <row r="2049">
      <c r="I2049" s="61" t="str">
        <f t="shared" si="6"/>
        <v>2024</v>
      </c>
      <c r="J2049" s="62">
        <f t="shared" si="7"/>
        <v>5</v>
      </c>
      <c r="K2049" s="61" t="str">
        <f t="shared" si="8"/>
        <v>2024-Q2</v>
      </c>
      <c r="L2049" s="63" t="str">
        <f t="shared" si="9"/>
        <v>2024-05</v>
      </c>
      <c r="M2049" s="64" t="str">
        <f t="shared" si="10"/>
        <v>2024-H1</v>
      </c>
      <c r="N2049" s="65" t="s">
        <v>80</v>
      </c>
    </row>
    <row r="2050">
      <c r="I2050" s="61" t="str">
        <f t="shared" si="6"/>
        <v>2024</v>
      </c>
      <c r="J2050" s="62">
        <f t="shared" si="7"/>
        <v>5</v>
      </c>
      <c r="K2050" s="61" t="str">
        <f t="shared" si="8"/>
        <v>2024-Q2</v>
      </c>
      <c r="L2050" s="63" t="str">
        <f t="shared" si="9"/>
        <v>2024-05</v>
      </c>
      <c r="M2050" s="64" t="str">
        <f t="shared" si="10"/>
        <v>2024-H1</v>
      </c>
      <c r="N2050" s="65" t="s">
        <v>80</v>
      </c>
    </row>
    <row r="2051">
      <c r="I2051" s="61" t="str">
        <f t="shared" si="6"/>
        <v>2024</v>
      </c>
      <c r="J2051" s="62">
        <f t="shared" si="7"/>
        <v>5</v>
      </c>
      <c r="K2051" s="61" t="str">
        <f t="shared" si="8"/>
        <v>2024-Q2</v>
      </c>
      <c r="L2051" s="63" t="str">
        <f t="shared" si="9"/>
        <v>2024-05</v>
      </c>
      <c r="M2051" s="64" t="str">
        <f t="shared" si="10"/>
        <v>2024-H1</v>
      </c>
      <c r="N2051" s="65" t="s">
        <v>80</v>
      </c>
    </row>
    <row r="2052">
      <c r="I2052" s="61" t="str">
        <f t="shared" si="6"/>
        <v>2024</v>
      </c>
      <c r="J2052" s="62">
        <f t="shared" si="7"/>
        <v>5</v>
      </c>
      <c r="K2052" s="61" t="str">
        <f t="shared" si="8"/>
        <v>2024-Q2</v>
      </c>
      <c r="L2052" s="63" t="str">
        <f t="shared" si="9"/>
        <v>2024-05</v>
      </c>
      <c r="M2052" s="64" t="str">
        <f t="shared" si="10"/>
        <v>2024-H1</v>
      </c>
      <c r="N2052" s="65" t="s">
        <v>80</v>
      </c>
    </row>
    <row r="2053">
      <c r="I2053" s="61" t="str">
        <f t="shared" si="6"/>
        <v>2024</v>
      </c>
      <c r="J2053" s="62">
        <f t="shared" si="7"/>
        <v>5</v>
      </c>
      <c r="K2053" s="61" t="str">
        <f t="shared" si="8"/>
        <v>2024-Q2</v>
      </c>
      <c r="L2053" s="63" t="str">
        <f t="shared" si="9"/>
        <v>2024-05</v>
      </c>
      <c r="M2053" s="64" t="str">
        <f t="shared" si="10"/>
        <v>2024-H1</v>
      </c>
      <c r="N2053" s="65" t="s">
        <v>80</v>
      </c>
    </row>
    <row r="2054">
      <c r="I2054" s="61" t="str">
        <f t="shared" si="6"/>
        <v>2024</v>
      </c>
      <c r="J2054" s="62">
        <f t="shared" si="7"/>
        <v>5</v>
      </c>
      <c r="K2054" s="61" t="str">
        <f t="shared" si="8"/>
        <v>2024-Q2</v>
      </c>
      <c r="L2054" s="63" t="str">
        <f t="shared" si="9"/>
        <v>2024-05</v>
      </c>
      <c r="M2054" s="64" t="str">
        <f t="shared" si="10"/>
        <v>2024-H1</v>
      </c>
      <c r="N2054" s="65" t="s">
        <v>80</v>
      </c>
    </row>
    <row r="2055">
      <c r="I2055" s="61" t="str">
        <f t="shared" si="6"/>
        <v>2024</v>
      </c>
      <c r="J2055" s="62">
        <f t="shared" si="7"/>
        <v>5</v>
      </c>
      <c r="K2055" s="61" t="str">
        <f t="shared" si="8"/>
        <v>2024-Q2</v>
      </c>
      <c r="L2055" s="63" t="str">
        <f t="shared" si="9"/>
        <v>2024-05</v>
      </c>
      <c r="M2055" s="64" t="str">
        <f t="shared" si="10"/>
        <v>2024-H1</v>
      </c>
      <c r="N2055" s="65" t="s">
        <v>80</v>
      </c>
    </row>
    <row r="2056">
      <c r="I2056" s="61" t="str">
        <f t="shared" si="6"/>
        <v>2024</v>
      </c>
      <c r="J2056" s="62">
        <f t="shared" si="7"/>
        <v>5</v>
      </c>
      <c r="K2056" s="61" t="str">
        <f t="shared" si="8"/>
        <v>2024-Q2</v>
      </c>
      <c r="L2056" s="63" t="str">
        <f t="shared" si="9"/>
        <v>2024-05</v>
      </c>
      <c r="M2056" s="64" t="str">
        <f t="shared" si="10"/>
        <v>2024-H1</v>
      </c>
      <c r="N2056" s="65" t="s">
        <v>80</v>
      </c>
    </row>
    <row r="2057">
      <c r="I2057" s="61" t="str">
        <f t="shared" si="6"/>
        <v>2024</v>
      </c>
      <c r="J2057" s="62">
        <f t="shared" si="7"/>
        <v>5</v>
      </c>
      <c r="K2057" s="61" t="str">
        <f t="shared" si="8"/>
        <v>2024-Q2</v>
      </c>
      <c r="L2057" s="63" t="str">
        <f t="shared" si="9"/>
        <v>2024-05</v>
      </c>
      <c r="M2057" s="64" t="str">
        <f t="shared" si="10"/>
        <v>2024-H1</v>
      </c>
      <c r="N2057" s="65" t="s">
        <v>80</v>
      </c>
    </row>
    <row r="2058">
      <c r="I2058" s="61" t="str">
        <f t="shared" si="6"/>
        <v>2024</v>
      </c>
      <c r="J2058" s="62">
        <f t="shared" si="7"/>
        <v>5</v>
      </c>
      <c r="K2058" s="61" t="str">
        <f t="shared" si="8"/>
        <v>2024-Q2</v>
      </c>
      <c r="L2058" s="63" t="str">
        <f t="shared" si="9"/>
        <v>2024-05</v>
      </c>
      <c r="M2058" s="64" t="str">
        <f t="shared" si="10"/>
        <v>2024-H1</v>
      </c>
      <c r="N2058" s="65" t="s">
        <v>80</v>
      </c>
    </row>
    <row r="2059">
      <c r="I2059" s="61" t="str">
        <f t="shared" si="6"/>
        <v>2024</v>
      </c>
      <c r="J2059" s="62">
        <f t="shared" si="7"/>
        <v>5</v>
      </c>
      <c r="K2059" s="61" t="str">
        <f t="shared" si="8"/>
        <v>2024-Q2</v>
      </c>
      <c r="L2059" s="63" t="str">
        <f t="shared" si="9"/>
        <v>2024-05</v>
      </c>
      <c r="M2059" s="64" t="str">
        <f t="shared" si="10"/>
        <v>2024-H1</v>
      </c>
      <c r="N2059" s="65" t="s">
        <v>80</v>
      </c>
    </row>
    <row r="2060">
      <c r="I2060" s="61" t="str">
        <f t="shared" si="6"/>
        <v>2024</v>
      </c>
      <c r="J2060" s="62">
        <f t="shared" si="7"/>
        <v>6</v>
      </c>
      <c r="K2060" s="61" t="str">
        <f t="shared" si="8"/>
        <v>2024-Q2</v>
      </c>
      <c r="L2060" s="63" t="str">
        <f t="shared" si="9"/>
        <v>2024-06</v>
      </c>
      <c r="M2060" s="64" t="str">
        <f t="shared" si="10"/>
        <v>2024-H1</v>
      </c>
      <c r="N2060" s="65" t="s">
        <v>80</v>
      </c>
    </row>
    <row r="2061">
      <c r="I2061" s="61" t="str">
        <f t="shared" si="6"/>
        <v>2024</v>
      </c>
      <c r="J2061" s="62">
        <f t="shared" si="7"/>
        <v>5</v>
      </c>
      <c r="K2061" s="61" t="str">
        <f t="shared" si="8"/>
        <v>2024-Q2</v>
      </c>
      <c r="L2061" s="63" t="str">
        <f t="shared" si="9"/>
        <v>2024-05</v>
      </c>
      <c r="M2061" s="64" t="str">
        <f t="shared" si="10"/>
        <v>2024-H1</v>
      </c>
      <c r="N2061" s="65" t="s">
        <v>80</v>
      </c>
    </row>
    <row r="2062">
      <c r="I2062" s="61" t="str">
        <f t="shared" si="6"/>
        <v>2024</v>
      </c>
      <c r="J2062" s="62">
        <f t="shared" si="7"/>
        <v>5</v>
      </c>
      <c r="K2062" s="61" t="str">
        <f t="shared" si="8"/>
        <v>2024-Q2</v>
      </c>
      <c r="L2062" s="63" t="str">
        <f t="shared" si="9"/>
        <v>2024-05</v>
      </c>
      <c r="M2062" s="64" t="str">
        <f t="shared" si="10"/>
        <v>2024-H1</v>
      </c>
      <c r="N2062" s="65" t="s">
        <v>80</v>
      </c>
    </row>
    <row r="2063">
      <c r="I2063" s="61" t="str">
        <f t="shared" si="6"/>
        <v>2024</v>
      </c>
      <c r="J2063" s="62">
        <f t="shared" si="7"/>
        <v>5</v>
      </c>
      <c r="K2063" s="61" t="str">
        <f t="shared" si="8"/>
        <v>2024-Q2</v>
      </c>
      <c r="L2063" s="63" t="str">
        <f t="shared" si="9"/>
        <v>2024-05</v>
      </c>
      <c r="M2063" s="64" t="str">
        <f t="shared" si="10"/>
        <v>2024-H1</v>
      </c>
      <c r="N2063" s="65" t="s">
        <v>80</v>
      </c>
    </row>
    <row r="2064">
      <c r="I2064" s="61" t="str">
        <f t="shared" si="6"/>
        <v>2024</v>
      </c>
      <c r="J2064" s="62">
        <f t="shared" si="7"/>
        <v>6</v>
      </c>
      <c r="K2064" s="61" t="str">
        <f t="shared" si="8"/>
        <v>2024-Q2</v>
      </c>
      <c r="L2064" s="63" t="str">
        <f t="shared" si="9"/>
        <v>2024-06</v>
      </c>
      <c r="M2064" s="64" t="str">
        <f t="shared" si="10"/>
        <v>2024-H1</v>
      </c>
      <c r="N2064" s="65" t="s">
        <v>80</v>
      </c>
    </row>
    <row r="2065">
      <c r="I2065" s="61" t="str">
        <f t="shared" si="6"/>
        <v>2024</v>
      </c>
      <c r="J2065" s="62">
        <f t="shared" si="7"/>
        <v>6</v>
      </c>
      <c r="K2065" s="61" t="str">
        <f t="shared" si="8"/>
        <v>2024-Q2</v>
      </c>
      <c r="L2065" s="63" t="str">
        <f t="shared" si="9"/>
        <v>2024-06</v>
      </c>
      <c r="M2065" s="64" t="str">
        <f t="shared" si="10"/>
        <v>2024-H1</v>
      </c>
      <c r="N2065" s="65" t="s">
        <v>80</v>
      </c>
    </row>
    <row r="2066">
      <c r="I2066" s="61" t="str">
        <f t="shared" si="6"/>
        <v>2024</v>
      </c>
      <c r="J2066" s="62">
        <f t="shared" si="7"/>
        <v>6</v>
      </c>
      <c r="K2066" s="61" t="str">
        <f t="shared" si="8"/>
        <v>2024-Q2</v>
      </c>
      <c r="L2066" s="63" t="str">
        <f t="shared" si="9"/>
        <v>2024-06</v>
      </c>
      <c r="M2066" s="64" t="str">
        <f t="shared" si="10"/>
        <v>2024-H1</v>
      </c>
      <c r="N2066" s="65" t="s">
        <v>80</v>
      </c>
    </row>
    <row r="2067">
      <c r="I2067" s="61" t="str">
        <f t="shared" si="6"/>
        <v>2024</v>
      </c>
      <c r="J2067" s="62">
        <f t="shared" si="7"/>
        <v>6</v>
      </c>
      <c r="K2067" s="61" t="str">
        <f t="shared" si="8"/>
        <v>2024-Q2</v>
      </c>
      <c r="L2067" s="63" t="str">
        <f t="shared" si="9"/>
        <v>2024-06</v>
      </c>
      <c r="M2067" s="64" t="str">
        <f t="shared" si="10"/>
        <v>2024-H1</v>
      </c>
      <c r="N2067" s="65" t="s">
        <v>80</v>
      </c>
    </row>
    <row r="2068">
      <c r="I2068" s="61" t="str">
        <f t="shared" si="6"/>
        <v>2024</v>
      </c>
      <c r="J2068" s="62">
        <f t="shared" si="7"/>
        <v>6</v>
      </c>
      <c r="K2068" s="61" t="str">
        <f t="shared" si="8"/>
        <v>2024-Q2</v>
      </c>
      <c r="L2068" s="63" t="str">
        <f t="shared" si="9"/>
        <v>2024-06</v>
      </c>
      <c r="M2068" s="64" t="str">
        <f t="shared" si="10"/>
        <v>2024-H1</v>
      </c>
      <c r="N2068" s="65" t="s">
        <v>80</v>
      </c>
    </row>
    <row r="2069">
      <c r="I2069" s="61" t="str">
        <f t="shared" si="6"/>
        <v>2024</v>
      </c>
      <c r="J2069" s="62">
        <f t="shared" si="7"/>
        <v>6</v>
      </c>
      <c r="K2069" s="61" t="str">
        <f t="shared" si="8"/>
        <v>2024-Q2</v>
      </c>
      <c r="L2069" s="63" t="str">
        <f t="shared" si="9"/>
        <v>2024-06</v>
      </c>
      <c r="M2069" s="64" t="str">
        <f t="shared" si="10"/>
        <v>2024-H1</v>
      </c>
      <c r="N2069" s="65" t="s">
        <v>80</v>
      </c>
    </row>
    <row r="2070">
      <c r="I2070" s="61" t="str">
        <f t="shared" si="6"/>
        <v>2024</v>
      </c>
      <c r="J2070" s="62">
        <f t="shared" si="7"/>
        <v>6</v>
      </c>
      <c r="K2070" s="61" t="str">
        <f t="shared" si="8"/>
        <v>2024-Q2</v>
      </c>
      <c r="L2070" s="63" t="str">
        <f t="shared" si="9"/>
        <v>2024-06</v>
      </c>
      <c r="M2070" s="64" t="str">
        <f t="shared" si="10"/>
        <v>2024-H1</v>
      </c>
      <c r="N2070" s="65" t="s">
        <v>80</v>
      </c>
    </row>
    <row r="2071">
      <c r="I2071" s="61" t="str">
        <f t="shared" si="6"/>
        <v>2024</v>
      </c>
      <c r="J2071" s="62">
        <f t="shared" si="7"/>
        <v>6</v>
      </c>
      <c r="K2071" s="61" t="str">
        <f t="shared" si="8"/>
        <v>2024-Q2</v>
      </c>
      <c r="L2071" s="63" t="str">
        <f t="shared" si="9"/>
        <v>2024-06</v>
      </c>
      <c r="M2071" s="64" t="str">
        <f t="shared" si="10"/>
        <v>2024-H1</v>
      </c>
      <c r="N2071" s="65" t="s">
        <v>80</v>
      </c>
    </row>
    <row r="2072">
      <c r="I2072" s="61" t="str">
        <f t="shared" si="6"/>
        <v>2024</v>
      </c>
      <c r="J2072" s="62">
        <f t="shared" si="7"/>
        <v>6</v>
      </c>
      <c r="K2072" s="61" t="str">
        <f t="shared" si="8"/>
        <v>2024-Q2</v>
      </c>
      <c r="L2072" s="63" t="str">
        <f t="shared" si="9"/>
        <v>2024-06</v>
      </c>
      <c r="M2072" s="64" t="str">
        <f t="shared" si="10"/>
        <v>2024-H1</v>
      </c>
      <c r="N2072" s="65" t="s">
        <v>80</v>
      </c>
    </row>
    <row r="2073">
      <c r="I2073" s="61" t="str">
        <f t="shared" si="6"/>
        <v>2024</v>
      </c>
      <c r="J2073" s="62">
        <f t="shared" si="7"/>
        <v>6</v>
      </c>
      <c r="K2073" s="61" t="str">
        <f t="shared" si="8"/>
        <v>2024-Q2</v>
      </c>
      <c r="L2073" s="63" t="str">
        <f t="shared" si="9"/>
        <v>2024-06</v>
      </c>
      <c r="M2073" s="64" t="str">
        <f t="shared" si="10"/>
        <v>2024-H1</v>
      </c>
      <c r="N2073" s="65" t="s">
        <v>80</v>
      </c>
    </row>
    <row r="2074">
      <c r="I2074" s="61" t="str">
        <f t="shared" si="6"/>
        <v>2024</v>
      </c>
      <c r="J2074" s="62">
        <f t="shared" si="7"/>
        <v>6</v>
      </c>
      <c r="K2074" s="61" t="str">
        <f t="shared" si="8"/>
        <v>2024-Q2</v>
      </c>
      <c r="L2074" s="63" t="str">
        <f t="shared" si="9"/>
        <v>2024-06</v>
      </c>
      <c r="M2074" s="64" t="str">
        <f t="shared" si="10"/>
        <v>2024-H1</v>
      </c>
      <c r="N2074" s="65" t="s">
        <v>80</v>
      </c>
    </row>
    <row r="2075">
      <c r="I2075" s="61" t="str">
        <f t="shared" si="6"/>
        <v>2024</v>
      </c>
      <c r="J2075" s="62">
        <f t="shared" si="7"/>
        <v>6</v>
      </c>
      <c r="K2075" s="61" t="str">
        <f t="shared" si="8"/>
        <v>2024-Q2</v>
      </c>
      <c r="L2075" s="63" t="str">
        <f t="shared" si="9"/>
        <v>2024-06</v>
      </c>
      <c r="M2075" s="64" t="str">
        <f t="shared" si="10"/>
        <v>2024-H1</v>
      </c>
      <c r="N2075" s="65" t="s">
        <v>80</v>
      </c>
    </row>
    <row r="2076">
      <c r="I2076" s="61" t="str">
        <f t="shared" si="6"/>
        <v>2024</v>
      </c>
      <c r="J2076" s="62">
        <f t="shared" si="7"/>
        <v>6</v>
      </c>
      <c r="K2076" s="61" t="str">
        <f t="shared" si="8"/>
        <v>2024-Q2</v>
      </c>
      <c r="L2076" s="63" t="str">
        <f t="shared" si="9"/>
        <v>2024-06</v>
      </c>
      <c r="M2076" s="64" t="str">
        <f t="shared" si="10"/>
        <v>2024-H1</v>
      </c>
      <c r="N2076" s="65" t="s">
        <v>80</v>
      </c>
    </row>
    <row r="2077">
      <c r="I2077" s="61" t="str">
        <f t="shared" si="6"/>
        <v>2024</v>
      </c>
      <c r="J2077" s="62">
        <f t="shared" si="7"/>
        <v>6</v>
      </c>
      <c r="K2077" s="61" t="str">
        <f t="shared" si="8"/>
        <v>2024-Q2</v>
      </c>
      <c r="L2077" s="63" t="str">
        <f t="shared" si="9"/>
        <v>2024-06</v>
      </c>
      <c r="M2077" s="64" t="str">
        <f t="shared" si="10"/>
        <v>2024-H1</v>
      </c>
      <c r="N2077" s="65" t="s">
        <v>80</v>
      </c>
    </row>
    <row r="2078">
      <c r="I2078" s="61" t="str">
        <f t="shared" si="6"/>
        <v>2024</v>
      </c>
      <c r="J2078" s="62">
        <f t="shared" si="7"/>
        <v>6</v>
      </c>
      <c r="K2078" s="61" t="str">
        <f t="shared" si="8"/>
        <v>2024-Q2</v>
      </c>
      <c r="L2078" s="63" t="str">
        <f t="shared" si="9"/>
        <v>2024-06</v>
      </c>
      <c r="M2078" s="64" t="str">
        <f t="shared" si="10"/>
        <v>2024-H1</v>
      </c>
      <c r="N2078" s="65" t="s">
        <v>80</v>
      </c>
    </row>
    <row r="2079">
      <c r="I2079" s="61" t="str">
        <f t="shared" si="6"/>
        <v>2024</v>
      </c>
      <c r="J2079" s="62">
        <f t="shared" si="7"/>
        <v>6</v>
      </c>
      <c r="K2079" s="61" t="str">
        <f t="shared" si="8"/>
        <v>2024-Q2</v>
      </c>
      <c r="L2079" s="63" t="str">
        <f t="shared" si="9"/>
        <v>2024-06</v>
      </c>
      <c r="M2079" s="64" t="str">
        <f t="shared" si="10"/>
        <v>2024-H1</v>
      </c>
      <c r="N2079" s="65" t="s">
        <v>80</v>
      </c>
    </row>
    <row r="2080">
      <c r="I2080" s="61" t="str">
        <f t="shared" si="6"/>
        <v>2024</v>
      </c>
      <c r="J2080" s="62">
        <f t="shared" si="7"/>
        <v>6</v>
      </c>
      <c r="K2080" s="61" t="str">
        <f t="shared" si="8"/>
        <v>2024-Q2</v>
      </c>
      <c r="L2080" s="63" t="str">
        <f t="shared" si="9"/>
        <v>2024-06</v>
      </c>
      <c r="M2080" s="64" t="str">
        <f t="shared" si="10"/>
        <v>2024-H1</v>
      </c>
      <c r="N2080" s="65" t="s">
        <v>80</v>
      </c>
    </row>
    <row r="2081">
      <c r="I2081" s="61" t="str">
        <f t="shared" si="6"/>
        <v>2024</v>
      </c>
      <c r="J2081" s="62">
        <f t="shared" si="7"/>
        <v>6</v>
      </c>
      <c r="K2081" s="61" t="str">
        <f t="shared" si="8"/>
        <v>2024-Q2</v>
      </c>
      <c r="L2081" s="63" t="str">
        <f t="shared" si="9"/>
        <v>2024-06</v>
      </c>
      <c r="M2081" s="64" t="str">
        <f t="shared" si="10"/>
        <v>2024-H1</v>
      </c>
      <c r="N2081" s="65" t="s">
        <v>80</v>
      </c>
    </row>
    <row r="2082">
      <c r="I2082" s="61" t="str">
        <f t="shared" si="6"/>
        <v>2024</v>
      </c>
      <c r="J2082" s="62">
        <f t="shared" si="7"/>
        <v>6</v>
      </c>
      <c r="K2082" s="61" t="str">
        <f t="shared" si="8"/>
        <v>2024-Q2</v>
      </c>
      <c r="L2082" s="63" t="str">
        <f t="shared" si="9"/>
        <v>2024-06</v>
      </c>
      <c r="M2082" s="64" t="str">
        <f t="shared" si="10"/>
        <v>2024-H1</v>
      </c>
      <c r="N2082" s="65" t="s">
        <v>80</v>
      </c>
    </row>
    <row r="2083">
      <c r="I2083" s="61" t="str">
        <f t="shared" si="6"/>
        <v>2024</v>
      </c>
      <c r="J2083" s="62">
        <f t="shared" si="7"/>
        <v>6</v>
      </c>
      <c r="K2083" s="61" t="str">
        <f t="shared" si="8"/>
        <v>2024-Q2</v>
      </c>
      <c r="L2083" s="63" t="str">
        <f t="shared" si="9"/>
        <v>2024-06</v>
      </c>
      <c r="M2083" s="64" t="str">
        <f t="shared" si="10"/>
        <v>2024-H1</v>
      </c>
      <c r="N2083" s="65" t="s">
        <v>80</v>
      </c>
    </row>
    <row r="2084">
      <c r="I2084" s="61" t="str">
        <f t="shared" si="6"/>
        <v>2024</v>
      </c>
      <c r="J2084" s="62">
        <f t="shared" si="7"/>
        <v>6</v>
      </c>
      <c r="K2084" s="61" t="str">
        <f t="shared" si="8"/>
        <v>2024-Q2</v>
      </c>
      <c r="L2084" s="63" t="str">
        <f t="shared" si="9"/>
        <v>2024-06</v>
      </c>
      <c r="M2084" s="64" t="str">
        <f t="shared" si="10"/>
        <v>2024-H1</v>
      </c>
      <c r="N2084" s="65" t="s">
        <v>80</v>
      </c>
    </row>
    <row r="2085">
      <c r="I2085" s="61" t="str">
        <f t="shared" si="6"/>
        <v>2024</v>
      </c>
      <c r="J2085" s="62">
        <f t="shared" si="7"/>
        <v>6</v>
      </c>
      <c r="K2085" s="61" t="str">
        <f t="shared" si="8"/>
        <v>2024-Q2</v>
      </c>
      <c r="L2085" s="63" t="str">
        <f t="shared" si="9"/>
        <v>2024-06</v>
      </c>
      <c r="M2085" s="64" t="str">
        <f t="shared" si="10"/>
        <v>2024-H1</v>
      </c>
      <c r="N2085" s="65" t="s">
        <v>80</v>
      </c>
    </row>
    <row r="2086">
      <c r="I2086" s="61" t="str">
        <f t="shared" si="6"/>
        <v>2024</v>
      </c>
      <c r="J2086" s="62">
        <f t="shared" si="7"/>
        <v>6</v>
      </c>
      <c r="K2086" s="61" t="str">
        <f t="shared" si="8"/>
        <v>2024-Q2</v>
      </c>
      <c r="L2086" s="63" t="str">
        <f t="shared" si="9"/>
        <v>2024-06</v>
      </c>
      <c r="M2086" s="64" t="str">
        <f t="shared" si="10"/>
        <v>2024-H1</v>
      </c>
      <c r="N2086" s="65" t="s">
        <v>80</v>
      </c>
    </row>
    <row r="2087">
      <c r="I2087" s="61" t="str">
        <f t="shared" si="6"/>
        <v>2024</v>
      </c>
      <c r="J2087" s="62">
        <f t="shared" si="7"/>
        <v>6</v>
      </c>
      <c r="K2087" s="61" t="str">
        <f t="shared" si="8"/>
        <v>2024-Q2</v>
      </c>
      <c r="L2087" s="63" t="str">
        <f t="shared" si="9"/>
        <v>2024-06</v>
      </c>
      <c r="M2087" s="64" t="str">
        <f t="shared" si="10"/>
        <v>2024-H1</v>
      </c>
      <c r="N2087" s="65" t="s">
        <v>80</v>
      </c>
    </row>
    <row r="2088">
      <c r="I2088" s="61" t="str">
        <f t="shared" si="6"/>
        <v>2024</v>
      </c>
      <c r="J2088" s="62">
        <f t="shared" si="7"/>
        <v>6</v>
      </c>
      <c r="K2088" s="61" t="str">
        <f t="shared" si="8"/>
        <v>2024-Q2</v>
      </c>
      <c r="L2088" s="63" t="str">
        <f t="shared" si="9"/>
        <v>2024-06</v>
      </c>
      <c r="M2088" s="64" t="str">
        <f t="shared" si="10"/>
        <v>2024-H1</v>
      </c>
      <c r="N2088" s="65" t="s">
        <v>80</v>
      </c>
    </row>
    <row r="2089">
      <c r="I2089" s="61" t="str">
        <f t="shared" si="6"/>
        <v>2024</v>
      </c>
      <c r="J2089" s="62">
        <f t="shared" si="7"/>
        <v>6</v>
      </c>
      <c r="K2089" s="61" t="str">
        <f t="shared" si="8"/>
        <v>2024-Q2</v>
      </c>
      <c r="L2089" s="63" t="str">
        <f t="shared" si="9"/>
        <v>2024-06</v>
      </c>
      <c r="M2089" s="64" t="str">
        <f t="shared" si="10"/>
        <v>2024-H1</v>
      </c>
      <c r="N2089" s="65" t="s">
        <v>80</v>
      </c>
    </row>
    <row r="2090">
      <c r="I2090" s="61" t="str">
        <f t="shared" si="6"/>
        <v>2024</v>
      </c>
      <c r="J2090" s="62">
        <f t="shared" si="7"/>
        <v>6</v>
      </c>
      <c r="K2090" s="61" t="str">
        <f t="shared" si="8"/>
        <v>2024-Q2</v>
      </c>
      <c r="L2090" s="63" t="str">
        <f t="shared" si="9"/>
        <v>2024-06</v>
      </c>
      <c r="M2090" s="64" t="str">
        <f t="shared" si="10"/>
        <v>2024-H1</v>
      </c>
      <c r="N2090" s="65" t="s">
        <v>80</v>
      </c>
    </row>
    <row r="2091">
      <c r="I2091" s="61" t="str">
        <f t="shared" si="6"/>
        <v>2024</v>
      </c>
      <c r="J2091" s="62">
        <f t="shared" si="7"/>
        <v>6</v>
      </c>
      <c r="K2091" s="61" t="str">
        <f t="shared" si="8"/>
        <v>2024-Q2</v>
      </c>
      <c r="L2091" s="63" t="str">
        <f t="shared" si="9"/>
        <v>2024-06</v>
      </c>
      <c r="M2091" s="64" t="str">
        <f t="shared" si="10"/>
        <v>2024-H1</v>
      </c>
      <c r="N2091" s="65" t="s">
        <v>80</v>
      </c>
    </row>
    <row r="2092">
      <c r="I2092" s="61" t="str">
        <f t="shared" si="6"/>
        <v>2024</v>
      </c>
      <c r="J2092" s="62">
        <f t="shared" si="7"/>
        <v>6</v>
      </c>
      <c r="K2092" s="61" t="str">
        <f t="shared" si="8"/>
        <v>2024-Q2</v>
      </c>
      <c r="L2092" s="63" t="str">
        <f t="shared" si="9"/>
        <v>2024-06</v>
      </c>
      <c r="M2092" s="64" t="str">
        <f t="shared" si="10"/>
        <v>2024-H1</v>
      </c>
      <c r="N2092" s="65" t="s">
        <v>80</v>
      </c>
    </row>
    <row r="2093">
      <c r="I2093" s="61" t="str">
        <f t="shared" si="6"/>
        <v>2024</v>
      </c>
      <c r="J2093" s="62">
        <f t="shared" si="7"/>
        <v>6</v>
      </c>
      <c r="K2093" s="61" t="str">
        <f t="shared" si="8"/>
        <v>2024-Q2</v>
      </c>
      <c r="L2093" s="63" t="str">
        <f t="shared" si="9"/>
        <v>2024-06</v>
      </c>
      <c r="M2093" s="64" t="str">
        <f t="shared" si="10"/>
        <v>2024-H1</v>
      </c>
      <c r="N2093" s="65" t="s">
        <v>80</v>
      </c>
    </row>
    <row r="2094">
      <c r="I2094" s="61" t="str">
        <f t="shared" si="6"/>
        <v>2024</v>
      </c>
      <c r="J2094" s="62">
        <f t="shared" si="7"/>
        <v>6</v>
      </c>
      <c r="K2094" s="61" t="str">
        <f t="shared" si="8"/>
        <v>2024-Q2</v>
      </c>
      <c r="L2094" s="63" t="str">
        <f t="shared" si="9"/>
        <v>2024-06</v>
      </c>
      <c r="M2094" s="64" t="str">
        <f t="shared" si="10"/>
        <v>2024-H1</v>
      </c>
      <c r="N2094" s="65" t="s">
        <v>80</v>
      </c>
    </row>
    <row r="2095">
      <c r="I2095" s="61" t="str">
        <f t="shared" si="6"/>
        <v>2024</v>
      </c>
      <c r="J2095" s="62">
        <f t="shared" si="7"/>
        <v>6</v>
      </c>
      <c r="K2095" s="61" t="str">
        <f t="shared" si="8"/>
        <v>2024-Q2</v>
      </c>
      <c r="L2095" s="63" t="str">
        <f t="shared" si="9"/>
        <v>2024-06</v>
      </c>
      <c r="M2095" s="64" t="str">
        <f t="shared" si="10"/>
        <v>2024-H1</v>
      </c>
      <c r="N2095" s="65" t="s">
        <v>80</v>
      </c>
    </row>
    <row r="2096">
      <c r="I2096" s="61" t="str">
        <f t="shared" si="6"/>
        <v>2024</v>
      </c>
      <c r="J2096" s="62">
        <f t="shared" si="7"/>
        <v>6</v>
      </c>
      <c r="K2096" s="61" t="str">
        <f t="shared" si="8"/>
        <v>2024-Q2</v>
      </c>
      <c r="L2096" s="63" t="str">
        <f t="shared" si="9"/>
        <v>2024-06</v>
      </c>
      <c r="M2096" s="64" t="str">
        <f t="shared" si="10"/>
        <v>2024-H1</v>
      </c>
      <c r="N2096" s="65" t="s">
        <v>80</v>
      </c>
    </row>
    <row r="2097">
      <c r="I2097" s="61" t="str">
        <f t="shared" si="6"/>
        <v>2024</v>
      </c>
      <c r="J2097" s="62">
        <f t="shared" si="7"/>
        <v>6</v>
      </c>
      <c r="K2097" s="61" t="str">
        <f t="shared" si="8"/>
        <v>2024-Q2</v>
      </c>
      <c r="L2097" s="63" t="str">
        <f t="shared" si="9"/>
        <v>2024-06</v>
      </c>
      <c r="M2097" s="64" t="str">
        <f t="shared" si="10"/>
        <v>2024-H1</v>
      </c>
      <c r="N2097" s="65" t="s">
        <v>80</v>
      </c>
    </row>
    <row r="2098">
      <c r="I2098" s="61" t="str">
        <f t="shared" si="6"/>
        <v>2024</v>
      </c>
      <c r="J2098" s="62">
        <f t="shared" si="7"/>
        <v>6</v>
      </c>
      <c r="K2098" s="61" t="str">
        <f t="shared" si="8"/>
        <v>2024-Q2</v>
      </c>
      <c r="L2098" s="63" t="str">
        <f t="shared" si="9"/>
        <v>2024-06</v>
      </c>
      <c r="M2098" s="64" t="str">
        <f t="shared" si="10"/>
        <v>2024-H1</v>
      </c>
      <c r="N2098" s="65" t="s">
        <v>80</v>
      </c>
    </row>
    <row r="2099">
      <c r="I2099" s="61" t="str">
        <f t="shared" si="6"/>
        <v>2024</v>
      </c>
      <c r="J2099" s="62">
        <f t="shared" si="7"/>
        <v>6</v>
      </c>
      <c r="K2099" s="61" t="str">
        <f t="shared" si="8"/>
        <v>2024-Q2</v>
      </c>
      <c r="L2099" s="63" t="str">
        <f t="shared" si="9"/>
        <v>2024-06</v>
      </c>
      <c r="M2099" s="64" t="str">
        <f t="shared" si="10"/>
        <v>2024-H1</v>
      </c>
      <c r="N2099" s="65" t="s">
        <v>80</v>
      </c>
    </row>
    <row r="2100">
      <c r="I2100" s="61" t="str">
        <f t="shared" si="6"/>
        <v>2024</v>
      </c>
      <c r="J2100" s="62">
        <f t="shared" si="7"/>
        <v>6</v>
      </c>
      <c r="K2100" s="61" t="str">
        <f t="shared" si="8"/>
        <v>2024-Q2</v>
      </c>
      <c r="L2100" s="63" t="str">
        <f t="shared" si="9"/>
        <v>2024-06</v>
      </c>
      <c r="M2100" s="64" t="str">
        <f t="shared" si="10"/>
        <v>2024-H1</v>
      </c>
      <c r="N2100" s="65" t="s">
        <v>80</v>
      </c>
    </row>
    <row r="2101">
      <c r="I2101" s="61" t="str">
        <f t="shared" si="6"/>
        <v>2024</v>
      </c>
      <c r="J2101" s="62">
        <f t="shared" si="7"/>
        <v>6</v>
      </c>
      <c r="K2101" s="61" t="str">
        <f t="shared" si="8"/>
        <v>2024-Q2</v>
      </c>
      <c r="L2101" s="63" t="str">
        <f t="shared" si="9"/>
        <v>2024-06</v>
      </c>
      <c r="M2101" s="64" t="str">
        <f t="shared" si="10"/>
        <v>2024-H1</v>
      </c>
      <c r="N2101" s="65" t="s">
        <v>80</v>
      </c>
    </row>
    <row r="2102">
      <c r="I2102" s="61" t="str">
        <f t="shared" si="6"/>
        <v>2024</v>
      </c>
      <c r="J2102" s="62">
        <f t="shared" si="7"/>
        <v>6</v>
      </c>
      <c r="K2102" s="61" t="str">
        <f t="shared" si="8"/>
        <v>2024-Q2</v>
      </c>
      <c r="L2102" s="63" t="str">
        <f t="shared" si="9"/>
        <v>2024-06</v>
      </c>
      <c r="M2102" s="64" t="str">
        <f t="shared" si="10"/>
        <v>2024-H1</v>
      </c>
      <c r="N2102" s="65" t="s">
        <v>80</v>
      </c>
    </row>
    <row r="2103">
      <c r="I2103" s="61" t="str">
        <f t="shared" si="6"/>
        <v>2024</v>
      </c>
      <c r="J2103" s="62">
        <f t="shared" si="7"/>
        <v>6</v>
      </c>
      <c r="K2103" s="61" t="str">
        <f t="shared" si="8"/>
        <v>2024-Q2</v>
      </c>
      <c r="L2103" s="63" t="str">
        <f t="shared" si="9"/>
        <v>2024-06</v>
      </c>
      <c r="M2103" s="64" t="str">
        <f t="shared" si="10"/>
        <v>2024-H1</v>
      </c>
      <c r="N2103" s="65" t="s">
        <v>80</v>
      </c>
    </row>
    <row r="2104">
      <c r="I2104" s="61" t="str">
        <f t="shared" si="6"/>
        <v>2024</v>
      </c>
      <c r="J2104" s="62">
        <f t="shared" si="7"/>
        <v>6</v>
      </c>
      <c r="K2104" s="61" t="str">
        <f t="shared" si="8"/>
        <v>2024-Q2</v>
      </c>
      <c r="L2104" s="63" t="str">
        <f t="shared" si="9"/>
        <v>2024-06</v>
      </c>
      <c r="M2104" s="64" t="str">
        <f t="shared" si="10"/>
        <v>2024-H1</v>
      </c>
      <c r="N2104" s="65" t="s">
        <v>80</v>
      </c>
    </row>
    <row r="2105">
      <c r="I2105" s="61" t="str">
        <f t="shared" si="6"/>
        <v>2024</v>
      </c>
      <c r="J2105" s="62">
        <f t="shared" si="7"/>
        <v>6</v>
      </c>
      <c r="K2105" s="61" t="str">
        <f t="shared" si="8"/>
        <v>2024-Q2</v>
      </c>
      <c r="L2105" s="63" t="str">
        <f t="shared" si="9"/>
        <v>2024-06</v>
      </c>
      <c r="M2105" s="64" t="str">
        <f t="shared" si="10"/>
        <v>2024-H1</v>
      </c>
      <c r="N2105" s="65" t="s">
        <v>80</v>
      </c>
    </row>
    <row r="2106">
      <c r="I2106" s="61" t="str">
        <f t="shared" si="6"/>
        <v>2024</v>
      </c>
      <c r="J2106" s="62">
        <f t="shared" si="7"/>
        <v>6</v>
      </c>
      <c r="K2106" s="61" t="str">
        <f t="shared" si="8"/>
        <v>2024-Q2</v>
      </c>
      <c r="L2106" s="63" t="str">
        <f t="shared" si="9"/>
        <v>2024-06</v>
      </c>
      <c r="M2106" s="64" t="str">
        <f t="shared" si="10"/>
        <v>2024-H1</v>
      </c>
      <c r="N2106" s="65" t="s">
        <v>80</v>
      </c>
    </row>
    <row r="2107">
      <c r="I2107" s="61" t="str">
        <f t="shared" si="6"/>
        <v>2024</v>
      </c>
      <c r="J2107" s="62">
        <f t="shared" si="7"/>
        <v>6</v>
      </c>
      <c r="K2107" s="61" t="str">
        <f t="shared" si="8"/>
        <v>2024-Q2</v>
      </c>
      <c r="L2107" s="63" t="str">
        <f t="shared" si="9"/>
        <v>2024-06</v>
      </c>
      <c r="M2107" s="64" t="str">
        <f t="shared" si="10"/>
        <v>2024-H1</v>
      </c>
      <c r="N2107" s="65" t="s">
        <v>80</v>
      </c>
    </row>
    <row r="2108">
      <c r="I2108" s="61" t="str">
        <f t="shared" si="6"/>
        <v>2024</v>
      </c>
      <c r="J2108" s="62">
        <f t="shared" si="7"/>
        <v>6</v>
      </c>
      <c r="K2108" s="61" t="str">
        <f t="shared" si="8"/>
        <v>2024-Q2</v>
      </c>
      <c r="L2108" s="63" t="str">
        <f t="shared" si="9"/>
        <v>2024-06</v>
      </c>
      <c r="M2108" s="64" t="str">
        <f t="shared" si="10"/>
        <v>2024-H1</v>
      </c>
      <c r="N2108" s="65" t="s">
        <v>80</v>
      </c>
    </row>
    <row r="2109">
      <c r="I2109" s="61" t="str">
        <f t="shared" si="6"/>
        <v>2024</v>
      </c>
      <c r="J2109" s="62">
        <f t="shared" si="7"/>
        <v>6</v>
      </c>
      <c r="K2109" s="61" t="str">
        <f t="shared" si="8"/>
        <v>2024-Q2</v>
      </c>
      <c r="L2109" s="63" t="str">
        <f t="shared" si="9"/>
        <v>2024-06</v>
      </c>
      <c r="M2109" s="64" t="str">
        <f t="shared" si="10"/>
        <v>2024-H1</v>
      </c>
      <c r="N2109" s="65" t="s">
        <v>80</v>
      </c>
    </row>
    <row r="2110">
      <c r="I2110" s="61" t="str">
        <f t="shared" si="6"/>
        <v>2024</v>
      </c>
      <c r="J2110" s="62">
        <f t="shared" si="7"/>
        <v>6</v>
      </c>
      <c r="K2110" s="61" t="str">
        <f t="shared" si="8"/>
        <v>2024-Q2</v>
      </c>
      <c r="L2110" s="63" t="str">
        <f t="shared" si="9"/>
        <v>2024-06</v>
      </c>
      <c r="M2110" s="64" t="str">
        <f t="shared" si="10"/>
        <v>2024-H1</v>
      </c>
      <c r="N2110" s="65" t="s">
        <v>80</v>
      </c>
    </row>
    <row r="2111">
      <c r="I2111" s="61" t="str">
        <f t="shared" si="6"/>
        <v>2024</v>
      </c>
      <c r="J2111" s="62">
        <f t="shared" si="7"/>
        <v>6</v>
      </c>
      <c r="K2111" s="61" t="str">
        <f t="shared" si="8"/>
        <v>2024-Q2</v>
      </c>
      <c r="L2111" s="63" t="str">
        <f t="shared" si="9"/>
        <v>2024-06</v>
      </c>
      <c r="M2111" s="64" t="str">
        <f t="shared" si="10"/>
        <v>2024-H1</v>
      </c>
      <c r="N2111" s="65" t="s">
        <v>80</v>
      </c>
    </row>
    <row r="2112">
      <c r="I2112" s="61" t="str">
        <f t="shared" si="6"/>
        <v>2024</v>
      </c>
      <c r="J2112" s="62">
        <f t="shared" si="7"/>
        <v>6</v>
      </c>
      <c r="K2112" s="61" t="str">
        <f t="shared" si="8"/>
        <v>2024-Q2</v>
      </c>
      <c r="L2112" s="63" t="str">
        <f t="shared" si="9"/>
        <v>2024-06</v>
      </c>
      <c r="M2112" s="64" t="str">
        <f t="shared" si="10"/>
        <v>2024-H1</v>
      </c>
      <c r="N2112" s="65" t="s">
        <v>80</v>
      </c>
    </row>
    <row r="2113">
      <c r="I2113" s="61" t="str">
        <f t="shared" si="6"/>
        <v>2024</v>
      </c>
      <c r="J2113" s="62">
        <f t="shared" si="7"/>
        <v>6</v>
      </c>
      <c r="K2113" s="61" t="str">
        <f t="shared" si="8"/>
        <v>2024-Q2</v>
      </c>
      <c r="L2113" s="63" t="str">
        <f t="shared" si="9"/>
        <v>2024-06</v>
      </c>
      <c r="M2113" s="64" t="str">
        <f t="shared" si="10"/>
        <v>2024-H1</v>
      </c>
      <c r="N2113" s="65" t="s">
        <v>80</v>
      </c>
    </row>
    <row r="2114">
      <c r="I2114" s="61" t="str">
        <f t="shared" si="6"/>
        <v>2024</v>
      </c>
      <c r="J2114" s="62">
        <f t="shared" si="7"/>
        <v>6</v>
      </c>
      <c r="K2114" s="61" t="str">
        <f t="shared" si="8"/>
        <v>2024-Q2</v>
      </c>
      <c r="L2114" s="63" t="str">
        <f t="shared" si="9"/>
        <v>2024-06</v>
      </c>
      <c r="M2114" s="64" t="str">
        <f t="shared" si="10"/>
        <v>2024-H1</v>
      </c>
      <c r="N2114" s="65" t="s">
        <v>80</v>
      </c>
    </row>
    <row r="2115">
      <c r="I2115" s="61" t="str">
        <f t="shared" si="6"/>
        <v>2024</v>
      </c>
      <c r="J2115" s="62">
        <f t="shared" si="7"/>
        <v>6</v>
      </c>
      <c r="K2115" s="61" t="str">
        <f t="shared" si="8"/>
        <v>2024-Q2</v>
      </c>
      <c r="L2115" s="63" t="str">
        <f t="shared" si="9"/>
        <v>2024-06</v>
      </c>
      <c r="M2115" s="64" t="str">
        <f t="shared" si="10"/>
        <v>2024-H1</v>
      </c>
      <c r="N2115" s="65" t="s">
        <v>80</v>
      </c>
    </row>
    <row r="2116">
      <c r="I2116" s="61" t="str">
        <f t="shared" si="6"/>
        <v>2024</v>
      </c>
      <c r="J2116" s="62">
        <f t="shared" si="7"/>
        <v>6</v>
      </c>
      <c r="K2116" s="61" t="str">
        <f t="shared" si="8"/>
        <v>2024-Q2</v>
      </c>
      <c r="L2116" s="63" t="str">
        <f t="shared" si="9"/>
        <v>2024-06</v>
      </c>
      <c r="M2116" s="64" t="str">
        <f t="shared" si="10"/>
        <v>2024-H1</v>
      </c>
      <c r="N2116" s="65" t="s">
        <v>80</v>
      </c>
    </row>
    <row r="2117">
      <c r="I2117" s="61" t="str">
        <f t="shared" si="6"/>
        <v>2024</v>
      </c>
      <c r="J2117" s="62">
        <f t="shared" si="7"/>
        <v>6</v>
      </c>
      <c r="K2117" s="61" t="str">
        <f t="shared" si="8"/>
        <v>2024-Q2</v>
      </c>
      <c r="L2117" s="63" t="str">
        <f t="shared" si="9"/>
        <v>2024-06</v>
      </c>
      <c r="M2117" s="64" t="str">
        <f t="shared" si="10"/>
        <v>2024-H1</v>
      </c>
      <c r="N2117" s="65" t="s">
        <v>80</v>
      </c>
    </row>
    <row r="2118">
      <c r="I2118" s="61" t="str">
        <f t="shared" si="6"/>
        <v>2024</v>
      </c>
      <c r="J2118" s="62">
        <f t="shared" si="7"/>
        <v>6</v>
      </c>
      <c r="K2118" s="61" t="str">
        <f t="shared" si="8"/>
        <v>2024-Q2</v>
      </c>
      <c r="L2118" s="63" t="str">
        <f t="shared" si="9"/>
        <v>2024-06</v>
      </c>
      <c r="M2118" s="64" t="str">
        <f t="shared" si="10"/>
        <v>2024-H1</v>
      </c>
      <c r="N2118" s="65" t="s">
        <v>80</v>
      </c>
    </row>
    <row r="2119">
      <c r="I2119" s="61" t="str">
        <f t="shared" si="6"/>
        <v>2024</v>
      </c>
      <c r="J2119" s="62">
        <f t="shared" si="7"/>
        <v>6</v>
      </c>
      <c r="K2119" s="61" t="str">
        <f t="shared" si="8"/>
        <v>2024-Q2</v>
      </c>
      <c r="L2119" s="63" t="str">
        <f t="shared" si="9"/>
        <v>2024-06</v>
      </c>
      <c r="M2119" s="64" t="str">
        <f t="shared" si="10"/>
        <v>2024-H1</v>
      </c>
      <c r="N2119" s="65" t="s">
        <v>80</v>
      </c>
    </row>
    <row r="2120">
      <c r="I2120" s="61" t="str">
        <f t="shared" si="6"/>
        <v>2024</v>
      </c>
      <c r="J2120" s="62">
        <f t="shared" si="7"/>
        <v>6</v>
      </c>
      <c r="K2120" s="61" t="str">
        <f t="shared" si="8"/>
        <v>2024-Q2</v>
      </c>
      <c r="L2120" s="63" t="str">
        <f t="shared" si="9"/>
        <v>2024-06</v>
      </c>
      <c r="M2120" s="64" t="str">
        <f t="shared" si="10"/>
        <v>2024-H1</v>
      </c>
      <c r="N2120" s="65" t="s">
        <v>80</v>
      </c>
    </row>
    <row r="2121">
      <c r="I2121" s="61" t="str">
        <f t="shared" si="6"/>
        <v>2024</v>
      </c>
      <c r="J2121" s="62">
        <f t="shared" si="7"/>
        <v>6</v>
      </c>
      <c r="K2121" s="61" t="str">
        <f t="shared" si="8"/>
        <v>2024-Q2</v>
      </c>
      <c r="L2121" s="63" t="str">
        <f t="shared" si="9"/>
        <v>2024-06</v>
      </c>
      <c r="M2121" s="64" t="str">
        <f t="shared" si="10"/>
        <v>2024-H1</v>
      </c>
      <c r="N2121" s="65" t="s">
        <v>80</v>
      </c>
    </row>
    <row r="2122">
      <c r="I2122" s="61" t="str">
        <f t="shared" si="6"/>
        <v>2024</v>
      </c>
      <c r="J2122" s="62">
        <f t="shared" si="7"/>
        <v>6</v>
      </c>
      <c r="K2122" s="61" t="str">
        <f t="shared" si="8"/>
        <v>2024-Q2</v>
      </c>
      <c r="L2122" s="63" t="str">
        <f t="shared" si="9"/>
        <v>2024-06</v>
      </c>
      <c r="M2122" s="64" t="str">
        <f t="shared" si="10"/>
        <v>2024-H1</v>
      </c>
      <c r="N2122" s="65" t="s">
        <v>80</v>
      </c>
    </row>
    <row r="2123">
      <c r="I2123" s="61" t="str">
        <f t="shared" si="6"/>
        <v>2024</v>
      </c>
      <c r="J2123" s="62">
        <f t="shared" si="7"/>
        <v>6</v>
      </c>
      <c r="K2123" s="61" t="str">
        <f t="shared" si="8"/>
        <v>2024-Q2</v>
      </c>
      <c r="L2123" s="63" t="str">
        <f t="shared" si="9"/>
        <v>2024-06</v>
      </c>
      <c r="M2123" s="64" t="str">
        <f t="shared" si="10"/>
        <v>2024-H1</v>
      </c>
      <c r="N2123" s="65" t="s">
        <v>80</v>
      </c>
    </row>
    <row r="2124">
      <c r="I2124" s="61" t="str">
        <f t="shared" si="6"/>
        <v>2024</v>
      </c>
      <c r="J2124" s="62">
        <f t="shared" si="7"/>
        <v>6</v>
      </c>
      <c r="K2124" s="61" t="str">
        <f t="shared" si="8"/>
        <v>2024-Q2</v>
      </c>
      <c r="L2124" s="63" t="str">
        <f t="shared" si="9"/>
        <v>2024-06</v>
      </c>
      <c r="M2124" s="64" t="str">
        <f t="shared" si="10"/>
        <v>2024-H1</v>
      </c>
      <c r="N2124" s="65" t="s">
        <v>80</v>
      </c>
    </row>
    <row r="2125">
      <c r="I2125" s="61" t="str">
        <f t="shared" si="6"/>
        <v>2024</v>
      </c>
      <c r="J2125" s="62">
        <f t="shared" si="7"/>
        <v>6</v>
      </c>
      <c r="K2125" s="61" t="str">
        <f t="shared" si="8"/>
        <v>2024-Q2</v>
      </c>
      <c r="L2125" s="63" t="str">
        <f t="shared" si="9"/>
        <v>2024-06</v>
      </c>
      <c r="M2125" s="64" t="str">
        <f t="shared" si="10"/>
        <v>2024-H1</v>
      </c>
      <c r="N2125" s="65" t="s">
        <v>80</v>
      </c>
    </row>
    <row r="2126">
      <c r="I2126" s="61" t="str">
        <f t="shared" si="6"/>
        <v>2024</v>
      </c>
      <c r="J2126" s="62">
        <f t="shared" si="7"/>
        <v>6</v>
      </c>
      <c r="K2126" s="61" t="str">
        <f t="shared" si="8"/>
        <v>2024-Q2</v>
      </c>
      <c r="L2126" s="63" t="str">
        <f t="shared" si="9"/>
        <v>2024-06</v>
      </c>
      <c r="M2126" s="64" t="str">
        <f t="shared" si="10"/>
        <v>2024-H1</v>
      </c>
      <c r="N2126" s="65" t="s">
        <v>80</v>
      </c>
    </row>
    <row r="2127">
      <c r="I2127" s="61" t="str">
        <f t="shared" si="6"/>
        <v>2024</v>
      </c>
      <c r="J2127" s="62">
        <f t="shared" si="7"/>
        <v>6</v>
      </c>
      <c r="K2127" s="61" t="str">
        <f t="shared" si="8"/>
        <v>2024-Q2</v>
      </c>
      <c r="L2127" s="63" t="str">
        <f t="shared" si="9"/>
        <v>2024-06</v>
      </c>
      <c r="M2127" s="64" t="str">
        <f t="shared" si="10"/>
        <v>2024-H1</v>
      </c>
      <c r="N2127" s="65" t="s">
        <v>80</v>
      </c>
    </row>
    <row r="2128">
      <c r="I2128" s="61" t="str">
        <f t="shared" si="6"/>
        <v>2024</v>
      </c>
      <c r="J2128" s="62">
        <f t="shared" si="7"/>
        <v>6</v>
      </c>
      <c r="K2128" s="61" t="str">
        <f t="shared" si="8"/>
        <v>2024-Q2</v>
      </c>
      <c r="L2128" s="63" t="str">
        <f t="shared" si="9"/>
        <v>2024-06</v>
      </c>
      <c r="M2128" s="64" t="str">
        <f t="shared" si="10"/>
        <v>2024-H1</v>
      </c>
      <c r="N2128" s="65" t="s">
        <v>80</v>
      </c>
    </row>
    <row r="2129">
      <c r="I2129" s="61" t="str">
        <f t="shared" si="6"/>
        <v>2024</v>
      </c>
      <c r="J2129" s="62">
        <f t="shared" si="7"/>
        <v>6</v>
      </c>
      <c r="K2129" s="61" t="str">
        <f t="shared" si="8"/>
        <v>2024-Q2</v>
      </c>
      <c r="L2129" s="63" t="str">
        <f t="shared" si="9"/>
        <v>2024-06</v>
      </c>
      <c r="M2129" s="64" t="str">
        <f t="shared" si="10"/>
        <v>2024-H1</v>
      </c>
      <c r="N2129" s="65" t="s">
        <v>80</v>
      </c>
    </row>
    <row r="2130">
      <c r="I2130" s="61" t="str">
        <f t="shared" si="6"/>
        <v>2024</v>
      </c>
      <c r="J2130" s="62">
        <f t="shared" si="7"/>
        <v>6</v>
      </c>
      <c r="K2130" s="61" t="str">
        <f t="shared" si="8"/>
        <v>2024-Q2</v>
      </c>
      <c r="L2130" s="63" t="str">
        <f t="shared" si="9"/>
        <v>2024-06</v>
      </c>
      <c r="M2130" s="64" t="str">
        <f t="shared" si="10"/>
        <v>2024-H1</v>
      </c>
      <c r="N2130" s="65" t="s">
        <v>80</v>
      </c>
    </row>
    <row r="2131">
      <c r="I2131" s="61" t="str">
        <f t="shared" si="6"/>
        <v>2024</v>
      </c>
      <c r="J2131" s="62">
        <f t="shared" si="7"/>
        <v>6</v>
      </c>
      <c r="K2131" s="61" t="str">
        <f t="shared" si="8"/>
        <v>2024-Q2</v>
      </c>
      <c r="L2131" s="63" t="str">
        <f t="shared" si="9"/>
        <v>2024-06</v>
      </c>
      <c r="M2131" s="64" t="str">
        <f t="shared" si="10"/>
        <v>2024-H1</v>
      </c>
      <c r="N2131" s="65" t="s">
        <v>80</v>
      </c>
    </row>
    <row r="2132">
      <c r="I2132" s="61" t="str">
        <f t="shared" si="6"/>
        <v>2024</v>
      </c>
      <c r="J2132" s="62">
        <f t="shared" si="7"/>
        <v>6</v>
      </c>
      <c r="K2132" s="61" t="str">
        <f t="shared" si="8"/>
        <v>2024-Q2</v>
      </c>
      <c r="L2132" s="63" t="str">
        <f t="shared" si="9"/>
        <v>2024-06</v>
      </c>
      <c r="M2132" s="64" t="str">
        <f t="shared" si="10"/>
        <v>2024-H1</v>
      </c>
      <c r="N2132" s="65" t="s">
        <v>80</v>
      </c>
    </row>
    <row r="2133">
      <c r="I2133" s="61" t="str">
        <f t="shared" si="6"/>
        <v>2024</v>
      </c>
      <c r="J2133" s="62">
        <f t="shared" si="7"/>
        <v>6</v>
      </c>
      <c r="K2133" s="61" t="str">
        <f t="shared" si="8"/>
        <v>2024-Q2</v>
      </c>
      <c r="L2133" s="63" t="str">
        <f t="shared" si="9"/>
        <v>2024-06</v>
      </c>
      <c r="M2133" s="64" t="str">
        <f t="shared" si="10"/>
        <v>2024-H1</v>
      </c>
      <c r="N2133" s="65" t="s">
        <v>80</v>
      </c>
    </row>
    <row r="2134">
      <c r="I2134" s="61" t="str">
        <f t="shared" si="6"/>
        <v>2024</v>
      </c>
      <c r="J2134" s="62">
        <f t="shared" si="7"/>
        <v>6</v>
      </c>
      <c r="K2134" s="61" t="str">
        <f t="shared" si="8"/>
        <v>2024-Q2</v>
      </c>
      <c r="L2134" s="63" t="str">
        <f t="shared" si="9"/>
        <v>2024-06</v>
      </c>
      <c r="M2134" s="64" t="str">
        <f t="shared" si="10"/>
        <v>2024-H1</v>
      </c>
      <c r="N2134" s="65" t="s">
        <v>80</v>
      </c>
    </row>
    <row r="2135">
      <c r="I2135" s="61" t="str">
        <f t="shared" si="6"/>
        <v>2024</v>
      </c>
      <c r="J2135" s="62">
        <f t="shared" si="7"/>
        <v>6</v>
      </c>
      <c r="K2135" s="61" t="str">
        <f t="shared" si="8"/>
        <v>2024-Q2</v>
      </c>
      <c r="L2135" s="63" t="str">
        <f t="shared" si="9"/>
        <v>2024-06</v>
      </c>
      <c r="M2135" s="64" t="str">
        <f t="shared" si="10"/>
        <v>2024-H1</v>
      </c>
      <c r="N2135" s="65" t="s">
        <v>80</v>
      </c>
    </row>
    <row r="2136">
      <c r="I2136" s="61" t="str">
        <f t="shared" si="6"/>
        <v>2024</v>
      </c>
      <c r="J2136" s="62">
        <f t="shared" si="7"/>
        <v>6</v>
      </c>
      <c r="K2136" s="61" t="str">
        <f t="shared" si="8"/>
        <v>2024-Q2</v>
      </c>
      <c r="L2136" s="63" t="str">
        <f t="shared" si="9"/>
        <v>2024-06</v>
      </c>
      <c r="M2136" s="64" t="str">
        <f t="shared" si="10"/>
        <v>2024-H1</v>
      </c>
      <c r="N2136" s="65" t="s">
        <v>80</v>
      </c>
    </row>
    <row r="2137">
      <c r="I2137" s="61" t="str">
        <f t="shared" si="6"/>
        <v>2024</v>
      </c>
      <c r="J2137" s="62">
        <f t="shared" si="7"/>
        <v>6</v>
      </c>
      <c r="K2137" s="61" t="str">
        <f t="shared" si="8"/>
        <v>2024-Q2</v>
      </c>
      <c r="L2137" s="63" t="str">
        <f t="shared" si="9"/>
        <v>2024-06</v>
      </c>
      <c r="M2137" s="64" t="str">
        <f t="shared" si="10"/>
        <v>2024-H1</v>
      </c>
      <c r="N2137" s="65" t="s">
        <v>80</v>
      </c>
    </row>
    <row r="2138">
      <c r="I2138" s="61" t="str">
        <f t="shared" si="6"/>
        <v>2024</v>
      </c>
      <c r="J2138" s="62">
        <f t="shared" si="7"/>
        <v>6</v>
      </c>
      <c r="K2138" s="61" t="str">
        <f t="shared" si="8"/>
        <v>2024-Q2</v>
      </c>
      <c r="L2138" s="63" t="str">
        <f t="shared" si="9"/>
        <v>2024-06</v>
      </c>
      <c r="M2138" s="64" t="str">
        <f t="shared" si="10"/>
        <v>2024-H1</v>
      </c>
      <c r="N2138" s="65" t="s">
        <v>80</v>
      </c>
    </row>
    <row r="2139">
      <c r="I2139" s="61" t="str">
        <f t="shared" si="6"/>
        <v>2024</v>
      </c>
      <c r="J2139" s="62">
        <f t="shared" si="7"/>
        <v>6</v>
      </c>
      <c r="K2139" s="61" t="str">
        <f t="shared" si="8"/>
        <v>2024-Q2</v>
      </c>
      <c r="L2139" s="63" t="str">
        <f t="shared" si="9"/>
        <v>2024-06</v>
      </c>
      <c r="M2139" s="64" t="str">
        <f t="shared" si="10"/>
        <v>2024-H1</v>
      </c>
      <c r="N2139" s="65" t="s">
        <v>80</v>
      </c>
    </row>
    <row r="2140">
      <c r="I2140" s="61" t="str">
        <f t="shared" si="6"/>
        <v>2024</v>
      </c>
      <c r="J2140" s="62">
        <f t="shared" si="7"/>
        <v>6</v>
      </c>
      <c r="K2140" s="61" t="str">
        <f t="shared" si="8"/>
        <v>2024-Q2</v>
      </c>
      <c r="L2140" s="63" t="str">
        <f t="shared" si="9"/>
        <v>2024-06</v>
      </c>
      <c r="M2140" s="64" t="str">
        <f t="shared" si="10"/>
        <v>2024-H1</v>
      </c>
      <c r="N2140" s="65" t="s">
        <v>80</v>
      </c>
    </row>
    <row r="2141">
      <c r="I2141" s="61" t="str">
        <f t="shared" si="6"/>
        <v>2024</v>
      </c>
      <c r="J2141" s="62">
        <f t="shared" si="7"/>
        <v>6</v>
      </c>
      <c r="K2141" s="61" t="str">
        <f t="shared" si="8"/>
        <v>2024-Q2</v>
      </c>
      <c r="L2141" s="63" t="str">
        <f t="shared" si="9"/>
        <v>2024-06</v>
      </c>
      <c r="M2141" s="64" t="str">
        <f t="shared" si="10"/>
        <v>2024-H1</v>
      </c>
      <c r="N2141" s="65" t="s">
        <v>80</v>
      </c>
    </row>
    <row r="2142">
      <c r="I2142" s="61" t="str">
        <f t="shared" si="6"/>
        <v>2024</v>
      </c>
      <c r="J2142" s="62">
        <f t="shared" si="7"/>
        <v>6</v>
      </c>
      <c r="K2142" s="61" t="str">
        <f t="shared" si="8"/>
        <v>2024-Q2</v>
      </c>
      <c r="L2142" s="63" t="str">
        <f t="shared" si="9"/>
        <v>2024-06</v>
      </c>
      <c r="M2142" s="64" t="str">
        <f t="shared" si="10"/>
        <v>2024-H1</v>
      </c>
      <c r="N2142" s="65" t="s">
        <v>80</v>
      </c>
    </row>
    <row r="2143">
      <c r="I2143" s="61" t="str">
        <f t="shared" si="6"/>
        <v>2024</v>
      </c>
      <c r="J2143" s="62">
        <f t="shared" si="7"/>
        <v>6</v>
      </c>
      <c r="K2143" s="61" t="str">
        <f t="shared" si="8"/>
        <v>2024-Q2</v>
      </c>
      <c r="L2143" s="63" t="str">
        <f t="shared" si="9"/>
        <v>2024-06</v>
      </c>
      <c r="M2143" s="64" t="str">
        <f t="shared" si="10"/>
        <v>2024-H1</v>
      </c>
      <c r="N2143" s="65" t="s">
        <v>80</v>
      </c>
    </row>
    <row r="2144">
      <c r="I2144" s="61" t="str">
        <f t="shared" si="6"/>
        <v>2024</v>
      </c>
      <c r="J2144" s="62">
        <f t="shared" si="7"/>
        <v>6</v>
      </c>
      <c r="K2144" s="61" t="str">
        <f t="shared" si="8"/>
        <v>2024-Q2</v>
      </c>
      <c r="L2144" s="63" t="str">
        <f t="shared" si="9"/>
        <v>2024-06</v>
      </c>
      <c r="M2144" s="64" t="str">
        <f t="shared" si="10"/>
        <v>2024-H1</v>
      </c>
      <c r="N2144" s="65" t="s">
        <v>80</v>
      </c>
    </row>
    <row r="2145">
      <c r="I2145" s="61" t="str">
        <f t="shared" si="6"/>
        <v>2024</v>
      </c>
      <c r="J2145" s="62">
        <f t="shared" si="7"/>
        <v>6</v>
      </c>
      <c r="K2145" s="61" t="str">
        <f t="shared" si="8"/>
        <v>2024-Q2</v>
      </c>
      <c r="L2145" s="63" t="str">
        <f t="shared" si="9"/>
        <v>2024-06</v>
      </c>
      <c r="M2145" s="64" t="str">
        <f t="shared" si="10"/>
        <v>2024-H1</v>
      </c>
      <c r="N2145" s="65" t="s">
        <v>80</v>
      </c>
    </row>
    <row r="2146">
      <c r="I2146" s="61" t="str">
        <f t="shared" si="6"/>
        <v>2024</v>
      </c>
      <c r="J2146" s="62">
        <f t="shared" si="7"/>
        <v>6</v>
      </c>
      <c r="K2146" s="61" t="str">
        <f t="shared" si="8"/>
        <v>2024-Q2</v>
      </c>
      <c r="L2146" s="63" t="str">
        <f t="shared" si="9"/>
        <v>2024-06</v>
      </c>
      <c r="M2146" s="64" t="str">
        <f t="shared" si="10"/>
        <v>2024-H1</v>
      </c>
      <c r="N2146" s="65" t="s">
        <v>80</v>
      </c>
    </row>
    <row r="2147">
      <c r="I2147" s="61" t="str">
        <f t="shared" si="6"/>
        <v>2024</v>
      </c>
      <c r="J2147" s="62">
        <f t="shared" si="7"/>
        <v>6</v>
      </c>
      <c r="K2147" s="61" t="str">
        <f t="shared" si="8"/>
        <v>2024-Q2</v>
      </c>
      <c r="L2147" s="63" t="str">
        <f t="shared" si="9"/>
        <v>2024-06</v>
      </c>
      <c r="M2147" s="64" t="str">
        <f t="shared" si="10"/>
        <v>2024-H1</v>
      </c>
      <c r="N2147" s="65" t="s">
        <v>80</v>
      </c>
    </row>
    <row r="2148">
      <c r="I2148" s="61" t="str">
        <f t="shared" si="6"/>
        <v>2024</v>
      </c>
      <c r="J2148" s="62">
        <f t="shared" si="7"/>
        <v>6</v>
      </c>
      <c r="K2148" s="61" t="str">
        <f t="shared" si="8"/>
        <v>2024-Q2</v>
      </c>
      <c r="L2148" s="63" t="str">
        <f t="shared" si="9"/>
        <v>2024-06</v>
      </c>
      <c r="M2148" s="64" t="str">
        <f t="shared" si="10"/>
        <v>2024-H1</v>
      </c>
      <c r="N2148" s="65" t="s">
        <v>80</v>
      </c>
    </row>
    <row r="2149">
      <c r="I2149" s="61" t="str">
        <f t="shared" si="6"/>
        <v>2024</v>
      </c>
      <c r="J2149" s="62">
        <f t="shared" si="7"/>
        <v>6</v>
      </c>
      <c r="K2149" s="61" t="str">
        <f t="shared" si="8"/>
        <v>2024-Q2</v>
      </c>
      <c r="L2149" s="63" t="str">
        <f t="shared" si="9"/>
        <v>2024-06</v>
      </c>
      <c r="M2149" s="64" t="str">
        <f t="shared" si="10"/>
        <v>2024-H1</v>
      </c>
      <c r="N2149" s="65" t="s">
        <v>80</v>
      </c>
    </row>
    <row r="2150">
      <c r="I2150" s="61" t="str">
        <f t="shared" si="6"/>
        <v>2024</v>
      </c>
      <c r="J2150" s="62">
        <f t="shared" si="7"/>
        <v>6</v>
      </c>
      <c r="K2150" s="61" t="str">
        <f t="shared" si="8"/>
        <v>2024-Q2</v>
      </c>
      <c r="L2150" s="63" t="str">
        <f t="shared" si="9"/>
        <v>2024-06</v>
      </c>
      <c r="M2150" s="64" t="str">
        <f t="shared" si="10"/>
        <v>2024-H1</v>
      </c>
      <c r="N2150" s="65" t="s">
        <v>80</v>
      </c>
    </row>
    <row r="2151">
      <c r="I2151" s="61" t="str">
        <f t="shared" si="6"/>
        <v>2024</v>
      </c>
      <c r="J2151" s="62">
        <f t="shared" si="7"/>
        <v>6</v>
      </c>
      <c r="K2151" s="61" t="str">
        <f t="shared" si="8"/>
        <v>2024-Q2</v>
      </c>
      <c r="L2151" s="63" t="str">
        <f t="shared" si="9"/>
        <v>2024-06</v>
      </c>
      <c r="M2151" s="64" t="str">
        <f t="shared" si="10"/>
        <v>2024-H1</v>
      </c>
      <c r="N2151" s="65" t="s">
        <v>80</v>
      </c>
    </row>
    <row r="2152">
      <c r="I2152" s="61" t="str">
        <f t="shared" si="6"/>
        <v>2024</v>
      </c>
      <c r="J2152" s="62">
        <f t="shared" si="7"/>
        <v>6</v>
      </c>
      <c r="K2152" s="61" t="str">
        <f t="shared" si="8"/>
        <v>2024-Q2</v>
      </c>
      <c r="L2152" s="63" t="str">
        <f t="shared" si="9"/>
        <v>2024-06</v>
      </c>
      <c r="M2152" s="64" t="str">
        <f t="shared" si="10"/>
        <v>2024-H1</v>
      </c>
      <c r="N2152" s="65" t="s">
        <v>80</v>
      </c>
    </row>
    <row r="2153">
      <c r="I2153" s="61" t="str">
        <f t="shared" si="6"/>
        <v>2024</v>
      </c>
      <c r="J2153" s="62">
        <f t="shared" si="7"/>
        <v>6</v>
      </c>
      <c r="K2153" s="61" t="str">
        <f t="shared" si="8"/>
        <v>2024-Q2</v>
      </c>
      <c r="L2153" s="63" t="str">
        <f t="shared" si="9"/>
        <v>2024-06</v>
      </c>
      <c r="M2153" s="64" t="str">
        <f t="shared" si="10"/>
        <v>2024-H1</v>
      </c>
      <c r="N2153" s="65" t="s">
        <v>80</v>
      </c>
    </row>
    <row r="2154">
      <c r="I2154" s="61" t="str">
        <f t="shared" si="6"/>
        <v>2024</v>
      </c>
      <c r="J2154" s="62">
        <f t="shared" si="7"/>
        <v>6</v>
      </c>
      <c r="K2154" s="61" t="str">
        <f t="shared" si="8"/>
        <v>2024-Q2</v>
      </c>
      <c r="L2154" s="63" t="str">
        <f t="shared" si="9"/>
        <v>2024-06</v>
      </c>
      <c r="M2154" s="64" t="str">
        <f t="shared" si="10"/>
        <v>2024-H1</v>
      </c>
      <c r="N2154" s="65" t="s">
        <v>80</v>
      </c>
    </row>
    <row r="2155">
      <c r="I2155" s="61" t="str">
        <f t="shared" si="6"/>
        <v>2024</v>
      </c>
      <c r="J2155" s="62">
        <f t="shared" si="7"/>
        <v>6</v>
      </c>
      <c r="K2155" s="61" t="str">
        <f t="shared" si="8"/>
        <v>2024-Q2</v>
      </c>
      <c r="L2155" s="63" t="str">
        <f t="shared" si="9"/>
        <v>2024-06</v>
      </c>
      <c r="M2155" s="64" t="str">
        <f t="shared" si="10"/>
        <v>2024-H1</v>
      </c>
      <c r="N2155" s="65" t="s">
        <v>80</v>
      </c>
    </row>
    <row r="2156">
      <c r="I2156" s="61" t="str">
        <f t="shared" si="6"/>
        <v>2024</v>
      </c>
      <c r="J2156" s="62">
        <f t="shared" si="7"/>
        <v>6</v>
      </c>
      <c r="K2156" s="61" t="str">
        <f t="shared" si="8"/>
        <v>2024-Q2</v>
      </c>
      <c r="L2156" s="63" t="str">
        <f t="shared" si="9"/>
        <v>2024-06</v>
      </c>
      <c r="M2156" s="64" t="str">
        <f t="shared" si="10"/>
        <v>2024-H1</v>
      </c>
      <c r="N2156" s="65" t="s">
        <v>80</v>
      </c>
    </row>
    <row r="2157">
      <c r="I2157" s="61" t="str">
        <f t="shared" si="6"/>
        <v>2024</v>
      </c>
      <c r="J2157" s="62">
        <f t="shared" si="7"/>
        <v>6</v>
      </c>
      <c r="K2157" s="61" t="str">
        <f t="shared" si="8"/>
        <v>2024-Q2</v>
      </c>
      <c r="L2157" s="63" t="str">
        <f t="shared" si="9"/>
        <v>2024-06</v>
      </c>
      <c r="M2157" s="64" t="str">
        <f t="shared" si="10"/>
        <v>2024-H1</v>
      </c>
      <c r="N2157" s="65" t="s">
        <v>80</v>
      </c>
    </row>
    <row r="2158">
      <c r="I2158" s="61" t="str">
        <f t="shared" si="6"/>
        <v>2024</v>
      </c>
      <c r="J2158" s="62">
        <f t="shared" si="7"/>
        <v>6</v>
      </c>
      <c r="K2158" s="61" t="str">
        <f t="shared" si="8"/>
        <v>2024-Q2</v>
      </c>
      <c r="L2158" s="63" t="str">
        <f t="shared" si="9"/>
        <v>2024-06</v>
      </c>
      <c r="M2158" s="64" t="str">
        <f t="shared" si="10"/>
        <v>2024-H1</v>
      </c>
      <c r="N2158" s="65" t="s">
        <v>80</v>
      </c>
    </row>
    <row r="2159">
      <c r="I2159" s="61" t="str">
        <f t="shared" si="6"/>
        <v>2024</v>
      </c>
      <c r="J2159" s="62">
        <f t="shared" si="7"/>
        <v>6</v>
      </c>
      <c r="K2159" s="61" t="str">
        <f t="shared" si="8"/>
        <v>2024-Q2</v>
      </c>
      <c r="L2159" s="63" t="str">
        <f t="shared" si="9"/>
        <v>2024-06</v>
      </c>
      <c r="M2159" s="64" t="str">
        <f t="shared" si="10"/>
        <v>2024-H1</v>
      </c>
      <c r="N2159" s="65" t="s">
        <v>80</v>
      </c>
    </row>
    <row r="2160">
      <c r="I2160" s="61" t="str">
        <f t="shared" si="6"/>
        <v>2024</v>
      </c>
      <c r="J2160" s="62">
        <f t="shared" si="7"/>
        <v>6</v>
      </c>
      <c r="K2160" s="61" t="str">
        <f t="shared" si="8"/>
        <v>2024-Q2</v>
      </c>
      <c r="L2160" s="63" t="str">
        <f t="shared" si="9"/>
        <v>2024-06</v>
      </c>
      <c r="M2160" s="64" t="str">
        <f t="shared" si="10"/>
        <v>2024-H1</v>
      </c>
      <c r="N2160" s="65" t="s">
        <v>80</v>
      </c>
    </row>
    <row r="2161">
      <c r="I2161" s="61" t="str">
        <f t="shared" si="6"/>
        <v>2024</v>
      </c>
      <c r="J2161" s="62">
        <f t="shared" si="7"/>
        <v>6</v>
      </c>
      <c r="K2161" s="61" t="str">
        <f t="shared" si="8"/>
        <v>2024-Q2</v>
      </c>
      <c r="L2161" s="63" t="str">
        <f t="shared" si="9"/>
        <v>2024-06</v>
      </c>
      <c r="M2161" s="64" t="str">
        <f t="shared" si="10"/>
        <v>2024-H1</v>
      </c>
      <c r="N2161" s="65" t="s">
        <v>80</v>
      </c>
    </row>
    <row r="2162">
      <c r="I2162" s="61" t="str">
        <f t="shared" si="6"/>
        <v>2024</v>
      </c>
      <c r="J2162" s="62">
        <f t="shared" si="7"/>
        <v>6</v>
      </c>
      <c r="K2162" s="61" t="str">
        <f t="shared" si="8"/>
        <v>2024-Q2</v>
      </c>
      <c r="L2162" s="63" t="str">
        <f t="shared" si="9"/>
        <v>2024-06</v>
      </c>
      <c r="M2162" s="64" t="str">
        <f t="shared" si="10"/>
        <v>2024-H1</v>
      </c>
      <c r="N2162" s="65" t="s">
        <v>80</v>
      </c>
    </row>
    <row r="2163">
      <c r="I2163" s="61" t="str">
        <f t="shared" si="6"/>
        <v>2024</v>
      </c>
      <c r="J2163" s="62">
        <f t="shared" si="7"/>
        <v>6</v>
      </c>
      <c r="K2163" s="61" t="str">
        <f t="shared" si="8"/>
        <v>2024-Q2</v>
      </c>
      <c r="L2163" s="63" t="str">
        <f t="shared" si="9"/>
        <v>2024-06</v>
      </c>
      <c r="M2163" s="64" t="str">
        <f t="shared" si="10"/>
        <v>2024-H1</v>
      </c>
      <c r="N2163" s="65" t="s">
        <v>80</v>
      </c>
    </row>
    <row r="2164">
      <c r="I2164" s="61" t="str">
        <f t="shared" si="6"/>
        <v>2024</v>
      </c>
      <c r="J2164" s="62">
        <f t="shared" si="7"/>
        <v>6</v>
      </c>
      <c r="K2164" s="61" t="str">
        <f t="shared" si="8"/>
        <v>2024-Q2</v>
      </c>
      <c r="L2164" s="63" t="str">
        <f t="shared" si="9"/>
        <v>2024-06</v>
      </c>
      <c r="M2164" s="64" t="str">
        <f t="shared" si="10"/>
        <v>2024-H1</v>
      </c>
      <c r="N2164" s="65" t="s">
        <v>80</v>
      </c>
    </row>
    <row r="2165">
      <c r="I2165" s="61" t="str">
        <f t="shared" si="6"/>
        <v>2024</v>
      </c>
      <c r="J2165" s="62">
        <f t="shared" si="7"/>
        <v>6</v>
      </c>
      <c r="K2165" s="61" t="str">
        <f t="shared" si="8"/>
        <v>2024-Q2</v>
      </c>
      <c r="L2165" s="63" t="str">
        <f t="shared" si="9"/>
        <v>2024-06</v>
      </c>
      <c r="M2165" s="64" t="str">
        <f t="shared" si="10"/>
        <v>2024-H1</v>
      </c>
      <c r="N2165" s="65" t="s">
        <v>80</v>
      </c>
    </row>
    <row r="2166">
      <c r="I2166" s="61" t="str">
        <f t="shared" si="6"/>
        <v>2024</v>
      </c>
      <c r="J2166" s="62">
        <f t="shared" si="7"/>
        <v>6</v>
      </c>
      <c r="K2166" s="61" t="str">
        <f t="shared" si="8"/>
        <v>2024-Q2</v>
      </c>
      <c r="L2166" s="63" t="str">
        <f t="shared" si="9"/>
        <v>2024-06</v>
      </c>
      <c r="M2166" s="64" t="str">
        <f t="shared" si="10"/>
        <v>2024-H1</v>
      </c>
      <c r="N2166" s="65" t="s">
        <v>80</v>
      </c>
    </row>
    <row r="2167">
      <c r="I2167" s="61" t="str">
        <f t="shared" si="6"/>
        <v>2024</v>
      </c>
      <c r="J2167" s="62">
        <f t="shared" si="7"/>
        <v>6</v>
      </c>
      <c r="K2167" s="61" t="str">
        <f t="shared" si="8"/>
        <v>2024-Q2</v>
      </c>
      <c r="L2167" s="63" t="str">
        <f t="shared" si="9"/>
        <v>2024-06</v>
      </c>
      <c r="M2167" s="64" t="str">
        <f t="shared" si="10"/>
        <v>2024-H1</v>
      </c>
      <c r="N2167" s="65" t="s">
        <v>80</v>
      </c>
    </row>
    <row r="2168">
      <c r="I2168" s="61" t="str">
        <f t="shared" si="6"/>
        <v>2024</v>
      </c>
      <c r="J2168" s="62">
        <f t="shared" si="7"/>
        <v>6</v>
      </c>
      <c r="K2168" s="61" t="str">
        <f t="shared" si="8"/>
        <v>2024-Q2</v>
      </c>
      <c r="L2168" s="63" t="str">
        <f t="shared" si="9"/>
        <v>2024-06</v>
      </c>
      <c r="M2168" s="64" t="str">
        <f t="shared" si="10"/>
        <v>2024-H1</v>
      </c>
      <c r="N2168" s="65" t="s">
        <v>80</v>
      </c>
    </row>
    <row r="2169">
      <c r="I2169" s="61" t="str">
        <f t="shared" si="6"/>
        <v>2024</v>
      </c>
      <c r="J2169" s="62">
        <f t="shared" si="7"/>
        <v>6</v>
      </c>
      <c r="K2169" s="61" t="str">
        <f t="shared" si="8"/>
        <v>2024-Q2</v>
      </c>
      <c r="L2169" s="63" t="str">
        <f t="shared" si="9"/>
        <v>2024-06</v>
      </c>
      <c r="M2169" s="64" t="str">
        <f t="shared" si="10"/>
        <v>2024-H1</v>
      </c>
      <c r="N2169" s="65" t="s">
        <v>80</v>
      </c>
    </row>
    <row r="2170">
      <c r="I2170" s="61" t="str">
        <f t="shared" si="6"/>
        <v>2024</v>
      </c>
      <c r="J2170" s="62">
        <f t="shared" si="7"/>
        <v>6</v>
      </c>
      <c r="K2170" s="61" t="str">
        <f t="shared" si="8"/>
        <v>2024-Q2</v>
      </c>
      <c r="L2170" s="63" t="str">
        <f t="shared" si="9"/>
        <v>2024-06</v>
      </c>
      <c r="M2170" s="64" t="str">
        <f t="shared" si="10"/>
        <v>2024-H1</v>
      </c>
      <c r="N2170" s="65" t="s">
        <v>80</v>
      </c>
    </row>
    <row r="2171">
      <c r="I2171" s="61" t="str">
        <f t="shared" si="6"/>
        <v>2024</v>
      </c>
      <c r="J2171" s="62">
        <f t="shared" si="7"/>
        <v>6</v>
      </c>
      <c r="K2171" s="61" t="str">
        <f t="shared" si="8"/>
        <v>2024-Q2</v>
      </c>
      <c r="L2171" s="63" t="str">
        <f t="shared" si="9"/>
        <v>2024-06</v>
      </c>
      <c r="M2171" s="64" t="str">
        <f t="shared" si="10"/>
        <v>2024-H1</v>
      </c>
      <c r="N2171" s="65" t="s">
        <v>80</v>
      </c>
    </row>
    <row r="2172">
      <c r="I2172" s="61" t="str">
        <f t="shared" si="6"/>
        <v>2024</v>
      </c>
      <c r="J2172" s="62">
        <f t="shared" si="7"/>
        <v>6</v>
      </c>
      <c r="K2172" s="61" t="str">
        <f t="shared" si="8"/>
        <v>2024-Q2</v>
      </c>
      <c r="L2172" s="63" t="str">
        <f t="shared" si="9"/>
        <v>2024-06</v>
      </c>
      <c r="M2172" s="64" t="str">
        <f t="shared" si="10"/>
        <v>2024-H1</v>
      </c>
      <c r="N2172" s="65" t="s">
        <v>80</v>
      </c>
    </row>
    <row r="2173">
      <c r="I2173" s="61" t="str">
        <f t="shared" si="6"/>
        <v>2024</v>
      </c>
      <c r="J2173" s="62">
        <f t="shared" si="7"/>
        <v>6</v>
      </c>
      <c r="K2173" s="61" t="str">
        <f t="shared" si="8"/>
        <v>2024-Q2</v>
      </c>
      <c r="L2173" s="63" t="str">
        <f t="shared" si="9"/>
        <v>2024-06</v>
      </c>
      <c r="M2173" s="64" t="str">
        <f t="shared" si="10"/>
        <v>2024-H1</v>
      </c>
      <c r="N2173" s="65" t="s">
        <v>80</v>
      </c>
    </row>
    <row r="2174">
      <c r="I2174" s="61" t="str">
        <f t="shared" si="6"/>
        <v>2024</v>
      </c>
      <c r="J2174" s="62">
        <f t="shared" si="7"/>
        <v>6</v>
      </c>
      <c r="K2174" s="61" t="str">
        <f t="shared" si="8"/>
        <v>2024-Q2</v>
      </c>
      <c r="L2174" s="63" t="str">
        <f t="shared" si="9"/>
        <v>2024-06</v>
      </c>
      <c r="M2174" s="64" t="str">
        <f t="shared" si="10"/>
        <v>2024-H1</v>
      </c>
      <c r="N2174" s="65" t="s">
        <v>80</v>
      </c>
    </row>
    <row r="2175">
      <c r="I2175" s="61" t="str">
        <f t="shared" si="6"/>
        <v>2024</v>
      </c>
      <c r="J2175" s="62">
        <f t="shared" si="7"/>
        <v>6</v>
      </c>
      <c r="K2175" s="61" t="str">
        <f t="shared" si="8"/>
        <v>2024-Q2</v>
      </c>
      <c r="L2175" s="63" t="str">
        <f t="shared" si="9"/>
        <v>2024-06</v>
      </c>
      <c r="M2175" s="64" t="str">
        <f t="shared" si="10"/>
        <v>2024-H1</v>
      </c>
      <c r="N2175" s="65" t="s">
        <v>80</v>
      </c>
    </row>
    <row r="2176">
      <c r="I2176" s="61" t="str">
        <f t="shared" si="6"/>
        <v>2024</v>
      </c>
      <c r="J2176" s="62">
        <f t="shared" si="7"/>
        <v>6</v>
      </c>
      <c r="K2176" s="61" t="str">
        <f t="shared" si="8"/>
        <v>2024-Q2</v>
      </c>
      <c r="L2176" s="63" t="str">
        <f t="shared" si="9"/>
        <v>2024-06</v>
      </c>
      <c r="M2176" s="64" t="str">
        <f t="shared" si="10"/>
        <v>2024-H1</v>
      </c>
      <c r="N2176" s="65" t="s">
        <v>80</v>
      </c>
    </row>
    <row r="2177">
      <c r="I2177" s="61" t="str">
        <f t="shared" si="6"/>
        <v>2024</v>
      </c>
      <c r="J2177" s="62">
        <f t="shared" si="7"/>
        <v>6</v>
      </c>
      <c r="K2177" s="61" t="str">
        <f t="shared" si="8"/>
        <v>2024-Q2</v>
      </c>
      <c r="L2177" s="63" t="str">
        <f t="shared" si="9"/>
        <v>2024-06</v>
      </c>
      <c r="M2177" s="64" t="str">
        <f t="shared" si="10"/>
        <v>2024-H1</v>
      </c>
      <c r="N2177" s="65" t="s">
        <v>80</v>
      </c>
    </row>
    <row r="2178">
      <c r="I2178" s="61" t="str">
        <f t="shared" si="6"/>
        <v>2024</v>
      </c>
      <c r="J2178" s="62">
        <f t="shared" si="7"/>
        <v>6</v>
      </c>
      <c r="K2178" s="61" t="str">
        <f t="shared" si="8"/>
        <v>2024-Q2</v>
      </c>
      <c r="L2178" s="63" t="str">
        <f t="shared" si="9"/>
        <v>2024-06</v>
      </c>
      <c r="M2178" s="64" t="str">
        <f t="shared" si="10"/>
        <v>2024-H1</v>
      </c>
      <c r="N2178" s="65" t="s">
        <v>80</v>
      </c>
    </row>
    <row r="2179">
      <c r="I2179" s="61" t="str">
        <f t="shared" si="6"/>
        <v>2024</v>
      </c>
      <c r="J2179" s="62">
        <f t="shared" si="7"/>
        <v>6</v>
      </c>
      <c r="K2179" s="61" t="str">
        <f t="shared" si="8"/>
        <v>2024-Q2</v>
      </c>
      <c r="L2179" s="63" t="str">
        <f t="shared" si="9"/>
        <v>2024-06</v>
      </c>
      <c r="M2179" s="64" t="str">
        <f t="shared" si="10"/>
        <v>2024-H1</v>
      </c>
      <c r="N2179" s="65" t="s">
        <v>80</v>
      </c>
    </row>
    <row r="2180">
      <c r="I2180" s="61" t="str">
        <f t="shared" si="6"/>
        <v>2024</v>
      </c>
      <c r="J2180" s="62">
        <f t="shared" si="7"/>
        <v>6</v>
      </c>
      <c r="K2180" s="61" t="str">
        <f t="shared" si="8"/>
        <v>2024-Q2</v>
      </c>
      <c r="L2180" s="63" t="str">
        <f t="shared" si="9"/>
        <v>2024-06</v>
      </c>
      <c r="M2180" s="64" t="str">
        <f t="shared" si="10"/>
        <v>2024-H1</v>
      </c>
      <c r="N2180" s="65" t="s">
        <v>80</v>
      </c>
    </row>
    <row r="2181">
      <c r="I2181" s="61" t="str">
        <f t="shared" si="6"/>
        <v>2024</v>
      </c>
      <c r="J2181" s="62">
        <f t="shared" si="7"/>
        <v>6</v>
      </c>
      <c r="K2181" s="61" t="str">
        <f t="shared" si="8"/>
        <v>2024-Q2</v>
      </c>
      <c r="L2181" s="63" t="str">
        <f t="shared" si="9"/>
        <v>2024-06</v>
      </c>
      <c r="M2181" s="64" t="str">
        <f t="shared" si="10"/>
        <v>2024-H1</v>
      </c>
      <c r="N2181" s="65" t="s">
        <v>80</v>
      </c>
    </row>
    <row r="2182">
      <c r="I2182" s="61" t="str">
        <f t="shared" si="6"/>
        <v>2024</v>
      </c>
      <c r="J2182" s="62">
        <f t="shared" si="7"/>
        <v>6</v>
      </c>
      <c r="K2182" s="61" t="str">
        <f t="shared" si="8"/>
        <v>2024-Q2</v>
      </c>
      <c r="L2182" s="63" t="str">
        <f t="shared" si="9"/>
        <v>2024-06</v>
      </c>
      <c r="M2182" s="64" t="str">
        <f t="shared" si="10"/>
        <v>2024-H1</v>
      </c>
      <c r="N2182" s="65" t="s">
        <v>80</v>
      </c>
    </row>
    <row r="2183">
      <c r="I2183" s="61" t="str">
        <f t="shared" si="6"/>
        <v>2024</v>
      </c>
      <c r="J2183" s="62">
        <f t="shared" si="7"/>
        <v>6</v>
      </c>
      <c r="K2183" s="61" t="str">
        <f t="shared" si="8"/>
        <v>2024-Q2</v>
      </c>
      <c r="L2183" s="63" t="str">
        <f t="shared" si="9"/>
        <v>2024-06</v>
      </c>
      <c r="M2183" s="64" t="str">
        <f t="shared" si="10"/>
        <v>2024-H1</v>
      </c>
      <c r="N2183" s="65" t="s">
        <v>80</v>
      </c>
    </row>
    <row r="2184">
      <c r="I2184" s="61" t="str">
        <f t="shared" si="6"/>
        <v>2024</v>
      </c>
      <c r="J2184" s="62">
        <f t="shared" si="7"/>
        <v>6</v>
      </c>
      <c r="K2184" s="61" t="str">
        <f t="shared" si="8"/>
        <v>2024-Q2</v>
      </c>
      <c r="L2184" s="63" t="str">
        <f t="shared" si="9"/>
        <v>2024-06</v>
      </c>
      <c r="M2184" s="64" t="str">
        <f t="shared" si="10"/>
        <v>2024-H1</v>
      </c>
      <c r="N2184" s="65" t="s">
        <v>80</v>
      </c>
    </row>
    <row r="2185">
      <c r="I2185" s="61" t="str">
        <f t="shared" si="6"/>
        <v>2024</v>
      </c>
      <c r="J2185" s="62">
        <f t="shared" si="7"/>
        <v>6</v>
      </c>
      <c r="K2185" s="61" t="str">
        <f t="shared" si="8"/>
        <v>2024-Q2</v>
      </c>
      <c r="L2185" s="63" t="str">
        <f t="shared" si="9"/>
        <v>2024-06</v>
      </c>
      <c r="M2185" s="64" t="str">
        <f t="shared" si="10"/>
        <v>2024-H1</v>
      </c>
      <c r="N2185" s="65" t="s">
        <v>80</v>
      </c>
    </row>
    <row r="2186">
      <c r="I2186" s="61" t="str">
        <f t="shared" si="6"/>
        <v>2024</v>
      </c>
      <c r="J2186" s="62">
        <f t="shared" si="7"/>
        <v>6</v>
      </c>
      <c r="K2186" s="61" t="str">
        <f t="shared" si="8"/>
        <v>2024-Q2</v>
      </c>
      <c r="L2186" s="63" t="str">
        <f t="shared" si="9"/>
        <v>2024-06</v>
      </c>
      <c r="M2186" s="64" t="str">
        <f t="shared" si="10"/>
        <v>2024-H1</v>
      </c>
      <c r="N2186" s="65" t="s">
        <v>80</v>
      </c>
    </row>
    <row r="2187">
      <c r="I2187" s="61" t="str">
        <f t="shared" si="6"/>
        <v>2024</v>
      </c>
      <c r="J2187" s="62">
        <f t="shared" si="7"/>
        <v>6</v>
      </c>
      <c r="K2187" s="61" t="str">
        <f t="shared" si="8"/>
        <v>2024-Q2</v>
      </c>
      <c r="L2187" s="63" t="str">
        <f t="shared" si="9"/>
        <v>2024-06</v>
      </c>
      <c r="M2187" s="64" t="str">
        <f t="shared" si="10"/>
        <v>2024-H1</v>
      </c>
      <c r="N2187" s="65" t="s">
        <v>80</v>
      </c>
    </row>
    <row r="2188">
      <c r="I2188" s="61" t="str">
        <f t="shared" si="6"/>
        <v>2024</v>
      </c>
      <c r="J2188" s="62">
        <f t="shared" si="7"/>
        <v>6</v>
      </c>
      <c r="K2188" s="61" t="str">
        <f t="shared" si="8"/>
        <v>2024-Q2</v>
      </c>
      <c r="L2188" s="63" t="str">
        <f t="shared" si="9"/>
        <v>2024-06</v>
      </c>
      <c r="M2188" s="64" t="str">
        <f t="shared" si="10"/>
        <v>2024-H1</v>
      </c>
      <c r="N2188" s="65" t="s">
        <v>80</v>
      </c>
    </row>
    <row r="2189">
      <c r="I2189" s="61" t="str">
        <f t="shared" si="6"/>
        <v>2024</v>
      </c>
      <c r="J2189" s="62">
        <f t="shared" si="7"/>
        <v>6</v>
      </c>
      <c r="K2189" s="61" t="str">
        <f t="shared" si="8"/>
        <v>2024-Q2</v>
      </c>
      <c r="L2189" s="63" t="str">
        <f t="shared" si="9"/>
        <v>2024-06</v>
      </c>
      <c r="M2189" s="64" t="str">
        <f t="shared" si="10"/>
        <v>2024-H1</v>
      </c>
      <c r="N2189" s="65" t="s">
        <v>80</v>
      </c>
    </row>
    <row r="2190">
      <c r="I2190" s="61" t="str">
        <f t="shared" si="6"/>
        <v>2024</v>
      </c>
      <c r="J2190" s="62">
        <f t="shared" si="7"/>
        <v>6</v>
      </c>
      <c r="K2190" s="61" t="str">
        <f t="shared" si="8"/>
        <v>2024-Q2</v>
      </c>
      <c r="L2190" s="63" t="str">
        <f t="shared" si="9"/>
        <v>2024-06</v>
      </c>
      <c r="M2190" s="64" t="str">
        <f t="shared" si="10"/>
        <v>2024-H1</v>
      </c>
      <c r="N2190" s="65" t="s">
        <v>80</v>
      </c>
    </row>
    <row r="2191">
      <c r="I2191" s="61" t="str">
        <f t="shared" si="6"/>
        <v>2024</v>
      </c>
      <c r="J2191" s="62">
        <f t="shared" si="7"/>
        <v>6</v>
      </c>
      <c r="K2191" s="61" t="str">
        <f t="shared" si="8"/>
        <v>2024-Q2</v>
      </c>
      <c r="L2191" s="63" t="str">
        <f t="shared" si="9"/>
        <v>2024-06</v>
      </c>
      <c r="M2191" s="64" t="str">
        <f t="shared" si="10"/>
        <v>2024-H1</v>
      </c>
      <c r="N2191" s="65" t="s">
        <v>80</v>
      </c>
    </row>
    <row r="2192">
      <c r="I2192" s="61" t="str">
        <f t="shared" si="6"/>
        <v>2024</v>
      </c>
      <c r="J2192" s="62">
        <f t="shared" si="7"/>
        <v>6</v>
      </c>
      <c r="K2192" s="61" t="str">
        <f t="shared" si="8"/>
        <v>2024-Q2</v>
      </c>
      <c r="L2192" s="63" t="str">
        <f t="shared" si="9"/>
        <v>2024-06</v>
      </c>
      <c r="M2192" s="64" t="str">
        <f t="shared" si="10"/>
        <v>2024-H1</v>
      </c>
      <c r="N2192" s="65" t="s">
        <v>80</v>
      </c>
    </row>
    <row r="2193">
      <c r="I2193" s="61" t="str">
        <f t="shared" si="6"/>
        <v>2024</v>
      </c>
      <c r="J2193" s="62">
        <f t="shared" si="7"/>
        <v>6</v>
      </c>
      <c r="K2193" s="61" t="str">
        <f t="shared" si="8"/>
        <v>2024-Q2</v>
      </c>
      <c r="L2193" s="63" t="str">
        <f t="shared" si="9"/>
        <v>2024-06</v>
      </c>
      <c r="M2193" s="64" t="str">
        <f t="shared" si="10"/>
        <v>2024-H1</v>
      </c>
      <c r="N2193" s="65" t="s">
        <v>80</v>
      </c>
    </row>
    <row r="2194">
      <c r="I2194" s="61" t="str">
        <f t="shared" si="6"/>
        <v>2024</v>
      </c>
      <c r="J2194" s="62">
        <f t="shared" si="7"/>
        <v>6</v>
      </c>
      <c r="K2194" s="61" t="str">
        <f t="shared" si="8"/>
        <v>2024-Q2</v>
      </c>
      <c r="L2194" s="63" t="str">
        <f t="shared" si="9"/>
        <v>2024-06</v>
      </c>
      <c r="M2194" s="64" t="str">
        <f t="shared" si="10"/>
        <v>2024-H1</v>
      </c>
      <c r="N2194" s="65" t="s">
        <v>80</v>
      </c>
    </row>
    <row r="2195">
      <c r="I2195" s="61" t="str">
        <f t="shared" si="6"/>
        <v>2024</v>
      </c>
      <c r="J2195" s="62">
        <f t="shared" si="7"/>
        <v>6</v>
      </c>
      <c r="K2195" s="61" t="str">
        <f t="shared" si="8"/>
        <v>2024-Q2</v>
      </c>
      <c r="L2195" s="63" t="str">
        <f t="shared" si="9"/>
        <v>2024-06</v>
      </c>
      <c r="M2195" s="64" t="str">
        <f t="shared" si="10"/>
        <v>2024-H1</v>
      </c>
      <c r="N2195" s="65" t="s">
        <v>80</v>
      </c>
    </row>
    <row r="2196">
      <c r="I2196" s="61" t="str">
        <f t="shared" si="6"/>
        <v>2024</v>
      </c>
      <c r="J2196" s="62">
        <f t="shared" si="7"/>
        <v>6</v>
      </c>
      <c r="K2196" s="61" t="str">
        <f t="shared" si="8"/>
        <v>2024-Q2</v>
      </c>
      <c r="L2196" s="63" t="str">
        <f t="shared" si="9"/>
        <v>2024-06</v>
      </c>
      <c r="M2196" s="64" t="str">
        <f t="shared" si="10"/>
        <v>2024-H1</v>
      </c>
      <c r="N2196" s="65" t="s">
        <v>80</v>
      </c>
    </row>
    <row r="2197">
      <c r="I2197" s="61" t="str">
        <f t="shared" si="6"/>
        <v>2024</v>
      </c>
      <c r="J2197" s="62">
        <f t="shared" si="7"/>
        <v>6</v>
      </c>
      <c r="K2197" s="61" t="str">
        <f t="shared" si="8"/>
        <v>2024-Q2</v>
      </c>
      <c r="L2197" s="63" t="str">
        <f t="shared" si="9"/>
        <v>2024-06</v>
      </c>
      <c r="M2197" s="64" t="str">
        <f t="shared" si="10"/>
        <v>2024-H1</v>
      </c>
      <c r="N2197" s="65" t="s">
        <v>80</v>
      </c>
    </row>
    <row r="2198">
      <c r="I2198" s="61" t="str">
        <f t="shared" si="6"/>
        <v>2024</v>
      </c>
      <c r="J2198" s="62">
        <f t="shared" si="7"/>
        <v>6</v>
      </c>
      <c r="K2198" s="61" t="str">
        <f t="shared" si="8"/>
        <v>2024-Q2</v>
      </c>
      <c r="L2198" s="63" t="str">
        <f t="shared" si="9"/>
        <v>2024-06</v>
      </c>
      <c r="M2198" s="64" t="str">
        <f t="shared" si="10"/>
        <v>2024-H1</v>
      </c>
      <c r="N2198" s="65" t="s">
        <v>80</v>
      </c>
    </row>
    <row r="2199">
      <c r="I2199" s="61" t="str">
        <f t="shared" si="6"/>
        <v>2024</v>
      </c>
      <c r="J2199" s="62">
        <f t="shared" si="7"/>
        <v>6</v>
      </c>
      <c r="K2199" s="61" t="str">
        <f t="shared" si="8"/>
        <v>2024-Q2</v>
      </c>
      <c r="L2199" s="63" t="str">
        <f t="shared" si="9"/>
        <v>2024-06</v>
      </c>
      <c r="M2199" s="64" t="str">
        <f t="shared" si="10"/>
        <v>2024-H1</v>
      </c>
      <c r="N2199" s="65" t="s">
        <v>80</v>
      </c>
    </row>
    <row r="2200">
      <c r="I2200" s="61" t="str">
        <f t="shared" si="6"/>
        <v>2024</v>
      </c>
      <c r="J2200" s="62">
        <f t="shared" si="7"/>
        <v>6</v>
      </c>
      <c r="K2200" s="61" t="str">
        <f t="shared" si="8"/>
        <v>2024-Q2</v>
      </c>
      <c r="L2200" s="63" t="str">
        <f t="shared" si="9"/>
        <v>2024-06</v>
      </c>
      <c r="M2200" s="64" t="str">
        <f t="shared" si="10"/>
        <v>2024-H1</v>
      </c>
      <c r="N2200" s="65" t="s">
        <v>80</v>
      </c>
    </row>
    <row r="2201">
      <c r="I2201" s="61" t="str">
        <f t="shared" si="6"/>
        <v>2024</v>
      </c>
      <c r="J2201" s="62">
        <f t="shared" si="7"/>
        <v>6</v>
      </c>
      <c r="K2201" s="61" t="str">
        <f t="shared" si="8"/>
        <v>2024-Q2</v>
      </c>
      <c r="L2201" s="63" t="str">
        <f t="shared" si="9"/>
        <v>2024-06</v>
      </c>
      <c r="M2201" s="64" t="str">
        <f t="shared" si="10"/>
        <v>2024-H1</v>
      </c>
      <c r="N2201" s="65" t="s">
        <v>80</v>
      </c>
    </row>
    <row r="2202">
      <c r="I2202" s="61" t="str">
        <f t="shared" si="6"/>
        <v>2024</v>
      </c>
      <c r="J2202" s="62">
        <f t="shared" si="7"/>
        <v>6</v>
      </c>
      <c r="K2202" s="61" t="str">
        <f t="shared" si="8"/>
        <v>2024-Q2</v>
      </c>
      <c r="L2202" s="63" t="str">
        <f t="shared" si="9"/>
        <v>2024-06</v>
      </c>
      <c r="M2202" s="64" t="str">
        <f t="shared" si="10"/>
        <v>2024-H1</v>
      </c>
      <c r="N2202" s="65" t="s">
        <v>80</v>
      </c>
    </row>
    <row r="2203">
      <c r="I2203" s="61" t="str">
        <f t="shared" si="6"/>
        <v>2024</v>
      </c>
      <c r="J2203" s="62">
        <f t="shared" si="7"/>
        <v>6</v>
      </c>
      <c r="K2203" s="61" t="str">
        <f t="shared" si="8"/>
        <v>2024-Q2</v>
      </c>
      <c r="L2203" s="63" t="str">
        <f t="shared" si="9"/>
        <v>2024-06</v>
      </c>
      <c r="M2203" s="64" t="str">
        <f t="shared" si="10"/>
        <v>2024-H1</v>
      </c>
      <c r="N2203" s="65" t="s">
        <v>80</v>
      </c>
    </row>
    <row r="2204">
      <c r="I2204" s="61" t="str">
        <f t="shared" si="6"/>
        <v>2024</v>
      </c>
      <c r="J2204" s="62">
        <f t="shared" si="7"/>
        <v>6</v>
      </c>
      <c r="K2204" s="61" t="str">
        <f t="shared" si="8"/>
        <v>2024-Q2</v>
      </c>
      <c r="L2204" s="63" t="str">
        <f t="shared" si="9"/>
        <v>2024-06</v>
      </c>
      <c r="M2204" s="64" t="str">
        <f t="shared" si="10"/>
        <v>2024-H1</v>
      </c>
      <c r="N2204" s="65" t="s">
        <v>80</v>
      </c>
    </row>
    <row r="2205">
      <c r="I2205" s="61" t="str">
        <f t="shared" si="6"/>
        <v>2024</v>
      </c>
      <c r="J2205" s="62">
        <f t="shared" si="7"/>
        <v>6</v>
      </c>
      <c r="K2205" s="61" t="str">
        <f t="shared" si="8"/>
        <v>2024-Q2</v>
      </c>
      <c r="L2205" s="63" t="str">
        <f t="shared" si="9"/>
        <v>2024-06</v>
      </c>
      <c r="M2205" s="64" t="str">
        <f t="shared" si="10"/>
        <v>2024-H1</v>
      </c>
      <c r="N2205" s="65" t="s">
        <v>80</v>
      </c>
    </row>
    <row r="2206">
      <c r="I2206" s="61" t="str">
        <f t="shared" si="6"/>
        <v>2024</v>
      </c>
      <c r="J2206" s="62">
        <f t="shared" si="7"/>
        <v>6</v>
      </c>
      <c r="K2206" s="61" t="str">
        <f t="shared" si="8"/>
        <v>2024-Q2</v>
      </c>
      <c r="L2206" s="63" t="str">
        <f t="shared" si="9"/>
        <v>2024-06</v>
      </c>
      <c r="M2206" s="64" t="str">
        <f t="shared" si="10"/>
        <v>2024-H1</v>
      </c>
      <c r="N2206" s="65" t="s">
        <v>80</v>
      </c>
    </row>
    <row r="2207">
      <c r="I2207" s="61" t="str">
        <f t="shared" si="6"/>
        <v>2024</v>
      </c>
      <c r="J2207" s="62">
        <f t="shared" si="7"/>
        <v>6</v>
      </c>
      <c r="K2207" s="61" t="str">
        <f t="shared" si="8"/>
        <v>2024-Q2</v>
      </c>
      <c r="L2207" s="63" t="str">
        <f t="shared" si="9"/>
        <v>2024-06</v>
      </c>
      <c r="M2207" s="64" t="str">
        <f t="shared" si="10"/>
        <v>2024-H1</v>
      </c>
      <c r="N2207" s="65" t="s">
        <v>80</v>
      </c>
    </row>
    <row r="2208">
      <c r="I2208" s="61" t="str">
        <f t="shared" si="6"/>
        <v>2024</v>
      </c>
      <c r="J2208" s="62">
        <f t="shared" si="7"/>
        <v>6</v>
      </c>
      <c r="K2208" s="61" t="str">
        <f t="shared" si="8"/>
        <v>2024-Q2</v>
      </c>
      <c r="L2208" s="63" t="str">
        <f t="shared" si="9"/>
        <v>2024-06</v>
      </c>
      <c r="M2208" s="64" t="str">
        <f t="shared" si="10"/>
        <v>2024-H1</v>
      </c>
      <c r="N2208" s="65" t="s">
        <v>80</v>
      </c>
    </row>
    <row r="2209">
      <c r="I2209" s="61" t="str">
        <f t="shared" si="6"/>
        <v>2024</v>
      </c>
      <c r="J2209" s="62">
        <f t="shared" si="7"/>
        <v>6</v>
      </c>
      <c r="K2209" s="61" t="str">
        <f t="shared" si="8"/>
        <v>2024-Q2</v>
      </c>
      <c r="L2209" s="63" t="str">
        <f t="shared" si="9"/>
        <v>2024-06</v>
      </c>
      <c r="M2209" s="64" t="str">
        <f t="shared" si="10"/>
        <v>2024-H1</v>
      </c>
      <c r="N2209" s="65" t="s">
        <v>80</v>
      </c>
    </row>
    <row r="2210">
      <c r="I2210" s="61" t="str">
        <f t="shared" si="6"/>
        <v>2024</v>
      </c>
      <c r="J2210" s="62">
        <f t="shared" si="7"/>
        <v>6</v>
      </c>
      <c r="K2210" s="61" t="str">
        <f t="shared" si="8"/>
        <v>2024-Q2</v>
      </c>
      <c r="L2210" s="63" t="str">
        <f t="shared" si="9"/>
        <v>2024-06</v>
      </c>
      <c r="M2210" s="64" t="str">
        <f t="shared" si="10"/>
        <v>2024-H1</v>
      </c>
      <c r="N2210" s="65" t="s">
        <v>80</v>
      </c>
    </row>
    <row r="2211">
      <c r="I2211" s="61" t="str">
        <f t="shared" si="6"/>
        <v>2024</v>
      </c>
      <c r="J2211" s="62">
        <f t="shared" si="7"/>
        <v>6</v>
      </c>
      <c r="K2211" s="61" t="str">
        <f t="shared" si="8"/>
        <v>2024-Q2</v>
      </c>
      <c r="L2211" s="63" t="str">
        <f t="shared" si="9"/>
        <v>2024-06</v>
      </c>
      <c r="M2211" s="64" t="str">
        <f t="shared" si="10"/>
        <v>2024-H1</v>
      </c>
      <c r="N2211" s="65" t="s">
        <v>80</v>
      </c>
    </row>
    <row r="2212">
      <c r="I2212" s="61" t="str">
        <f t="shared" si="6"/>
        <v>2024</v>
      </c>
      <c r="J2212" s="62">
        <f t="shared" si="7"/>
        <v>6</v>
      </c>
      <c r="K2212" s="61" t="str">
        <f t="shared" si="8"/>
        <v>2024-Q2</v>
      </c>
      <c r="L2212" s="63" t="str">
        <f t="shared" si="9"/>
        <v>2024-06</v>
      </c>
      <c r="M2212" s="64" t="str">
        <f t="shared" si="10"/>
        <v>2024-H1</v>
      </c>
      <c r="N2212" s="65" t="s">
        <v>80</v>
      </c>
    </row>
    <row r="2213">
      <c r="I2213" s="61" t="str">
        <f t="shared" si="6"/>
        <v>2024</v>
      </c>
      <c r="J2213" s="62">
        <f t="shared" si="7"/>
        <v>6</v>
      </c>
      <c r="K2213" s="61" t="str">
        <f t="shared" si="8"/>
        <v>2024-Q2</v>
      </c>
      <c r="L2213" s="63" t="str">
        <f t="shared" si="9"/>
        <v>2024-06</v>
      </c>
      <c r="M2213" s="64" t="str">
        <f t="shared" si="10"/>
        <v>2024-H1</v>
      </c>
      <c r="N2213" s="65" t="s">
        <v>80</v>
      </c>
    </row>
    <row r="2214">
      <c r="I2214" s="61" t="str">
        <f t="shared" si="6"/>
        <v>2024</v>
      </c>
      <c r="J2214" s="62">
        <f t="shared" si="7"/>
        <v>6</v>
      </c>
      <c r="K2214" s="61" t="str">
        <f t="shared" si="8"/>
        <v>2024-Q2</v>
      </c>
      <c r="L2214" s="63" t="str">
        <f t="shared" si="9"/>
        <v>2024-06</v>
      </c>
      <c r="M2214" s="64" t="str">
        <f t="shared" si="10"/>
        <v>2024-H1</v>
      </c>
      <c r="N2214" s="65" t="s">
        <v>80</v>
      </c>
    </row>
    <row r="2215">
      <c r="I2215" s="61" t="str">
        <f t="shared" si="6"/>
        <v>2024</v>
      </c>
      <c r="J2215" s="62">
        <f t="shared" si="7"/>
        <v>6</v>
      </c>
      <c r="K2215" s="61" t="str">
        <f t="shared" si="8"/>
        <v>2024-Q2</v>
      </c>
      <c r="L2215" s="63" t="str">
        <f t="shared" si="9"/>
        <v>2024-06</v>
      </c>
      <c r="M2215" s="64" t="str">
        <f t="shared" si="10"/>
        <v>2024-H1</v>
      </c>
      <c r="N2215" s="65" t="s">
        <v>80</v>
      </c>
    </row>
    <row r="2216">
      <c r="I2216" s="61" t="str">
        <f t="shared" si="6"/>
        <v>2024</v>
      </c>
      <c r="J2216" s="62">
        <f t="shared" si="7"/>
        <v>6</v>
      </c>
      <c r="K2216" s="61" t="str">
        <f t="shared" si="8"/>
        <v>2024-Q2</v>
      </c>
      <c r="L2216" s="63" t="str">
        <f t="shared" si="9"/>
        <v>2024-06</v>
      </c>
      <c r="M2216" s="64" t="str">
        <f t="shared" si="10"/>
        <v>2024-H1</v>
      </c>
      <c r="N2216" s="65" t="s">
        <v>80</v>
      </c>
    </row>
    <row r="2217">
      <c r="I2217" s="61" t="str">
        <f t="shared" si="6"/>
        <v>2024</v>
      </c>
      <c r="J2217" s="62">
        <f t="shared" si="7"/>
        <v>6</v>
      </c>
      <c r="K2217" s="61" t="str">
        <f t="shared" si="8"/>
        <v>2024-Q2</v>
      </c>
      <c r="L2217" s="63" t="str">
        <f t="shared" si="9"/>
        <v>2024-06</v>
      </c>
      <c r="M2217" s="64" t="str">
        <f t="shared" si="10"/>
        <v>2024-H1</v>
      </c>
      <c r="N2217" s="65" t="s">
        <v>80</v>
      </c>
    </row>
    <row r="2218">
      <c r="I2218" s="61" t="str">
        <f t="shared" si="6"/>
        <v>2024</v>
      </c>
      <c r="J2218" s="62">
        <f t="shared" si="7"/>
        <v>6</v>
      </c>
      <c r="K2218" s="61" t="str">
        <f t="shared" si="8"/>
        <v>2024-Q2</v>
      </c>
      <c r="L2218" s="63" t="str">
        <f t="shared" si="9"/>
        <v>2024-06</v>
      </c>
      <c r="M2218" s="64" t="str">
        <f t="shared" si="10"/>
        <v>2024-H1</v>
      </c>
      <c r="N2218" s="65" t="s">
        <v>80</v>
      </c>
    </row>
    <row r="2219">
      <c r="I2219" s="61" t="str">
        <f t="shared" si="6"/>
        <v>2024</v>
      </c>
      <c r="J2219" s="62">
        <f t="shared" si="7"/>
        <v>6</v>
      </c>
      <c r="K2219" s="61" t="str">
        <f t="shared" si="8"/>
        <v>2024-Q2</v>
      </c>
      <c r="L2219" s="63" t="str">
        <f t="shared" si="9"/>
        <v>2024-06</v>
      </c>
      <c r="M2219" s="64" t="str">
        <f t="shared" si="10"/>
        <v>2024-H1</v>
      </c>
      <c r="N2219" s="65" t="s">
        <v>80</v>
      </c>
    </row>
    <row r="2220">
      <c r="I2220" s="61" t="str">
        <f t="shared" si="6"/>
        <v>2024</v>
      </c>
      <c r="J2220" s="62">
        <f t="shared" si="7"/>
        <v>6</v>
      </c>
      <c r="K2220" s="61" t="str">
        <f t="shared" si="8"/>
        <v>2024-Q2</v>
      </c>
      <c r="L2220" s="63" t="str">
        <f t="shared" si="9"/>
        <v>2024-06</v>
      </c>
      <c r="M2220" s="64" t="str">
        <f t="shared" si="10"/>
        <v>2024-H1</v>
      </c>
      <c r="N2220" s="65" t="s">
        <v>80</v>
      </c>
    </row>
    <row r="2221">
      <c r="I2221" s="61" t="str">
        <f t="shared" si="6"/>
        <v>2024</v>
      </c>
      <c r="J2221" s="62">
        <f t="shared" si="7"/>
        <v>6</v>
      </c>
      <c r="K2221" s="61" t="str">
        <f t="shared" si="8"/>
        <v>2024-Q2</v>
      </c>
      <c r="L2221" s="63" t="str">
        <f t="shared" si="9"/>
        <v>2024-06</v>
      </c>
      <c r="M2221" s="64" t="str">
        <f t="shared" si="10"/>
        <v>2024-H1</v>
      </c>
      <c r="N2221" s="65" t="s">
        <v>80</v>
      </c>
    </row>
    <row r="2222">
      <c r="I2222" s="61" t="str">
        <f t="shared" si="6"/>
        <v>2024</v>
      </c>
      <c r="J2222" s="62">
        <f t="shared" si="7"/>
        <v>6</v>
      </c>
      <c r="K2222" s="61" t="str">
        <f t="shared" si="8"/>
        <v>2024-Q2</v>
      </c>
      <c r="L2222" s="63" t="str">
        <f t="shared" si="9"/>
        <v>2024-06</v>
      </c>
      <c r="M2222" s="64" t="str">
        <f t="shared" si="10"/>
        <v>2024-H1</v>
      </c>
      <c r="N2222" s="65" t="s">
        <v>80</v>
      </c>
    </row>
    <row r="2223">
      <c r="I2223" s="61" t="str">
        <f t="shared" si="6"/>
        <v>2024</v>
      </c>
      <c r="J2223" s="62">
        <f t="shared" si="7"/>
        <v>6</v>
      </c>
      <c r="K2223" s="61" t="str">
        <f t="shared" si="8"/>
        <v>2024-Q2</v>
      </c>
      <c r="L2223" s="63" t="str">
        <f t="shared" si="9"/>
        <v>2024-06</v>
      </c>
      <c r="M2223" s="64" t="str">
        <f t="shared" si="10"/>
        <v>2024-H1</v>
      </c>
      <c r="N2223" s="65" t="s">
        <v>80</v>
      </c>
    </row>
    <row r="2224">
      <c r="I2224" s="61" t="str">
        <f t="shared" si="6"/>
        <v>2024</v>
      </c>
      <c r="J2224" s="62">
        <f t="shared" si="7"/>
        <v>6</v>
      </c>
      <c r="K2224" s="61" t="str">
        <f t="shared" si="8"/>
        <v>2024-Q2</v>
      </c>
      <c r="L2224" s="63" t="str">
        <f t="shared" si="9"/>
        <v>2024-06</v>
      </c>
      <c r="M2224" s="64" t="str">
        <f t="shared" si="10"/>
        <v>2024-H1</v>
      </c>
      <c r="N2224" s="65" t="s">
        <v>80</v>
      </c>
    </row>
    <row r="2225">
      <c r="I2225" s="61" t="str">
        <f t="shared" si="6"/>
        <v>2024</v>
      </c>
      <c r="J2225" s="62">
        <f t="shared" si="7"/>
        <v>6</v>
      </c>
      <c r="K2225" s="61" t="str">
        <f t="shared" si="8"/>
        <v>2024-Q2</v>
      </c>
      <c r="L2225" s="63" t="str">
        <f t="shared" si="9"/>
        <v>2024-06</v>
      </c>
      <c r="M2225" s="64" t="str">
        <f t="shared" si="10"/>
        <v>2024-H1</v>
      </c>
      <c r="N2225" s="65" t="s">
        <v>80</v>
      </c>
    </row>
    <row r="2226">
      <c r="I2226" s="61" t="str">
        <f t="shared" si="6"/>
        <v>2024</v>
      </c>
      <c r="J2226" s="62">
        <f t="shared" si="7"/>
        <v>6</v>
      </c>
      <c r="K2226" s="61" t="str">
        <f t="shared" si="8"/>
        <v>2024-Q2</v>
      </c>
      <c r="L2226" s="63" t="str">
        <f t="shared" si="9"/>
        <v>2024-06</v>
      </c>
      <c r="M2226" s="64" t="str">
        <f t="shared" si="10"/>
        <v>2024-H1</v>
      </c>
      <c r="N2226" s="65" t="s">
        <v>80</v>
      </c>
    </row>
    <row r="2227">
      <c r="I2227" s="61" t="str">
        <f t="shared" si="6"/>
        <v>2024</v>
      </c>
      <c r="J2227" s="62">
        <f t="shared" si="7"/>
        <v>6</v>
      </c>
      <c r="K2227" s="61" t="str">
        <f t="shared" si="8"/>
        <v>2024-Q2</v>
      </c>
      <c r="L2227" s="63" t="str">
        <f t="shared" si="9"/>
        <v>2024-06</v>
      </c>
      <c r="M2227" s="64" t="str">
        <f t="shared" si="10"/>
        <v>2024-H1</v>
      </c>
      <c r="N2227" s="65" t="s">
        <v>80</v>
      </c>
    </row>
    <row r="2228">
      <c r="I2228" s="61" t="str">
        <f t="shared" si="6"/>
        <v>2024</v>
      </c>
      <c r="J2228" s="62">
        <f t="shared" si="7"/>
        <v>6</v>
      </c>
      <c r="K2228" s="61" t="str">
        <f t="shared" si="8"/>
        <v>2024-Q2</v>
      </c>
      <c r="L2228" s="63" t="str">
        <f t="shared" si="9"/>
        <v>2024-06</v>
      </c>
      <c r="M2228" s="64" t="str">
        <f t="shared" si="10"/>
        <v>2024-H1</v>
      </c>
      <c r="N2228" s="65" t="s">
        <v>80</v>
      </c>
    </row>
    <row r="2229">
      <c r="I2229" s="61" t="str">
        <f t="shared" si="6"/>
        <v>2024</v>
      </c>
      <c r="J2229" s="62">
        <f t="shared" si="7"/>
        <v>6</v>
      </c>
      <c r="K2229" s="61" t="str">
        <f t="shared" si="8"/>
        <v>2024-Q2</v>
      </c>
      <c r="L2229" s="63" t="str">
        <f t="shared" si="9"/>
        <v>2024-06</v>
      </c>
      <c r="M2229" s="64" t="str">
        <f t="shared" si="10"/>
        <v>2024-H1</v>
      </c>
      <c r="N2229" s="65" t="s">
        <v>80</v>
      </c>
    </row>
    <row r="2230">
      <c r="I2230" s="61" t="str">
        <f t="shared" si="6"/>
        <v>2024</v>
      </c>
      <c r="J2230" s="62">
        <f t="shared" si="7"/>
        <v>6</v>
      </c>
      <c r="K2230" s="61" t="str">
        <f t="shared" si="8"/>
        <v>2024-Q2</v>
      </c>
      <c r="L2230" s="63" t="str">
        <f t="shared" si="9"/>
        <v>2024-06</v>
      </c>
      <c r="M2230" s="64" t="str">
        <f t="shared" si="10"/>
        <v>2024-H1</v>
      </c>
      <c r="N2230" s="65" t="s">
        <v>80</v>
      </c>
    </row>
    <row r="2231">
      <c r="I2231" s="61" t="str">
        <f t="shared" si="6"/>
        <v>2024</v>
      </c>
      <c r="J2231" s="62">
        <f t="shared" si="7"/>
        <v>6</v>
      </c>
      <c r="K2231" s="61" t="str">
        <f t="shared" si="8"/>
        <v>2024-Q2</v>
      </c>
      <c r="L2231" s="63" t="str">
        <f t="shared" si="9"/>
        <v>2024-06</v>
      </c>
      <c r="M2231" s="64" t="str">
        <f t="shared" si="10"/>
        <v>2024-H1</v>
      </c>
      <c r="N2231" s="65" t="s">
        <v>80</v>
      </c>
    </row>
    <row r="2232">
      <c r="I2232" s="61" t="str">
        <f t="shared" si="6"/>
        <v>2024</v>
      </c>
      <c r="J2232" s="62">
        <f t="shared" si="7"/>
        <v>6</v>
      </c>
      <c r="K2232" s="61" t="str">
        <f t="shared" si="8"/>
        <v>2024-Q2</v>
      </c>
      <c r="L2232" s="63" t="str">
        <f t="shared" si="9"/>
        <v>2024-06</v>
      </c>
      <c r="M2232" s="64" t="str">
        <f t="shared" si="10"/>
        <v>2024-H1</v>
      </c>
      <c r="N2232" s="65" t="s">
        <v>80</v>
      </c>
    </row>
    <row r="2233">
      <c r="I2233" s="61" t="str">
        <f t="shared" si="6"/>
        <v>2024</v>
      </c>
      <c r="J2233" s="62">
        <f t="shared" si="7"/>
        <v>6</v>
      </c>
      <c r="K2233" s="61" t="str">
        <f t="shared" si="8"/>
        <v>2024-Q2</v>
      </c>
      <c r="L2233" s="63" t="str">
        <f t="shared" si="9"/>
        <v>2024-06</v>
      </c>
      <c r="M2233" s="64" t="str">
        <f t="shared" si="10"/>
        <v>2024-H1</v>
      </c>
      <c r="N2233" s="65" t="s">
        <v>80</v>
      </c>
    </row>
    <row r="2234">
      <c r="I2234" s="61" t="str">
        <f t="shared" si="6"/>
        <v>2024</v>
      </c>
      <c r="J2234" s="62">
        <f t="shared" si="7"/>
        <v>6</v>
      </c>
      <c r="K2234" s="61" t="str">
        <f t="shared" si="8"/>
        <v>2024-Q2</v>
      </c>
      <c r="L2234" s="63" t="str">
        <f t="shared" si="9"/>
        <v>2024-06</v>
      </c>
      <c r="M2234" s="64" t="str">
        <f t="shared" si="10"/>
        <v>2024-H1</v>
      </c>
      <c r="N2234" s="65" t="s">
        <v>80</v>
      </c>
    </row>
    <row r="2235">
      <c r="I2235" s="61" t="str">
        <f t="shared" si="6"/>
        <v>2024</v>
      </c>
      <c r="J2235" s="62">
        <f t="shared" si="7"/>
        <v>6</v>
      </c>
      <c r="K2235" s="61" t="str">
        <f t="shared" si="8"/>
        <v>2024-Q2</v>
      </c>
      <c r="L2235" s="63" t="str">
        <f t="shared" si="9"/>
        <v>2024-06</v>
      </c>
      <c r="M2235" s="64" t="str">
        <f t="shared" si="10"/>
        <v>2024-H1</v>
      </c>
      <c r="N2235" s="65" t="s">
        <v>80</v>
      </c>
    </row>
    <row r="2236">
      <c r="I2236" s="61" t="str">
        <f t="shared" si="6"/>
        <v>2024</v>
      </c>
      <c r="J2236" s="62">
        <f t="shared" si="7"/>
        <v>6</v>
      </c>
      <c r="K2236" s="61" t="str">
        <f t="shared" si="8"/>
        <v>2024-Q2</v>
      </c>
      <c r="L2236" s="63" t="str">
        <f t="shared" si="9"/>
        <v>2024-06</v>
      </c>
      <c r="M2236" s="64" t="str">
        <f t="shared" si="10"/>
        <v>2024-H1</v>
      </c>
      <c r="N2236" s="65" t="s">
        <v>80</v>
      </c>
    </row>
    <row r="2237">
      <c r="I2237" s="61" t="str">
        <f t="shared" si="6"/>
        <v>2024</v>
      </c>
      <c r="J2237" s="62">
        <f t="shared" si="7"/>
        <v>6</v>
      </c>
      <c r="K2237" s="61" t="str">
        <f t="shared" si="8"/>
        <v>2024-Q2</v>
      </c>
      <c r="L2237" s="63" t="str">
        <f t="shared" si="9"/>
        <v>2024-06</v>
      </c>
      <c r="M2237" s="64" t="str">
        <f t="shared" si="10"/>
        <v>2024-H1</v>
      </c>
      <c r="N2237" s="65" t="s">
        <v>80</v>
      </c>
    </row>
    <row r="2238">
      <c r="I2238" s="61" t="str">
        <f t="shared" si="6"/>
        <v>2024</v>
      </c>
      <c r="J2238" s="62">
        <f t="shared" si="7"/>
        <v>6</v>
      </c>
      <c r="K2238" s="61" t="str">
        <f t="shared" si="8"/>
        <v>2024-Q2</v>
      </c>
      <c r="L2238" s="63" t="str">
        <f t="shared" si="9"/>
        <v>2024-06</v>
      </c>
      <c r="M2238" s="64" t="str">
        <f t="shared" si="10"/>
        <v>2024-H1</v>
      </c>
      <c r="N2238" s="65" t="s">
        <v>80</v>
      </c>
    </row>
    <row r="2239">
      <c r="I2239" s="61" t="str">
        <f t="shared" si="6"/>
        <v>2024</v>
      </c>
      <c r="J2239" s="62">
        <f t="shared" si="7"/>
        <v>6</v>
      </c>
      <c r="K2239" s="61" t="str">
        <f t="shared" si="8"/>
        <v>2024-Q2</v>
      </c>
      <c r="L2239" s="63" t="str">
        <f t="shared" si="9"/>
        <v>2024-06</v>
      </c>
      <c r="M2239" s="64" t="str">
        <f t="shared" si="10"/>
        <v>2024-H1</v>
      </c>
      <c r="N2239" s="65" t="s">
        <v>80</v>
      </c>
    </row>
    <row r="2240">
      <c r="A2240" s="1"/>
      <c r="H2240" s="61"/>
      <c r="I2240" s="61"/>
      <c r="J2240" s="62"/>
      <c r="K2240" s="61"/>
      <c r="L2240" s="63"/>
      <c r="M2240" s="64"/>
      <c r="N2240" s="65"/>
    </row>
    <row r="2241">
      <c r="A2241" s="1"/>
      <c r="H2241" s="61"/>
      <c r="I2241" s="61"/>
      <c r="J2241" s="62"/>
      <c r="K2241" s="61"/>
      <c r="L2241" s="63"/>
      <c r="M2241" s="64"/>
      <c r="N2241" s="65"/>
    </row>
    <row r="2242">
      <c r="A2242" s="1"/>
      <c r="H2242" s="61"/>
      <c r="I2242" s="61"/>
      <c r="J2242" s="62"/>
      <c r="K2242" s="61"/>
      <c r="L2242" s="63"/>
      <c r="M2242" s="64"/>
      <c r="N2242" s="65"/>
    </row>
    <row r="2243">
      <c r="A2243" s="1"/>
      <c r="H2243" s="61"/>
      <c r="I2243" s="61"/>
      <c r="J2243" s="62"/>
      <c r="K2243" s="61"/>
      <c r="L2243" s="63"/>
      <c r="M2243" s="64"/>
      <c r="N2243" s="65"/>
    </row>
    <row r="2244">
      <c r="A2244" s="1"/>
      <c r="H2244" s="61"/>
      <c r="I2244" s="61"/>
      <c r="J2244" s="62"/>
      <c r="K2244" s="61"/>
      <c r="L2244" s="63"/>
      <c r="M2244" s="64"/>
      <c r="N2244" s="65"/>
    </row>
    <row r="2245">
      <c r="A2245" s="1"/>
      <c r="H2245" s="61"/>
      <c r="I2245" s="61"/>
      <c r="J2245" s="62"/>
      <c r="K2245" s="61"/>
      <c r="L2245" s="63"/>
      <c r="M2245" s="64"/>
      <c r="N2245" s="65"/>
    </row>
    <row r="2246">
      <c r="A2246" s="1" t="s">
        <v>1822</v>
      </c>
      <c r="H2246" s="61"/>
      <c r="I2246" s="61"/>
      <c r="J2246" s="62"/>
      <c r="K2246" s="61"/>
      <c r="L2246" s="63"/>
      <c r="M2246" s="64"/>
      <c r="N2246" s="65"/>
    </row>
    <row r="2247">
      <c r="A2247" s="1" t="s">
        <v>175</v>
      </c>
      <c r="B2247" s="1" t="s">
        <v>1823</v>
      </c>
      <c r="C2247" s="5" t="s">
        <v>3</v>
      </c>
      <c r="D2247" s="4" t="s">
        <v>1824</v>
      </c>
      <c r="E2247" s="1" t="s">
        <v>64</v>
      </c>
      <c r="F2247" s="1" t="s">
        <v>79</v>
      </c>
      <c r="H2247" s="61"/>
      <c r="I2247" s="61"/>
      <c r="J2247" s="62"/>
      <c r="K2247" s="61"/>
      <c r="L2247" s="63"/>
      <c r="M2247" s="64"/>
      <c r="N2247" s="65"/>
    </row>
    <row r="2248">
      <c r="A2248" s="68">
        <v>28.0</v>
      </c>
      <c r="B2248" s="69">
        <v>45378.0</v>
      </c>
      <c r="C2248" s="5">
        <v>33600.0</v>
      </c>
      <c r="D2248" s="4">
        <v>328746.0</v>
      </c>
      <c r="E2248" s="70" t="s">
        <v>81</v>
      </c>
      <c r="F2248" s="70" t="s">
        <v>88</v>
      </c>
      <c r="H2248" s="61"/>
      <c r="I2248" s="61" t="str">
        <f t="shared" ref="I2248:I2255" si="11">LEFT(B2248,4)</f>
        <v>2024</v>
      </c>
      <c r="J2248" s="62">
        <f>VALUE(RIGHT(LEFT(B2248,7),2))</f>
        <v>3</v>
      </c>
      <c r="K2248" s="61" t="str">
        <f>I2248 &amp; "-Q" &amp; CHOOSE(CEILING(J2248/3, 1), "1", "2", "3", "4")</f>
        <v>2024-Q1</v>
      </c>
      <c r="L2248" s="63" t="str">
        <f>I2248&amp;"-"&amp;TEXT(J2248, "00")</f>
        <v>2024-03</v>
      </c>
      <c r="M2248" s="64" t="str">
        <f>I2248 &amp; "-H" &amp; CHOOSE(CEILING(J2248/6, 1), "1", "2")</f>
        <v>2024-H1</v>
      </c>
      <c r="N2248" s="65" t="s">
        <v>80</v>
      </c>
    </row>
    <row r="2249">
      <c r="H2249" s="61"/>
      <c r="I2249" s="61" t="str">
        <f t="shared" si="11"/>
        <v/>
      </c>
      <c r="J2249" s="62"/>
      <c r="K2249" s="61"/>
      <c r="L2249" s="63"/>
      <c r="M2249" s="64"/>
      <c r="N2249" s="61"/>
    </row>
    <row r="2250">
      <c r="A2250" s="1" t="s">
        <v>1825</v>
      </c>
      <c r="H2250" s="61"/>
      <c r="I2250" s="61" t="str">
        <f t="shared" si="11"/>
        <v/>
      </c>
      <c r="J2250" s="62"/>
      <c r="K2250" s="61"/>
      <c r="L2250" s="63"/>
      <c r="M2250" s="64"/>
      <c r="N2250" s="61"/>
    </row>
    <row r="2251">
      <c r="B2251" s="69">
        <v>45453.0</v>
      </c>
      <c r="C2251" s="9">
        <f>D2251/6.5</f>
        <v>7885.076923</v>
      </c>
      <c r="D2251" s="1">
        <v>51253.0</v>
      </c>
      <c r="E2251" s="71" t="s">
        <v>46</v>
      </c>
      <c r="F2251" s="9" t="s">
        <v>102</v>
      </c>
      <c r="H2251" s="61"/>
      <c r="I2251" s="61" t="str">
        <f t="shared" si="11"/>
        <v>2024</v>
      </c>
      <c r="J2251" s="62">
        <f t="shared" ref="J2251:J2253" si="12">VALUE(RIGHT(LEFT(B2251,7),2))</f>
        <v>6</v>
      </c>
      <c r="K2251" s="61" t="str">
        <f t="shared" ref="K2251:K2253" si="13">I2251 &amp; "-Q" &amp; CHOOSE(CEILING(J2251/3, 1), "1", "2", "3", "4")</f>
        <v>2024-Q2</v>
      </c>
      <c r="L2251" s="63" t="str">
        <f t="shared" ref="L2251:L2253" si="14">I2251&amp;"-"&amp;TEXT(J2251, "00")</f>
        <v>2024-06</v>
      </c>
      <c r="M2251" s="64" t="str">
        <f t="shared" ref="M2251:M2253" si="15">I2251 &amp; "-H" &amp; CHOOSE(CEILING(J2251/6, 1), "1", "2")</f>
        <v>2024-H1</v>
      </c>
      <c r="N2251" s="65" t="s">
        <v>83</v>
      </c>
    </row>
    <row r="2252">
      <c r="B2252" s="69">
        <v>45422.0</v>
      </c>
      <c r="C2252" s="9">
        <f>D2252/6.74</f>
        <v>5192.878338</v>
      </c>
      <c r="D2252" s="1">
        <v>35000.0</v>
      </c>
      <c r="E2252" s="71" t="s">
        <v>46</v>
      </c>
      <c r="F2252" s="9" t="s">
        <v>102</v>
      </c>
      <c r="H2252" s="61"/>
      <c r="I2252" s="61" t="str">
        <f t="shared" si="11"/>
        <v>2024</v>
      </c>
      <c r="J2252" s="62">
        <f t="shared" si="12"/>
        <v>5</v>
      </c>
      <c r="K2252" s="61" t="str">
        <f t="shared" si="13"/>
        <v>2024-Q2</v>
      </c>
      <c r="L2252" s="63" t="str">
        <f t="shared" si="14"/>
        <v>2024-05</v>
      </c>
      <c r="M2252" s="64" t="str">
        <f t="shared" si="15"/>
        <v>2024-H1</v>
      </c>
      <c r="N2252" s="65" t="s">
        <v>83</v>
      </c>
    </row>
    <row r="2253">
      <c r="B2253" s="69">
        <v>45387.0</v>
      </c>
      <c r="C2253" s="9">
        <f>D2253/8.4</f>
        <v>1984.52381</v>
      </c>
      <c r="D2253" s="1">
        <v>16670.0</v>
      </c>
      <c r="E2253" s="71" t="s">
        <v>46</v>
      </c>
      <c r="F2253" s="9" t="s">
        <v>102</v>
      </c>
      <c r="H2253" s="61"/>
      <c r="I2253" s="61" t="str">
        <f t="shared" si="11"/>
        <v>2024</v>
      </c>
      <c r="J2253" s="62">
        <f t="shared" si="12"/>
        <v>4</v>
      </c>
      <c r="K2253" s="61" t="str">
        <f t="shared" si="13"/>
        <v>2024-Q2</v>
      </c>
      <c r="L2253" s="63" t="str">
        <f t="shared" si="14"/>
        <v>2024-04</v>
      </c>
      <c r="M2253" s="64" t="str">
        <f t="shared" si="15"/>
        <v>2024-H1</v>
      </c>
      <c r="N2253" s="65" t="s">
        <v>83</v>
      </c>
    </row>
    <row r="2254">
      <c r="H2254" s="61"/>
      <c r="I2254" s="61" t="str">
        <f t="shared" si="11"/>
        <v/>
      </c>
      <c r="J2254" s="62"/>
      <c r="K2254" s="61"/>
      <c r="L2254" s="63"/>
      <c r="M2254" s="64"/>
      <c r="N2254" s="61"/>
    </row>
    <row r="2255">
      <c r="H2255" s="61"/>
      <c r="I2255" s="61" t="str">
        <f t="shared" si="11"/>
        <v/>
      </c>
      <c r="J2255" s="62"/>
      <c r="K2255" s="61"/>
      <c r="L2255" s="63"/>
      <c r="M2255" s="64"/>
      <c r="N2255" s="61"/>
    </row>
    <row r="2256">
      <c r="H2256" s="61"/>
      <c r="I2256" s="61"/>
      <c r="J2256" s="62"/>
      <c r="K2256" s="61"/>
      <c r="L2256" s="63"/>
      <c r="M2256" s="64"/>
      <c r="N2256" s="61"/>
    </row>
    <row r="2257">
      <c r="H2257" s="61"/>
      <c r="I2257" s="61"/>
      <c r="J2257" s="62"/>
      <c r="K2257" s="61"/>
      <c r="L2257" s="63"/>
      <c r="M2257" s="64"/>
      <c r="N2257" s="61"/>
    </row>
    <row r="2258">
      <c r="H2258" s="61"/>
      <c r="I2258" s="61"/>
      <c r="J2258" s="62"/>
      <c r="K2258" s="61"/>
      <c r="L2258" s="63"/>
      <c r="M2258" s="64"/>
      <c r="N2258" s="61"/>
    </row>
    <row r="2259">
      <c r="H2259" s="61"/>
      <c r="I2259" s="61"/>
      <c r="J2259" s="62"/>
      <c r="K2259" s="61"/>
      <c r="L2259" s="63"/>
      <c r="M2259" s="64"/>
      <c r="N2259" s="65"/>
    </row>
    <row r="2260">
      <c r="H2260" s="61"/>
      <c r="I2260" s="61"/>
      <c r="J2260" s="62"/>
      <c r="K2260" s="61"/>
      <c r="L2260" s="63"/>
      <c r="M2260" s="64"/>
      <c r="N2260" s="65"/>
    </row>
    <row r="2261">
      <c r="H2261" s="61"/>
      <c r="I2261" s="61"/>
      <c r="J2261" s="62"/>
      <c r="K2261" s="61"/>
      <c r="L2261" s="63"/>
      <c r="M2261" s="64"/>
      <c r="N2261" s="65"/>
    </row>
    <row r="2262">
      <c r="H2262" s="61"/>
      <c r="I2262" s="61"/>
      <c r="J2262" s="62"/>
      <c r="K2262" s="61"/>
      <c r="L2262" s="63"/>
      <c r="M2262" s="64"/>
      <c r="N2262" s="65"/>
    </row>
    <row r="2263">
      <c r="H2263" s="61"/>
      <c r="I2263" s="61"/>
      <c r="J2263" s="62"/>
      <c r="K2263" s="61"/>
      <c r="L2263" s="63"/>
      <c r="M2263" s="64"/>
      <c r="N2263" s="65"/>
    </row>
    <row r="2264">
      <c r="H2264" s="61"/>
      <c r="I2264" s="61"/>
      <c r="J2264" s="62"/>
      <c r="K2264" s="61"/>
      <c r="L2264" s="63"/>
      <c r="M2264" s="64"/>
      <c r="N2264" s="65"/>
    </row>
    <row r="2265">
      <c r="H2265" s="61"/>
      <c r="I2265" s="61"/>
      <c r="J2265" s="62"/>
      <c r="K2265" s="61"/>
      <c r="L2265" s="63"/>
      <c r="M2265" s="64"/>
      <c r="N2265" s="65"/>
    </row>
    <row r="2266">
      <c r="H2266" s="61"/>
      <c r="I2266" s="61"/>
      <c r="J2266" s="62"/>
      <c r="K2266" s="61"/>
      <c r="L2266" s="63"/>
      <c r="M2266" s="64"/>
      <c r="N2266" s="65"/>
    </row>
    <row r="2267">
      <c r="H2267" s="61"/>
      <c r="I2267" s="61"/>
      <c r="J2267" s="62"/>
      <c r="K2267" s="61"/>
      <c r="L2267" s="63"/>
      <c r="M2267" s="64"/>
      <c r="N2267" s="65"/>
    </row>
    <row r="2268">
      <c r="H2268" s="61"/>
      <c r="I2268" s="61"/>
      <c r="J2268" s="62"/>
      <c r="K2268" s="61"/>
      <c r="L2268" s="63"/>
      <c r="M2268" s="64"/>
      <c r="N2268" s="65"/>
    </row>
    <row r="2269">
      <c r="H2269" s="61"/>
      <c r="I2269" s="61"/>
      <c r="J2269" s="62"/>
      <c r="K2269" s="61"/>
      <c r="L2269" s="63"/>
      <c r="M2269" s="64"/>
      <c r="N2269" s="65"/>
    </row>
    <row r="2270">
      <c r="H2270" s="61"/>
      <c r="I2270" s="61"/>
      <c r="J2270" s="62"/>
      <c r="K2270" s="61"/>
      <c r="L2270" s="63"/>
      <c r="M2270" s="64"/>
      <c r="N2270" s="65"/>
    </row>
    <row r="2271">
      <c r="H2271" s="61"/>
      <c r="I2271" s="61"/>
      <c r="J2271" s="62"/>
      <c r="K2271" s="61"/>
      <c r="L2271" s="63"/>
      <c r="M2271" s="64"/>
      <c r="N2271" s="65"/>
    </row>
    <row r="2272">
      <c r="H2272" s="61"/>
      <c r="I2272" s="61"/>
      <c r="J2272" s="62"/>
      <c r="K2272" s="61"/>
      <c r="L2272" s="63"/>
      <c r="M2272" s="64"/>
      <c r="N2272" s="65"/>
    </row>
    <row r="2273">
      <c r="H2273" s="61"/>
      <c r="I2273" s="61"/>
      <c r="J2273" s="62"/>
      <c r="K2273" s="61"/>
      <c r="L2273" s="63"/>
      <c r="M2273" s="64"/>
      <c r="N2273" s="65"/>
    </row>
    <row r="2274">
      <c r="H2274" s="61"/>
      <c r="I2274" s="61"/>
      <c r="J2274" s="62"/>
      <c r="K2274" s="61"/>
      <c r="L2274" s="63"/>
      <c r="M2274" s="64"/>
      <c r="N2274" s="65"/>
    </row>
    <row r="2275">
      <c r="H2275" s="61"/>
      <c r="I2275" s="61" t="str">
        <f t="shared" ref="I2275:I2288" si="16">LEFT(B2275,4)</f>
        <v/>
      </c>
      <c r="J2275" s="62"/>
      <c r="K2275" s="61"/>
      <c r="L2275" s="63"/>
      <c r="M2275" s="64"/>
      <c r="N2275" s="61"/>
    </row>
    <row r="2276">
      <c r="H2276" s="61"/>
      <c r="I2276" s="61" t="str">
        <f t="shared" si="16"/>
        <v/>
      </c>
      <c r="J2276" s="62"/>
      <c r="K2276" s="61"/>
      <c r="L2276" s="63"/>
      <c r="M2276" s="64"/>
      <c r="N2276" s="61"/>
    </row>
    <row r="2277">
      <c r="H2277" s="61"/>
      <c r="I2277" s="61" t="str">
        <f t="shared" si="16"/>
        <v/>
      </c>
      <c r="J2277" s="62"/>
      <c r="K2277" s="61"/>
      <c r="L2277" s="63"/>
      <c r="M2277" s="64"/>
      <c r="N2277" s="61"/>
    </row>
    <row r="2278">
      <c r="H2278" s="61"/>
      <c r="I2278" s="61" t="str">
        <f t="shared" si="16"/>
        <v/>
      </c>
      <c r="J2278" s="62"/>
      <c r="K2278" s="61"/>
      <c r="L2278" s="63"/>
      <c r="M2278" s="64"/>
      <c r="N2278" s="61"/>
    </row>
    <row r="2279">
      <c r="H2279" s="61"/>
      <c r="I2279" s="61" t="str">
        <f t="shared" si="16"/>
        <v/>
      </c>
      <c r="J2279" s="62"/>
      <c r="K2279" s="61"/>
      <c r="L2279" s="63"/>
      <c r="M2279" s="64"/>
      <c r="N2279" s="61"/>
    </row>
    <row r="2280">
      <c r="H2280" s="61"/>
      <c r="I2280" s="61" t="str">
        <f t="shared" si="16"/>
        <v/>
      </c>
      <c r="J2280" s="62"/>
      <c r="K2280" s="61"/>
      <c r="L2280" s="63"/>
      <c r="M2280" s="64"/>
      <c r="N2280" s="61"/>
    </row>
    <row r="2281">
      <c r="H2281" s="61"/>
      <c r="I2281" s="61" t="str">
        <f t="shared" si="16"/>
        <v/>
      </c>
      <c r="J2281" s="62"/>
      <c r="K2281" s="61"/>
      <c r="L2281" s="63"/>
      <c r="M2281" s="64"/>
      <c r="N2281" s="61"/>
    </row>
    <row r="2282">
      <c r="H2282" s="61"/>
      <c r="I2282" s="61" t="str">
        <f t="shared" si="16"/>
        <v/>
      </c>
      <c r="J2282" s="62"/>
      <c r="K2282" s="61"/>
      <c r="L2282" s="63"/>
      <c r="M2282" s="64"/>
      <c r="N2282" s="61"/>
    </row>
    <row r="2283">
      <c r="H2283" s="61"/>
      <c r="I2283" s="61" t="str">
        <f t="shared" si="16"/>
        <v/>
      </c>
      <c r="J2283" s="62"/>
      <c r="K2283" s="61"/>
      <c r="L2283" s="63"/>
      <c r="M2283" s="64"/>
      <c r="N2283" s="61"/>
    </row>
    <row r="2284">
      <c r="H2284" s="61"/>
      <c r="I2284" s="61" t="str">
        <f t="shared" si="16"/>
        <v/>
      </c>
      <c r="J2284" s="62"/>
      <c r="K2284" s="61"/>
      <c r="L2284" s="63"/>
      <c r="M2284" s="64"/>
      <c r="N2284" s="61"/>
    </row>
    <row r="2285">
      <c r="H2285" s="61"/>
      <c r="I2285" s="61" t="str">
        <f t="shared" si="16"/>
        <v/>
      </c>
      <c r="J2285" s="62"/>
      <c r="K2285" s="61"/>
      <c r="L2285" s="63"/>
      <c r="M2285" s="64"/>
      <c r="N2285" s="61"/>
    </row>
    <row r="2286">
      <c r="H2286" s="61"/>
      <c r="I2286" s="61" t="str">
        <f t="shared" si="16"/>
        <v/>
      </c>
      <c r="J2286" s="62"/>
      <c r="K2286" s="61"/>
      <c r="L2286" s="63"/>
      <c r="M2286" s="64"/>
      <c r="N2286" s="61"/>
    </row>
    <row r="2287">
      <c r="H2287" s="61"/>
      <c r="I2287" s="61" t="str">
        <f t="shared" si="16"/>
        <v/>
      </c>
      <c r="J2287" s="62"/>
      <c r="K2287" s="61"/>
      <c r="L2287" s="63"/>
      <c r="M2287" s="64"/>
      <c r="N2287" s="61"/>
    </row>
    <row r="2288">
      <c r="H2288" s="61"/>
      <c r="I2288" s="61" t="str">
        <f t="shared" si="16"/>
        <v/>
      </c>
      <c r="J2288" s="62"/>
      <c r="K2288" s="61"/>
      <c r="L2288" s="63"/>
      <c r="M2288" s="64"/>
      <c r="N2288" s="61"/>
    </row>
  </sheetData>
  <dataValidations>
    <dataValidation type="list" allowBlank="1" showErrorMessage="1" sqref="E2248 E2251:E2253">
      <formula1>"Development,Operations,Outreach,Research,Talent &amp; Education,Economy"</formula1>
    </dataValidation>
    <dataValidation type="list" allowBlank="1" showErrorMessage="1" sqref="F2248">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Operations,Security,Ecosystem Services"</formula1>
    </dataValidation>
  </dataValidations>
  <hyperlinks>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G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930"/>
    <hyperlink r:id="rId385" ref="A931"/>
    <hyperlink r:id="rId386" ref="A932"/>
    <hyperlink r:id="rId387" ref="A933"/>
    <hyperlink r:id="rId388" ref="A934"/>
    <hyperlink r:id="rId389" ref="A935"/>
    <hyperlink r:id="rId390" ref="A936"/>
    <hyperlink r:id="rId391" ref="A937"/>
    <hyperlink r:id="rId392" ref="A938"/>
    <hyperlink r:id="rId393" ref="A939"/>
    <hyperlink r:id="rId394" ref="A940"/>
    <hyperlink r:id="rId395" ref="A941"/>
    <hyperlink r:id="rId396" ref="A942"/>
    <hyperlink r:id="rId397" ref="A943"/>
    <hyperlink r:id="rId398" ref="A944"/>
    <hyperlink r:id="rId399" ref="A945"/>
    <hyperlink r:id="rId400" ref="A946"/>
    <hyperlink r:id="rId401" ref="A947"/>
    <hyperlink r:id="rId402" ref="A948"/>
    <hyperlink r:id="rId403" ref="A949"/>
    <hyperlink r:id="rId404" ref="A950"/>
    <hyperlink r:id="rId405" ref="A951"/>
    <hyperlink r:id="rId406" ref="A952"/>
    <hyperlink r:id="rId407" ref="A953"/>
    <hyperlink r:id="rId408" ref="A954"/>
    <hyperlink r:id="rId409" ref="A955"/>
    <hyperlink r:id="rId410" ref="A956"/>
    <hyperlink r:id="rId411" ref="A957"/>
    <hyperlink r:id="rId412" ref="A958"/>
    <hyperlink r:id="rId413" ref="A959"/>
    <hyperlink r:id="rId414" ref="A960"/>
    <hyperlink r:id="rId415" ref="A961"/>
    <hyperlink r:id="rId416" ref="A962"/>
    <hyperlink r:id="rId417" ref="G962"/>
    <hyperlink r:id="rId418" ref="A963"/>
    <hyperlink r:id="rId419" ref="A964"/>
    <hyperlink r:id="rId420" ref="A965"/>
    <hyperlink r:id="rId421" ref="A966"/>
    <hyperlink r:id="rId422" ref="A967"/>
    <hyperlink r:id="rId423" ref="A968"/>
    <hyperlink r:id="rId424" ref="A969"/>
    <hyperlink r:id="rId425" ref="A970"/>
    <hyperlink r:id="rId426" ref="A971"/>
    <hyperlink r:id="rId427" ref="A972"/>
    <hyperlink r:id="rId428" ref="A973"/>
    <hyperlink r:id="rId429" ref="A974"/>
    <hyperlink r:id="rId430" ref="A975"/>
    <hyperlink r:id="rId431" ref="A976"/>
    <hyperlink r:id="rId432" ref="A977"/>
    <hyperlink r:id="rId433" ref="A978"/>
    <hyperlink r:id="rId434" ref="A979"/>
    <hyperlink r:id="rId435" ref="A980"/>
    <hyperlink r:id="rId436" ref="A981"/>
    <hyperlink r:id="rId437" ref="A982"/>
    <hyperlink r:id="rId438" ref="A983"/>
    <hyperlink r:id="rId439" ref="A984"/>
    <hyperlink r:id="rId440" ref="A985"/>
    <hyperlink r:id="rId441" ref="A986"/>
    <hyperlink r:id="rId442" ref="A987"/>
    <hyperlink r:id="rId443" ref="A988"/>
    <hyperlink r:id="rId444" ref="A989"/>
    <hyperlink r:id="rId445" ref="A990"/>
    <hyperlink r:id="rId446" ref="A991"/>
    <hyperlink r:id="rId447" ref="A992"/>
    <hyperlink r:id="rId448" ref="A993"/>
    <hyperlink r:id="rId449" ref="A994"/>
    <hyperlink r:id="rId450" ref="A995"/>
    <hyperlink r:id="rId451" ref="A996"/>
    <hyperlink r:id="rId452" ref="A997"/>
    <hyperlink r:id="rId453" ref="A998"/>
    <hyperlink r:id="rId454" ref="A999"/>
    <hyperlink r:id="rId455" ref="A1000"/>
    <hyperlink r:id="rId456" ref="A1001"/>
    <hyperlink r:id="rId457" ref="A1002"/>
    <hyperlink r:id="rId458" ref="A1003"/>
    <hyperlink r:id="rId459" ref="A1004"/>
    <hyperlink r:id="rId460" ref="A1005"/>
    <hyperlink r:id="rId461" ref="A1006"/>
    <hyperlink r:id="rId462" ref="A1007"/>
    <hyperlink r:id="rId463" ref="A1008"/>
    <hyperlink r:id="rId464" ref="A1009"/>
    <hyperlink r:id="rId465" ref="A1010"/>
    <hyperlink r:id="rId466" ref="A1011"/>
    <hyperlink r:id="rId467" ref="A1012"/>
    <hyperlink r:id="rId468" ref="A1013"/>
    <hyperlink r:id="rId469" ref="A1014"/>
    <hyperlink r:id="rId470" ref="A1015"/>
    <hyperlink r:id="rId471" ref="A1016"/>
    <hyperlink r:id="rId472" ref="A1017"/>
    <hyperlink r:id="rId473" ref="A1018"/>
    <hyperlink r:id="rId474" ref="A1019"/>
    <hyperlink r:id="rId475" ref="A1020"/>
    <hyperlink r:id="rId476" ref="A1021"/>
    <hyperlink r:id="rId477" ref="A1022"/>
    <hyperlink r:id="rId478" ref="A1023"/>
    <hyperlink r:id="rId479" ref="A1024"/>
    <hyperlink r:id="rId480" ref="A1025"/>
    <hyperlink r:id="rId481" ref="A1026"/>
    <hyperlink r:id="rId482" ref="A1027"/>
    <hyperlink r:id="rId483" ref="A1028"/>
    <hyperlink r:id="rId484" ref="A1029"/>
    <hyperlink r:id="rId485" ref="A1030"/>
    <hyperlink r:id="rId486" ref="A1031"/>
    <hyperlink r:id="rId487" ref="A1032"/>
    <hyperlink r:id="rId488" ref="A1033"/>
    <hyperlink r:id="rId489" ref="A1034"/>
    <hyperlink r:id="rId490" ref="A1035"/>
    <hyperlink r:id="rId491" ref="A1036"/>
    <hyperlink r:id="rId492" ref="A1037"/>
    <hyperlink r:id="rId493" ref="A1038"/>
    <hyperlink r:id="rId494" ref="A1039"/>
    <hyperlink r:id="rId495" ref="A1040"/>
    <hyperlink r:id="rId496" ref="A1041"/>
    <hyperlink r:id="rId497" ref="A1042"/>
    <hyperlink r:id="rId498" ref="A1043"/>
    <hyperlink r:id="rId499" ref="A1044"/>
    <hyperlink r:id="rId500" ref="A1045"/>
    <hyperlink r:id="rId501" ref="A1046"/>
    <hyperlink r:id="rId502" ref="A1047"/>
    <hyperlink r:id="rId503" ref="A1048"/>
    <hyperlink r:id="rId504" ref="A1049"/>
    <hyperlink r:id="rId505" ref="A1050"/>
    <hyperlink r:id="rId506" ref="A1051"/>
    <hyperlink r:id="rId507" ref="A1052"/>
    <hyperlink r:id="rId508" ref="A1053"/>
    <hyperlink r:id="rId509" ref="A1054"/>
    <hyperlink r:id="rId510" ref="A1055"/>
    <hyperlink r:id="rId511" ref="A1056"/>
    <hyperlink r:id="rId512" ref="A1057"/>
    <hyperlink r:id="rId513" ref="A1058"/>
    <hyperlink r:id="rId514" ref="A1059"/>
    <hyperlink r:id="rId515" ref="A1060"/>
    <hyperlink r:id="rId516" ref="A1061"/>
    <hyperlink r:id="rId517" ref="A1062"/>
    <hyperlink r:id="rId518" ref="A1063"/>
    <hyperlink r:id="rId519" ref="A1064"/>
    <hyperlink r:id="rId520" ref="A1065"/>
    <hyperlink r:id="rId521" ref="A1066"/>
    <hyperlink r:id="rId522" ref="A1067"/>
    <hyperlink r:id="rId523" ref="A1068"/>
    <hyperlink r:id="rId524" ref="A1069"/>
    <hyperlink r:id="rId525" ref="A1070"/>
    <hyperlink r:id="rId526" ref="A1071"/>
    <hyperlink r:id="rId527" ref="A1072"/>
    <hyperlink r:id="rId528" ref="A1073"/>
    <hyperlink r:id="rId529" ref="A1074"/>
    <hyperlink r:id="rId530" ref="A1075"/>
    <hyperlink r:id="rId531" ref="A1076"/>
    <hyperlink r:id="rId532" ref="A1077"/>
    <hyperlink r:id="rId533" ref="A1078"/>
    <hyperlink r:id="rId534" ref="A1079"/>
    <hyperlink r:id="rId535" ref="A1080"/>
    <hyperlink r:id="rId536" ref="A1081"/>
    <hyperlink r:id="rId537" ref="A1082"/>
    <hyperlink r:id="rId538" ref="A1083"/>
    <hyperlink r:id="rId539" ref="A1084"/>
    <hyperlink r:id="rId540" ref="A1085"/>
    <hyperlink r:id="rId541" ref="A1086"/>
    <hyperlink r:id="rId542" ref="A1087"/>
    <hyperlink r:id="rId543" ref="A1088"/>
    <hyperlink r:id="rId544" ref="A1089"/>
    <hyperlink r:id="rId545" ref="A1090"/>
    <hyperlink r:id="rId546" ref="A1091"/>
    <hyperlink r:id="rId547" ref="A1092"/>
    <hyperlink r:id="rId548" ref="A1093"/>
    <hyperlink r:id="rId549" ref="A1094"/>
    <hyperlink r:id="rId550" ref="A1095"/>
    <hyperlink r:id="rId551" ref="A1096"/>
    <hyperlink r:id="rId552" ref="A1097"/>
    <hyperlink r:id="rId553" ref="A1098"/>
    <hyperlink r:id="rId554" ref="A1099"/>
    <hyperlink r:id="rId555" ref="A1100"/>
    <hyperlink r:id="rId556" ref="A1101"/>
    <hyperlink r:id="rId557" ref="A1102"/>
    <hyperlink r:id="rId558" ref="A1103"/>
    <hyperlink r:id="rId559" ref="A1104"/>
    <hyperlink r:id="rId560" ref="A1105"/>
    <hyperlink r:id="rId561" ref="A1106"/>
    <hyperlink r:id="rId562" ref="A1107"/>
    <hyperlink r:id="rId563" ref="A1108"/>
    <hyperlink r:id="rId564" ref="A1109"/>
    <hyperlink r:id="rId565" ref="A1110"/>
    <hyperlink r:id="rId566" ref="A1111"/>
    <hyperlink r:id="rId567" ref="A1112"/>
    <hyperlink r:id="rId568" ref="A1113"/>
    <hyperlink r:id="rId569" ref="A1114"/>
    <hyperlink r:id="rId570" ref="A1115"/>
    <hyperlink r:id="rId571" ref="A1116"/>
    <hyperlink r:id="rId572" ref="A1117"/>
    <hyperlink r:id="rId573" ref="A1118"/>
    <hyperlink r:id="rId574" ref="A1119"/>
    <hyperlink r:id="rId575" ref="A1120"/>
    <hyperlink r:id="rId576" ref="A1121"/>
    <hyperlink r:id="rId577" ref="A1122"/>
    <hyperlink r:id="rId578" ref="A1123"/>
    <hyperlink r:id="rId579" ref="A1124"/>
    <hyperlink r:id="rId580" ref="A1125"/>
    <hyperlink r:id="rId581" ref="A1126"/>
    <hyperlink r:id="rId582" ref="A1127"/>
    <hyperlink r:id="rId583" ref="G1127"/>
    <hyperlink r:id="rId584" ref="A1128"/>
    <hyperlink r:id="rId585" ref="A1129"/>
    <hyperlink r:id="rId586" ref="A1130"/>
    <hyperlink r:id="rId587" ref="A1131"/>
    <hyperlink r:id="rId588" ref="A1132"/>
    <hyperlink r:id="rId589" ref="A1133"/>
    <hyperlink r:id="rId590" ref="A1134"/>
    <hyperlink r:id="rId591" ref="A1135"/>
    <hyperlink r:id="rId592" ref="A1136"/>
    <hyperlink r:id="rId593" ref="A1137"/>
    <hyperlink r:id="rId594" ref="A1138"/>
    <hyperlink r:id="rId595" ref="A1139"/>
    <hyperlink r:id="rId596" ref="A1140"/>
    <hyperlink r:id="rId597" ref="A1141"/>
    <hyperlink r:id="rId598" ref="A1142"/>
    <hyperlink r:id="rId599" ref="A1143"/>
    <hyperlink r:id="rId600" ref="A1144"/>
    <hyperlink r:id="rId601" ref="A1145"/>
    <hyperlink r:id="rId602" ref="A1146"/>
    <hyperlink r:id="rId603" ref="A1147"/>
    <hyperlink r:id="rId604" ref="A1148"/>
    <hyperlink r:id="rId605" ref="A1149"/>
    <hyperlink r:id="rId606" ref="A1150"/>
    <hyperlink r:id="rId607" ref="A1151"/>
    <hyperlink r:id="rId608" ref="A1152"/>
    <hyperlink r:id="rId609" ref="A1153"/>
    <hyperlink r:id="rId610" ref="A1154"/>
    <hyperlink r:id="rId611" ref="A1155"/>
    <hyperlink r:id="rId612" ref="A1156"/>
    <hyperlink r:id="rId613" ref="A1157"/>
    <hyperlink r:id="rId614" ref="A1158"/>
    <hyperlink r:id="rId615" ref="A1159"/>
    <hyperlink r:id="rId616" ref="A1160"/>
    <hyperlink r:id="rId617" ref="A1161"/>
    <hyperlink r:id="rId618" ref="A1162"/>
    <hyperlink r:id="rId619" ref="A1163"/>
    <hyperlink r:id="rId620" ref="A1164"/>
    <hyperlink r:id="rId621" ref="A1165"/>
    <hyperlink r:id="rId622" ref="A1166"/>
    <hyperlink r:id="rId623" ref="A1167"/>
    <hyperlink r:id="rId624" ref="A1168"/>
    <hyperlink r:id="rId625" ref="A1169"/>
    <hyperlink r:id="rId626" ref="A1170"/>
    <hyperlink r:id="rId627" ref="A1171"/>
    <hyperlink r:id="rId628" ref="A1172"/>
    <hyperlink r:id="rId629" ref="A1173"/>
    <hyperlink r:id="rId630" ref="A1174"/>
    <hyperlink r:id="rId631" ref="A1175"/>
    <hyperlink r:id="rId632" ref="A1176"/>
    <hyperlink r:id="rId633" ref="A1177"/>
    <hyperlink r:id="rId634" ref="A1178"/>
    <hyperlink r:id="rId635" ref="A1179"/>
    <hyperlink r:id="rId636" ref="A1180"/>
    <hyperlink r:id="rId637" ref="A1181"/>
    <hyperlink r:id="rId638" ref="A1182"/>
    <hyperlink r:id="rId639" ref="A1183"/>
    <hyperlink r:id="rId640" ref="A1184"/>
    <hyperlink r:id="rId641" ref="A1185"/>
    <hyperlink r:id="rId642" ref="A1186"/>
    <hyperlink r:id="rId643" ref="A1187"/>
    <hyperlink r:id="rId644" ref="A1188"/>
    <hyperlink r:id="rId645" ref="A1189"/>
    <hyperlink r:id="rId646" ref="A1190"/>
    <hyperlink r:id="rId647" ref="A1191"/>
    <hyperlink r:id="rId648" ref="A1192"/>
    <hyperlink r:id="rId649" ref="A1193"/>
    <hyperlink r:id="rId650" ref="A1194"/>
    <hyperlink r:id="rId651" ref="A1195"/>
    <hyperlink r:id="rId652" ref="A1196"/>
    <hyperlink r:id="rId653" ref="A1197"/>
    <hyperlink r:id="rId654" ref="A1198"/>
    <hyperlink r:id="rId655" ref="A1199"/>
    <hyperlink r:id="rId656" ref="A1200"/>
    <hyperlink r:id="rId657" ref="A1201"/>
    <hyperlink r:id="rId658" ref="A1202"/>
    <hyperlink r:id="rId659" ref="A1203"/>
    <hyperlink r:id="rId660" ref="A1204"/>
    <hyperlink r:id="rId661" ref="A1205"/>
    <hyperlink r:id="rId662" ref="A1206"/>
    <hyperlink r:id="rId663" ref="A1207"/>
    <hyperlink r:id="rId664" ref="A1208"/>
    <hyperlink r:id="rId665" ref="A1209"/>
    <hyperlink r:id="rId666" ref="A1210"/>
    <hyperlink r:id="rId667" ref="A1211"/>
    <hyperlink r:id="rId668" ref="A1212"/>
    <hyperlink r:id="rId669" ref="A1213"/>
    <hyperlink r:id="rId670" ref="A1214"/>
    <hyperlink r:id="rId671" ref="A1215"/>
    <hyperlink r:id="rId672" ref="A1216"/>
    <hyperlink r:id="rId673" ref="A1217"/>
    <hyperlink r:id="rId674" ref="A1218"/>
    <hyperlink r:id="rId675" ref="A1219"/>
    <hyperlink r:id="rId676" ref="A1220"/>
    <hyperlink r:id="rId677" ref="A1221"/>
    <hyperlink r:id="rId678" ref="A1222"/>
    <hyperlink r:id="rId679" ref="A1223"/>
    <hyperlink r:id="rId680" ref="A1224"/>
    <hyperlink r:id="rId681" ref="A1225"/>
    <hyperlink r:id="rId682" ref="A1226"/>
    <hyperlink r:id="rId683" ref="A1227"/>
    <hyperlink r:id="rId684" ref="A1228"/>
    <hyperlink r:id="rId685" ref="A1229"/>
    <hyperlink r:id="rId686" ref="A1230"/>
    <hyperlink r:id="rId687" ref="A1231"/>
    <hyperlink r:id="rId688" ref="A1232"/>
    <hyperlink r:id="rId689" ref="A1233"/>
    <hyperlink r:id="rId690" ref="A1234"/>
    <hyperlink r:id="rId691" ref="A1235"/>
    <hyperlink r:id="rId692" ref="A1236"/>
    <hyperlink r:id="rId693" ref="A1237"/>
    <hyperlink r:id="rId694" ref="A1238"/>
    <hyperlink r:id="rId695" ref="A1239"/>
    <hyperlink r:id="rId696" ref="A1240"/>
    <hyperlink r:id="rId697" ref="A1241"/>
    <hyperlink r:id="rId698" ref="A1242"/>
    <hyperlink r:id="rId699" ref="A1243"/>
    <hyperlink r:id="rId700" ref="A1244"/>
    <hyperlink r:id="rId701" ref="A1245"/>
    <hyperlink r:id="rId702" ref="A1246"/>
    <hyperlink r:id="rId703" ref="A1247"/>
    <hyperlink r:id="rId704" ref="A1248"/>
    <hyperlink r:id="rId705" ref="A1249"/>
    <hyperlink r:id="rId706" ref="A1250"/>
    <hyperlink r:id="rId707" ref="A1251"/>
    <hyperlink r:id="rId708" ref="A1252"/>
    <hyperlink r:id="rId709" ref="A1253"/>
    <hyperlink r:id="rId710" ref="A1254"/>
    <hyperlink r:id="rId711" ref="A1255"/>
    <hyperlink r:id="rId712" ref="A1256"/>
    <hyperlink r:id="rId713" ref="A1257"/>
    <hyperlink r:id="rId714" ref="A1258"/>
    <hyperlink r:id="rId715" ref="A1259"/>
    <hyperlink r:id="rId716" ref="A1260"/>
    <hyperlink r:id="rId717" ref="A1261"/>
    <hyperlink r:id="rId718" ref="A1262"/>
    <hyperlink r:id="rId719" ref="A1263"/>
    <hyperlink r:id="rId720" ref="A1264"/>
    <hyperlink r:id="rId721" ref="A1265"/>
    <hyperlink r:id="rId722" ref="A1266"/>
    <hyperlink r:id="rId723" ref="A1267"/>
    <hyperlink r:id="rId724" ref="A1268"/>
    <hyperlink r:id="rId725" ref="A1269"/>
    <hyperlink r:id="rId726" ref="A1270"/>
    <hyperlink r:id="rId727" ref="A1271"/>
    <hyperlink r:id="rId728" ref="A1272"/>
    <hyperlink r:id="rId729" ref="A1273"/>
    <hyperlink r:id="rId730" ref="A1274"/>
    <hyperlink r:id="rId731" ref="A1275"/>
    <hyperlink r:id="rId732" ref="A1276"/>
    <hyperlink r:id="rId733" ref="A1277"/>
    <hyperlink r:id="rId734" ref="A1278"/>
    <hyperlink r:id="rId735" ref="A1279"/>
    <hyperlink r:id="rId736" ref="A1280"/>
    <hyperlink r:id="rId737" ref="A1281"/>
    <hyperlink r:id="rId738" ref="A1282"/>
    <hyperlink r:id="rId739" ref="A1283"/>
    <hyperlink r:id="rId740" ref="A1284"/>
    <hyperlink r:id="rId741" ref="A1285"/>
    <hyperlink r:id="rId742" ref="A1286"/>
    <hyperlink r:id="rId743" ref="A1287"/>
    <hyperlink r:id="rId744" ref="A1288"/>
    <hyperlink r:id="rId745" ref="A1289"/>
    <hyperlink r:id="rId746" ref="A1290"/>
    <hyperlink r:id="rId747" ref="A1291"/>
    <hyperlink r:id="rId748" ref="A1292"/>
    <hyperlink r:id="rId749" ref="A1293"/>
    <hyperlink r:id="rId750" ref="A1294"/>
    <hyperlink r:id="rId751" ref="A1295"/>
    <hyperlink r:id="rId752" ref="A1296"/>
    <hyperlink r:id="rId753" ref="A1297"/>
    <hyperlink r:id="rId754" ref="A1298"/>
    <hyperlink r:id="rId755" ref="A1299"/>
    <hyperlink r:id="rId756" ref="A1300"/>
    <hyperlink r:id="rId757" ref="A1301"/>
    <hyperlink r:id="rId758" ref="A1302"/>
    <hyperlink r:id="rId759" ref="A1303"/>
    <hyperlink r:id="rId760" ref="A1304"/>
    <hyperlink r:id="rId761" ref="A1305"/>
    <hyperlink r:id="rId762" ref="A1306"/>
    <hyperlink r:id="rId763" ref="A1307"/>
    <hyperlink r:id="rId764" ref="A1308"/>
    <hyperlink r:id="rId765" ref="A1309"/>
    <hyperlink r:id="rId766" ref="A1310"/>
    <hyperlink r:id="rId767" ref="A1311"/>
    <hyperlink r:id="rId768" ref="A1312"/>
    <hyperlink r:id="rId769" ref="A1313"/>
    <hyperlink r:id="rId770" ref="A1314"/>
    <hyperlink r:id="rId771" ref="A1315"/>
    <hyperlink r:id="rId772" ref="A1316"/>
    <hyperlink r:id="rId773" ref="A1317"/>
    <hyperlink r:id="rId774" ref="A1318"/>
    <hyperlink r:id="rId775" ref="A1319"/>
    <hyperlink r:id="rId776" ref="A1320"/>
    <hyperlink r:id="rId777" ref="A1321"/>
    <hyperlink r:id="rId778" ref="A1322"/>
    <hyperlink r:id="rId779" ref="A1323"/>
    <hyperlink r:id="rId780" ref="A1324"/>
    <hyperlink r:id="rId781" ref="A1325"/>
    <hyperlink r:id="rId782" ref="A1326"/>
    <hyperlink r:id="rId783" ref="A1327"/>
    <hyperlink r:id="rId784" ref="A1328"/>
    <hyperlink r:id="rId785" ref="A1329"/>
    <hyperlink r:id="rId786" ref="A1330"/>
    <hyperlink r:id="rId787" ref="A1331"/>
    <hyperlink r:id="rId788" ref="A1332"/>
    <hyperlink r:id="rId789" ref="A1333"/>
    <hyperlink r:id="rId790" ref="A1334"/>
    <hyperlink r:id="rId791" ref="A1335"/>
    <hyperlink r:id="rId792" ref="A1336"/>
    <hyperlink r:id="rId793" ref="A1337"/>
    <hyperlink r:id="rId794" ref="A1338"/>
    <hyperlink r:id="rId795" ref="A1339"/>
    <hyperlink r:id="rId796" ref="A1340"/>
    <hyperlink r:id="rId797" ref="A1341"/>
    <hyperlink r:id="rId798" ref="A1342"/>
    <hyperlink r:id="rId799" ref="A1343"/>
    <hyperlink r:id="rId800" ref="A1344"/>
    <hyperlink r:id="rId801" ref="A1345"/>
    <hyperlink r:id="rId802" ref="A1346"/>
    <hyperlink r:id="rId803" ref="A1347"/>
    <hyperlink r:id="rId804" ref="A1348"/>
    <hyperlink r:id="rId805" ref="A1349"/>
    <hyperlink r:id="rId806" ref="A1350"/>
    <hyperlink r:id="rId807" ref="A1351"/>
    <hyperlink r:id="rId808" ref="A1352"/>
    <hyperlink r:id="rId809" ref="A1353"/>
    <hyperlink r:id="rId810" ref="A1354"/>
    <hyperlink r:id="rId811" ref="A1355"/>
    <hyperlink r:id="rId812" ref="A1356"/>
    <hyperlink r:id="rId813" ref="A1357"/>
    <hyperlink r:id="rId814" ref="A1358"/>
    <hyperlink r:id="rId815" ref="A1359"/>
    <hyperlink r:id="rId816" ref="A1360"/>
    <hyperlink r:id="rId817" ref="A1361"/>
    <hyperlink r:id="rId818" ref="A1362"/>
    <hyperlink r:id="rId819" ref="A1363"/>
    <hyperlink r:id="rId820" ref="A1364"/>
    <hyperlink r:id="rId821" ref="A1365"/>
    <hyperlink r:id="rId822" ref="A1366"/>
    <hyperlink r:id="rId823" ref="A1367"/>
    <hyperlink r:id="rId824" ref="A1368"/>
    <hyperlink r:id="rId825" ref="A1369"/>
    <hyperlink r:id="rId826" ref="A1370"/>
    <hyperlink r:id="rId827" ref="A1371"/>
    <hyperlink r:id="rId828" ref="A1372"/>
    <hyperlink r:id="rId829" ref="A1373"/>
    <hyperlink r:id="rId830" ref="A1374"/>
    <hyperlink r:id="rId831" ref="A1375"/>
    <hyperlink r:id="rId832" ref="A1376"/>
    <hyperlink r:id="rId833" ref="A1377"/>
    <hyperlink r:id="rId834" ref="A1378"/>
    <hyperlink r:id="rId835" ref="A1379"/>
    <hyperlink r:id="rId836" ref="A1380"/>
    <hyperlink r:id="rId837" ref="A1381"/>
    <hyperlink r:id="rId838" ref="A1382"/>
    <hyperlink r:id="rId839" ref="A1383"/>
    <hyperlink r:id="rId840" ref="A1384"/>
    <hyperlink r:id="rId841" ref="A1385"/>
    <hyperlink r:id="rId842" ref="A1386"/>
    <hyperlink r:id="rId843" ref="A1387"/>
    <hyperlink r:id="rId844" ref="A1388"/>
    <hyperlink r:id="rId845" ref="A1389"/>
    <hyperlink r:id="rId846" ref="A1390"/>
    <hyperlink r:id="rId847" ref="A1391"/>
    <hyperlink r:id="rId848" ref="A1392"/>
    <hyperlink r:id="rId849" ref="A1393"/>
    <hyperlink r:id="rId850" ref="A1394"/>
    <hyperlink r:id="rId851" ref="A1395"/>
    <hyperlink r:id="rId852" ref="A1396"/>
    <hyperlink r:id="rId853" ref="A1397"/>
    <hyperlink r:id="rId854" ref="A1398"/>
    <hyperlink r:id="rId855" ref="A1399"/>
    <hyperlink r:id="rId856" ref="A1400"/>
    <hyperlink r:id="rId857" ref="A1401"/>
    <hyperlink r:id="rId858" ref="A1402"/>
    <hyperlink r:id="rId859" ref="A1403"/>
    <hyperlink r:id="rId860" ref="A1404"/>
    <hyperlink r:id="rId861" ref="A1405"/>
    <hyperlink r:id="rId862" ref="A1406"/>
    <hyperlink r:id="rId863" ref="A1407"/>
    <hyperlink r:id="rId864" ref="A1408"/>
    <hyperlink r:id="rId865" ref="A1409"/>
    <hyperlink r:id="rId866" ref="A1410"/>
    <hyperlink r:id="rId867" ref="A1411"/>
    <hyperlink r:id="rId868" ref="A1412"/>
    <hyperlink r:id="rId869" ref="A1413"/>
    <hyperlink r:id="rId870" ref="A1414"/>
    <hyperlink r:id="rId871" ref="A1415"/>
    <hyperlink r:id="rId872" ref="A1416"/>
    <hyperlink r:id="rId873" ref="A1417"/>
    <hyperlink r:id="rId874" ref="A1418"/>
    <hyperlink r:id="rId875" ref="A1419"/>
    <hyperlink r:id="rId876" ref="A1420"/>
    <hyperlink r:id="rId877" ref="A1421"/>
    <hyperlink r:id="rId878" ref="A1422"/>
    <hyperlink r:id="rId879" ref="A1423"/>
    <hyperlink r:id="rId880" ref="A1424"/>
    <hyperlink r:id="rId881" ref="A1425"/>
    <hyperlink r:id="rId882" ref="A1426"/>
    <hyperlink r:id="rId883" ref="A1427"/>
    <hyperlink r:id="rId884" ref="A1428"/>
    <hyperlink r:id="rId885" ref="A1429"/>
    <hyperlink r:id="rId886" ref="A1430"/>
    <hyperlink r:id="rId887" ref="A1431"/>
    <hyperlink r:id="rId888" ref="A1432"/>
    <hyperlink r:id="rId889" ref="A1433"/>
    <hyperlink r:id="rId890" ref="A1434"/>
    <hyperlink r:id="rId891" ref="A1435"/>
    <hyperlink r:id="rId892" ref="A1436"/>
    <hyperlink r:id="rId893" ref="A1437"/>
    <hyperlink r:id="rId894" ref="A1438"/>
    <hyperlink r:id="rId895" ref="A1439"/>
    <hyperlink r:id="rId896" ref="A1440"/>
    <hyperlink r:id="rId897" ref="A1441"/>
    <hyperlink r:id="rId898" ref="A1442"/>
    <hyperlink r:id="rId899" ref="A1443"/>
    <hyperlink r:id="rId900" ref="A1444"/>
    <hyperlink r:id="rId901" ref="A1445"/>
    <hyperlink r:id="rId902" ref="A1446"/>
    <hyperlink r:id="rId903" ref="A1447"/>
    <hyperlink r:id="rId904" ref="A1448"/>
    <hyperlink r:id="rId905" ref="A1449"/>
    <hyperlink r:id="rId906" ref="A1450"/>
    <hyperlink r:id="rId907" ref="A1451"/>
    <hyperlink r:id="rId908" ref="A1452"/>
    <hyperlink r:id="rId909" ref="A1453"/>
    <hyperlink r:id="rId910" ref="A1454"/>
    <hyperlink r:id="rId911" ref="A1455"/>
    <hyperlink r:id="rId912" ref="A1456"/>
    <hyperlink r:id="rId913" ref="A1457"/>
    <hyperlink r:id="rId914" ref="A1458"/>
    <hyperlink r:id="rId915" ref="A1459"/>
    <hyperlink r:id="rId916" ref="A1460"/>
    <hyperlink r:id="rId917" ref="A1461"/>
    <hyperlink r:id="rId918" ref="A1462"/>
    <hyperlink r:id="rId919" ref="A1463"/>
    <hyperlink r:id="rId920" ref="A1464"/>
    <hyperlink r:id="rId921" ref="A1465"/>
    <hyperlink r:id="rId922" ref="A1466"/>
    <hyperlink r:id="rId923" ref="A1467"/>
    <hyperlink r:id="rId924" ref="A1468"/>
    <hyperlink r:id="rId925" ref="A1469"/>
    <hyperlink r:id="rId926" ref="A1470"/>
    <hyperlink r:id="rId927" ref="A1471"/>
    <hyperlink r:id="rId928" ref="A1472"/>
    <hyperlink r:id="rId929" ref="A1473"/>
    <hyperlink r:id="rId930" ref="A1474"/>
    <hyperlink r:id="rId931" ref="A1475"/>
    <hyperlink r:id="rId932" ref="A1476"/>
    <hyperlink r:id="rId933" ref="A1477"/>
    <hyperlink r:id="rId934" ref="A1478"/>
    <hyperlink r:id="rId935" ref="A1479"/>
    <hyperlink r:id="rId936" ref="A1480"/>
    <hyperlink r:id="rId937" ref="A1481"/>
    <hyperlink r:id="rId938" ref="A1482"/>
    <hyperlink r:id="rId939" ref="A1483"/>
    <hyperlink r:id="rId940" ref="A1484"/>
    <hyperlink r:id="rId941" ref="A1485"/>
    <hyperlink r:id="rId942" ref="A1486"/>
    <hyperlink r:id="rId943" ref="A1487"/>
    <hyperlink r:id="rId944" ref="A1488"/>
    <hyperlink r:id="rId945" ref="A1489"/>
    <hyperlink r:id="rId946" ref="A1490"/>
    <hyperlink r:id="rId947" ref="A1491"/>
    <hyperlink r:id="rId948" ref="A1492"/>
    <hyperlink r:id="rId949" ref="A1493"/>
    <hyperlink r:id="rId950" ref="A1494"/>
    <hyperlink r:id="rId951" ref="A1495"/>
    <hyperlink r:id="rId952" ref="A1496"/>
    <hyperlink r:id="rId953" ref="A1497"/>
    <hyperlink r:id="rId954" ref="A1498"/>
    <hyperlink r:id="rId955" ref="A1499"/>
    <hyperlink r:id="rId956" ref="A1500"/>
    <hyperlink r:id="rId957" ref="A1501"/>
    <hyperlink r:id="rId958" ref="A1502"/>
    <hyperlink r:id="rId959" ref="A1503"/>
    <hyperlink r:id="rId960" ref="A1504"/>
    <hyperlink r:id="rId961" ref="A1505"/>
    <hyperlink r:id="rId962" ref="A1506"/>
    <hyperlink r:id="rId963" ref="A1507"/>
    <hyperlink r:id="rId964" ref="A1508"/>
    <hyperlink r:id="rId965" ref="A1509"/>
    <hyperlink r:id="rId966" ref="A1510"/>
    <hyperlink r:id="rId967" ref="A1511"/>
    <hyperlink r:id="rId968" ref="A1512"/>
    <hyperlink r:id="rId969" ref="A1513"/>
    <hyperlink r:id="rId970" ref="A1514"/>
    <hyperlink r:id="rId971" ref="A1515"/>
    <hyperlink r:id="rId972" ref="A1516"/>
    <hyperlink r:id="rId973" ref="A1517"/>
    <hyperlink r:id="rId974" ref="A1518"/>
    <hyperlink r:id="rId975" ref="A1519"/>
    <hyperlink r:id="rId976" ref="A1520"/>
    <hyperlink r:id="rId977" ref="A1521"/>
    <hyperlink r:id="rId978" ref="A1522"/>
    <hyperlink r:id="rId979" ref="A1523"/>
    <hyperlink r:id="rId980" ref="A1524"/>
    <hyperlink r:id="rId981" ref="A1525"/>
    <hyperlink r:id="rId982" ref="A1526"/>
    <hyperlink r:id="rId983" ref="A1527"/>
    <hyperlink r:id="rId984" ref="A1528"/>
    <hyperlink r:id="rId985" ref="A1529"/>
    <hyperlink r:id="rId986" ref="A1530"/>
    <hyperlink r:id="rId987" ref="A1531"/>
    <hyperlink r:id="rId988" ref="A1532"/>
    <hyperlink r:id="rId989" ref="A1533"/>
    <hyperlink r:id="rId990" ref="A1534"/>
    <hyperlink r:id="rId991" ref="A1535"/>
    <hyperlink r:id="rId992" ref="A1536"/>
    <hyperlink r:id="rId993" ref="A1537"/>
    <hyperlink r:id="rId994" ref="A1538"/>
    <hyperlink r:id="rId995" ref="A1539"/>
    <hyperlink r:id="rId996" ref="A1540"/>
    <hyperlink r:id="rId997" ref="A1541"/>
    <hyperlink r:id="rId998" ref="A1542"/>
    <hyperlink r:id="rId999" ref="A1543"/>
    <hyperlink r:id="rId1000" ref="A1544"/>
    <hyperlink r:id="rId1001" ref="A1545"/>
    <hyperlink r:id="rId1002" ref="A1546"/>
    <hyperlink r:id="rId1003" ref="A1547"/>
    <hyperlink r:id="rId1004" ref="A1548"/>
    <hyperlink r:id="rId1005" ref="A1549"/>
    <hyperlink r:id="rId1006" ref="A1550"/>
    <hyperlink r:id="rId1007" ref="A1551"/>
    <hyperlink r:id="rId1008" ref="A1552"/>
    <hyperlink r:id="rId1009" ref="A1553"/>
    <hyperlink r:id="rId1010" ref="A1554"/>
    <hyperlink r:id="rId1011" ref="A1555"/>
    <hyperlink r:id="rId1012" ref="A1556"/>
    <hyperlink r:id="rId1013" ref="A1557"/>
    <hyperlink r:id="rId1014" ref="A1558"/>
    <hyperlink r:id="rId1015" ref="A1559"/>
    <hyperlink r:id="rId1016" ref="A1560"/>
    <hyperlink r:id="rId1017" ref="A1561"/>
    <hyperlink r:id="rId1018" ref="A1562"/>
    <hyperlink r:id="rId1019" ref="A1563"/>
    <hyperlink r:id="rId1020" ref="A1564"/>
    <hyperlink r:id="rId1021" ref="A1565"/>
    <hyperlink r:id="rId1022" ref="A1566"/>
    <hyperlink r:id="rId1023" ref="A1567"/>
    <hyperlink r:id="rId1024" ref="A1568"/>
    <hyperlink r:id="rId1025" ref="A1569"/>
    <hyperlink r:id="rId1026" ref="A1570"/>
    <hyperlink r:id="rId1027" ref="A1571"/>
    <hyperlink r:id="rId1028" ref="A1572"/>
    <hyperlink r:id="rId1029" ref="A1573"/>
    <hyperlink r:id="rId1030" ref="A1574"/>
    <hyperlink r:id="rId1031" ref="A1575"/>
    <hyperlink r:id="rId1032" ref="A1576"/>
    <hyperlink r:id="rId1033" ref="A1577"/>
    <hyperlink r:id="rId1034" ref="A1578"/>
    <hyperlink r:id="rId1035" ref="A1579"/>
    <hyperlink r:id="rId1036" ref="A1580"/>
    <hyperlink r:id="rId1037" ref="A1581"/>
    <hyperlink r:id="rId1038" ref="A1582"/>
    <hyperlink r:id="rId1039" ref="A1583"/>
    <hyperlink r:id="rId1040" ref="A1584"/>
    <hyperlink r:id="rId1041" ref="A1585"/>
    <hyperlink r:id="rId1042" ref="A1586"/>
    <hyperlink r:id="rId1043" ref="A1587"/>
    <hyperlink r:id="rId1044" ref="A1588"/>
    <hyperlink r:id="rId1045" ref="A1589"/>
    <hyperlink r:id="rId1046" ref="A1590"/>
    <hyperlink r:id="rId1047" ref="A1591"/>
    <hyperlink r:id="rId1048" ref="A1592"/>
    <hyperlink r:id="rId1049" ref="A1593"/>
    <hyperlink r:id="rId1050" ref="A1594"/>
    <hyperlink r:id="rId1051" ref="A1595"/>
    <hyperlink r:id="rId1052" ref="A1596"/>
    <hyperlink r:id="rId1053" ref="A1597"/>
    <hyperlink r:id="rId1054" ref="A1598"/>
    <hyperlink r:id="rId1055" ref="A1599"/>
    <hyperlink r:id="rId1056" ref="A1600"/>
    <hyperlink r:id="rId1057" ref="A1601"/>
    <hyperlink r:id="rId1058" ref="A1602"/>
    <hyperlink r:id="rId1059" ref="A1603"/>
    <hyperlink r:id="rId1060" ref="A1604"/>
    <hyperlink r:id="rId1061" ref="A1605"/>
    <hyperlink r:id="rId1062" ref="A1606"/>
    <hyperlink r:id="rId1063" ref="A1607"/>
    <hyperlink r:id="rId1064" ref="A1608"/>
    <hyperlink r:id="rId1065" ref="A1609"/>
    <hyperlink r:id="rId1066" ref="A1610"/>
    <hyperlink r:id="rId1067" ref="A1611"/>
    <hyperlink r:id="rId1068" ref="A1612"/>
    <hyperlink r:id="rId1069" ref="A1613"/>
    <hyperlink r:id="rId1070" ref="A1614"/>
    <hyperlink r:id="rId1071" ref="A1615"/>
    <hyperlink r:id="rId1072" ref="A1616"/>
    <hyperlink r:id="rId1073" ref="A1617"/>
    <hyperlink r:id="rId1074" ref="A1618"/>
    <hyperlink r:id="rId1075" ref="A1619"/>
    <hyperlink r:id="rId1076" ref="A1620"/>
    <hyperlink r:id="rId1077" ref="A1621"/>
    <hyperlink r:id="rId1078" ref="A1622"/>
    <hyperlink r:id="rId1079" ref="A1623"/>
    <hyperlink r:id="rId1080" ref="A1624"/>
    <hyperlink r:id="rId1081" ref="A1625"/>
    <hyperlink r:id="rId1082" ref="A1626"/>
    <hyperlink r:id="rId1083" ref="A1627"/>
    <hyperlink r:id="rId1084" ref="A1628"/>
    <hyperlink r:id="rId1085" ref="A1629"/>
    <hyperlink r:id="rId1086" ref="A1630"/>
    <hyperlink r:id="rId1087" ref="A1631"/>
    <hyperlink r:id="rId1088" ref="A1632"/>
    <hyperlink r:id="rId1089" ref="A1633"/>
    <hyperlink r:id="rId1090" ref="A1634"/>
    <hyperlink r:id="rId1091" ref="A1635"/>
    <hyperlink r:id="rId1092" ref="A1636"/>
    <hyperlink r:id="rId1093" ref="A1637"/>
    <hyperlink r:id="rId1094" ref="A1638"/>
    <hyperlink r:id="rId1095" ref="A1639"/>
    <hyperlink r:id="rId1096" ref="A1640"/>
    <hyperlink r:id="rId1097" ref="A1641"/>
    <hyperlink r:id="rId1098" ref="A1642"/>
    <hyperlink r:id="rId1099" ref="A1643"/>
    <hyperlink r:id="rId1100" ref="A1644"/>
    <hyperlink r:id="rId1101" ref="A1645"/>
    <hyperlink r:id="rId1102" ref="A1646"/>
    <hyperlink r:id="rId1103" ref="A1647"/>
    <hyperlink r:id="rId1104" ref="A1648"/>
    <hyperlink r:id="rId1105" ref="A1649"/>
    <hyperlink r:id="rId1106" ref="A1650"/>
    <hyperlink r:id="rId1107" ref="A1651"/>
    <hyperlink r:id="rId1108" ref="A1652"/>
    <hyperlink r:id="rId1109" ref="A1653"/>
    <hyperlink r:id="rId1110" ref="A1654"/>
    <hyperlink r:id="rId1111" ref="A1655"/>
    <hyperlink r:id="rId1112" ref="A1656"/>
    <hyperlink r:id="rId1113" ref="A1657"/>
    <hyperlink r:id="rId1114" ref="A1658"/>
    <hyperlink r:id="rId1115" ref="A1659"/>
    <hyperlink r:id="rId1116" ref="A1660"/>
    <hyperlink r:id="rId1117" ref="A1661"/>
    <hyperlink r:id="rId1118" ref="A1662"/>
    <hyperlink r:id="rId1119" ref="A1663"/>
    <hyperlink r:id="rId1120" ref="A1664"/>
    <hyperlink r:id="rId1121" ref="A1665"/>
    <hyperlink r:id="rId1122" ref="A1666"/>
    <hyperlink r:id="rId1123" ref="A1667"/>
    <hyperlink r:id="rId1124" ref="A1668"/>
    <hyperlink r:id="rId1125" ref="A1669"/>
    <hyperlink r:id="rId1126" ref="A1670"/>
    <hyperlink r:id="rId1127" ref="A1671"/>
    <hyperlink r:id="rId1128" ref="A1672"/>
    <hyperlink r:id="rId1129" ref="A1673"/>
    <hyperlink r:id="rId1130" ref="A1674"/>
    <hyperlink r:id="rId1131" ref="A1675"/>
    <hyperlink r:id="rId1132" ref="A1676"/>
    <hyperlink r:id="rId1133" ref="A1677"/>
    <hyperlink r:id="rId1134" ref="A1678"/>
    <hyperlink r:id="rId1135" ref="A1679"/>
    <hyperlink r:id="rId1136" ref="A1680"/>
    <hyperlink r:id="rId1137" ref="A1681"/>
    <hyperlink r:id="rId1138" ref="A1682"/>
    <hyperlink r:id="rId1139" ref="A1683"/>
    <hyperlink r:id="rId1140" ref="A1684"/>
    <hyperlink r:id="rId1141" ref="A1685"/>
    <hyperlink r:id="rId1142" ref="A1686"/>
    <hyperlink r:id="rId1143" ref="A1687"/>
    <hyperlink r:id="rId1144" ref="A1688"/>
    <hyperlink r:id="rId1145" ref="A1689"/>
    <hyperlink r:id="rId1146" ref="A1690"/>
    <hyperlink r:id="rId1147" ref="A1691"/>
    <hyperlink r:id="rId1148" ref="A1692"/>
    <hyperlink r:id="rId1149" ref="A1693"/>
    <hyperlink r:id="rId1150" ref="A1694"/>
    <hyperlink r:id="rId1151" ref="A1695"/>
    <hyperlink r:id="rId1152" ref="A1696"/>
    <hyperlink r:id="rId1153" ref="A1697"/>
    <hyperlink r:id="rId1154" ref="A1698"/>
    <hyperlink r:id="rId1155" ref="A1699"/>
    <hyperlink r:id="rId1156" ref="A1700"/>
    <hyperlink r:id="rId1157" ref="A1701"/>
    <hyperlink r:id="rId1158" ref="A1702"/>
    <hyperlink r:id="rId1159" ref="A1703"/>
    <hyperlink r:id="rId1160" ref="A1704"/>
    <hyperlink r:id="rId1161" ref="A1705"/>
    <hyperlink r:id="rId1162" ref="A1706"/>
    <hyperlink r:id="rId1163" ref="A1707"/>
    <hyperlink r:id="rId1164" ref="A1708"/>
    <hyperlink r:id="rId1165" ref="A1709"/>
    <hyperlink r:id="rId1166" ref="A1710"/>
    <hyperlink r:id="rId1167" ref="A1711"/>
    <hyperlink r:id="rId1168" ref="A1712"/>
    <hyperlink r:id="rId1169" ref="A1713"/>
    <hyperlink r:id="rId1170" ref="A1714"/>
    <hyperlink r:id="rId1171" ref="A1715"/>
    <hyperlink r:id="rId1172" ref="A1716"/>
    <hyperlink r:id="rId1173" ref="A1717"/>
    <hyperlink r:id="rId1174" ref="A1718"/>
    <hyperlink r:id="rId1175" ref="A1719"/>
    <hyperlink r:id="rId1176" ref="A1720"/>
    <hyperlink r:id="rId1177" ref="A1721"/>
    <hyperlink r:id="rId1178" ref="A1722"/>
    <hyperlink r:id="rId1179" ref="A1723"/>
    <hyperlink r:id="rId1180" ref="A1724"/>
    <hyperlink r:id="rId1181" ref="A1725"/>
    <hyperlink r:id="rId1182" ref="A1726"/>
    <hyperlink r:id="rId1183" ref="A1727"/>
    <hyperlink r:id="rId1184" ref="A1728"/>
    <hyperlink r:id="rId1185" ref="A1729"/>
    <hyperlink r:id="rId1186" ref="A1730"/>
    <hyperlink r:id="rId1187" ref="A1731"/>
    <hyperlink r:id="rId1188" ref="A1732"/>
    <hyperlink r:id="rId1189" ref="A1733"/>
    <hyperlink r:id="rId1190" ref="A1734"/>
    <hyperlink r:id="rId1191" ref="A1735"/>
    <hyperlink r:id="rId1192" ref="A1736"/>
    <hyperlink r:id="rId1193" ref="A1737"/>
    <hyperlink r:id="rId1194" ref="A1738"/>
    <hyperlink r:id="rId1195" ref="A1739"/>
    <hyperlink r:id="rId1196" ref="A1740"/>
    <hyperlink r:id="rId1197" ref="A1741"/>
    <hyperlink r:id="rId1198" ref="A1742"/>
    <hyperlink r:id="rId1199" ref="A1743"/>
    <hyperlink r:id="rId1200" ref="A1744"/>
    <hyperlink r:id="rId1201" ref="A1745"/>
    <hyperlink r:id="rId1202" ref="A1746"/>
    <hyperlink r:id="rId1203" ref="A1747"/>
    <hyperlink r:id="rId1204" ref="A1748"/>
    <hyperlink r:id="rId1205" ref="A1749"/>
    <hyperlink r:id="rId1206" ref="A1750"/>
    <hyperlink r:id="rId1207" ref="A1751"/>
    <hyperlink r:id="rId1208" ref="A1752"/>
    <hyperlink r:id="rId1209" ref="A1753"/>
    <hyperlink r:id="rId1210" ref="A1754"/>
    <hyperlink r:id="rId1211" ref="A1755"/>
    <hyperlink r:id="rId1212" ref="A1756"/>
    <hyperlink r:id="rId1213" ref="A1757"/>
    <hyperlink r:id="rId1214" ref="A1758"/>
    <hyperlink r:id="rId1215" ref="A1759"/>
    <hyperlink r:id="rId1216" ref="A1760"/>
    <hyperlink r:id="rId1217" ref="A1761"/>
    <hyperlink r:id="rId1218" ref="A1762"/>
    <hyperlink r:id="rId1219" ref="A1763"/>
    <hyperlink r:id="rId1220" ref="A1764"/>
    <hyperlink r:id="rId1221" ref="A1765"/>
    <hyperlink r:id="rId1222" ref="A1766"/>
    <hyperlink r:id="rId1223" ref="A1767"/>
    <hyperlink r:id="rId1224" ref="A1768"/>
    <hyperlink r:id="rId1225" ref="A1769"/>
    <hyperlink r:id="rId1226" ref="A1770"/>
    <hyperlink r:id="rId1227" ref="A1771"/>
    <hyperlink r:id="rId1228" ref="A1772"/>
    <hyperlink r:id="rId1229" ref="A1773"/>
    <hyperlink r:id="rId1230" ref="A1774"/>
    <hyperlink r:id="rId1231" ref="A1775"/>
    <hyperlink r:id="rId1232" ref="A1776"/>
    <hyperlink r:id="rId1233" ref="A1777"/>
    <hyperlink r:id="rId1234" ref="A1778"/>
    <hyperlink r:id="rId1235" ref="A1779"/>
    <hyperlink r:id="rId1236" ref="A1780"/>
    <hyperlink r:id="rId1237" ref="A1781"/>
    <hyperlink r:id="rId1238" ref="A1782"/>
    <hyperlink r:id="rId1239" ref="A1783"/>
    <hyperlink r:id="rId1240" ref="A1784"/>
    <hyperlink r:id="rId1241" ref="A1785"/>
    <hyperlink r:id="rId1242" ref="A1786"/>
    <hyperlink r:id="rId1243" ref="A1787"/>
    <hyperlink r:id="rId1244" ref="A1788"/>
    <hyperlink r:id="rId1245" ref="A1789"/>
    <hyperlink r:id="rId1246" ref="A1790"/>
    <hyperlink r:id="rId1247" ref="A1791"/>
    <hyperlink r:id="rId1248" ref="A1792"/>
    <hyperlink r:id="rId1249" ref="A1793"/>
    <hyperlink r:id="rId1250" ref="A1794"/>
    <hyperlink r:id="rId1251" ref="A1795"/>
    <hyperlink r:id="rId1252" ref="A1796"/>
    <hyperlink r:id="rId1253" ref="A1797"/>
    <hyperlink r:id="rId1254" ref="A1798"/>
    <hyperlink r:id="rId1255" ref="A1799"/>
    <hyperlink r:id="rId1256" ref="A1800"/>
    <hyperlink r:id="rId1257" ref="A1801"/>
    <hyperlink r:id="rId1258" ref="A1802"/>
    <hyperlink r:id="rId1259" ref="A1803"/>
    <hyperlink r:id="rId1260" ref="A1804"/>
    <hyperlink r:id="rId1261" ref="A1805"/>
    <hyperlink r:id="rId1262" ref="A1806"/>
    <hyperlink r:id="rId1263" ref="A1807"/>
    <hyperlink r:id="rId1264" ref="A1808"/>
    <hyperlink r:id="rId1265" ref="A1809"/>
    <hyperlink r:id="rId1266" ref="A1810"/>
    <hyperlink r:id="rId1267" ref="A1811"/>
    <hyperlink r:id="rId1268" ref="A1812"/>
    <hyperlink r:id="rId1269" ref="A1813"/>
    <hyperlink r:id="rId1270" ref="A1814"/>
    <hyperlink r:id="rId1271" ref="A1815"/>
    <hyperlink r:id="rId1272" ref="A1816"/>
    <hyperlink r:id="rId1273" ref="A1817"/>
    <hyperlink r:id="rId1274" ref="A1818"/>
    <hyperlink r:id="rId1275" ref="A1819"/>
    <hyperlink r:id="rId1276" ref="A1820"/>
    <hyperlink r:id="rId1277" ref="A1821"/>
    <hyperlink r:id="rId1278" ref="A1822"/>
    <hyperlink r:id="rId1279" ref="A1823"/>
    <hyperlink r:id="rId1280" ref="A1824"/>
    <hyperlink r:id="rId1281" ref="A1825"/>
    <hyperlink r:id="rId1282" ref="A1826"/>
    <hyperlink r:id="rId1283" ref="A1827"/>
    <hyperlink r:id="rId1284" ref="A1828"/>
    <hyperlink r:id="rId1285" ref="A1829"/>
    <hyperlink r:id="rId1286" ref="A1830"/>
    <hyperlink r:id="rId1287" ref="A1831"/>
    <hyperlink r:id="rId1288" ref="A1832"/>
    <hyperlink r:id="rId1289" ref="A1833"/>
    <hyperlink r:id="rId1290" ref="A1834"/>
    <hyperlink r:id="rId1291" ref="A1835"/>
    <hyperlink r:id="rId1292" ref="A1836"/>
    <hyperlink r:id="rId1293" ref="A1837"/>
    <hyperlink r:id="rId1294" ref="A1838"/>
    <hyperlink r:id="rId1295" ref="A1839"/>
    <hyperlink r:id="rId1296" ref="A1840"/>
    <hyperlink r:id="rId1297" ref="A1841"/>
    <hyperlink r:id="rId1298" ref="A1842"/>
    <hyperlink r:id="rId1299" ref="A1843"/>
    <hyperlink r:id="rId1300" ref="A1844"/>
    <hyperlink r:id="rId1301" ref="A1845"/>
    <hyperlink r:id="rId1302" ref="A1846"/>
    <hyperlink r:id="rId1303" ref="A1847"/>
    <hyperlink r:id="rId1304" ref="A1848"/>
    <hyperlink r:id="rId1305" ref="A1849"/>
    <hyperlink r:id="rId1306" ref="A1850"/>
    <hyperlink r:id="rId1307" ref="A1851"/>
    <hyperlink r:id="rId1308" ref="A1852"/>
    <hyperlink r:id="rId1309" ref="A1853"/>
    <hyperlink r:id="rId1310" ref="A1854"/>
    <hyperlink r:id="rId1311" ref="A1855"/>
    <hyperlink r:id="rId1312" ref="A1856"/>
    <hyperlink r:id="rId1313" ref="A1857"/>
    <hyperlink r:id="rId1314" ref="A1858"/>
    <hyperlink r:id="rId1315" ref="A1859"/>
    <hyperlink r:id="rId1316" ref="A1860"/>
    <hyperlink r:id="rId1317" ref="A1861"/>
    <hyperlink r:id="rId1318" ref="A1862"/>
    <hyperlink r:id="rId1319" ref="A1863"/>
    <hyperlink r:id="rId1320" ref="A1864"/>
    <hyperlink r:id="rId1321" ref="A1865"/>
    <hyperlink r:id="rId1322" ref="A1866"/>
    <hyperlink r:id="rId1323" ref="A1867"/>
    <hyperlink r:id="rId1324" ref="A1868"/>
    <hyperlink r:id="rId1325" ref="A1869"/>
    <hyperlink r:id="rId1326" ref="A1870"/>
    <hyperlink r:id="rId1327" ref="A1871"/>
    <hyperlink r:id="rId1328" ref="A1872"/>
    <hyperlink r:id="rId1329" ref="A1873"/>
    <hyperlink r:id="rId1330" ref="A1874"/>
    <hyperlink r:id="rId1331" ref="A1875"/>
    <hyperlink r:id="rId1332" ref="A1876"/>
    <hyperlink r:id="rId1333" ref="A1877"/>
    <hyperlink r:id="rId1334" ref="A1878"/>
    <hyperlink r:id="rId1335" ref="A1879"/>
    <hyperlink r:id="rId1336" ref="A1880"/>
    <hyperlink r:id="rId1337" ref="A1881"/>
    <hyperlink r:id="rId1338" ref="A1882"/>
    <hyperlink r:id="rId1339" ref="A1883"/>
    <hyperlink r:id="rId1340" ref="A1884"/>
    <hyperlink r:id="rId1341" ref="A1885"/>
    <hyperlink r:id="rId1342" ref="A1886"/>
    <hyperlink r:id="rId1343" ref="A1887"/>
    <hyperlink r:id="rId1344" ref="A1888"/>
    <hyperlink r:id="rId1345" ref="A1889"/>
    <hyperlink r:id="rId1346" ref="A1890"/>
    <hyperlink r:id="rId1347" ref="A1891"/>
    <hyperlink r:id="rId1348" ref="A1892"/>
    <hyperlink r:id="rId1349" ref="A1893"/>
    <hyperlink r:id="rId1350" ref="A1894"/>
    <hyperlink r:id="rId1351" ref="A1895"/>
    <hyperlink r:id="rId1352" ref="A1896"/>
    <hyperlink r:id="rId1353" ref="A1897"/>
    <hyperlink r:id="rId1354" ref="A1898"/>
    <hyperlink r:id="rId1355" ref="A1899"/>
    <hyperlink r:id="rId1356" ref="A1900"/>
    <hyperlink r:id="rId1357" ref="A1901"/>
    <hyperlink r:id="rId1358" ref="A1902"/>
    <hyperlink r:id="rId1359" ref="A1903"/>
    <hyperlink r:id="rId1360" ref="A1904"/>
    <hyperlink r:id="rId1361" ref="A1905"/>
    <hyperlink r:id="rId1362" ref="A1906"/>
    <hyperlink r:id="rId1363" ref="A1907"/>
    <hyperlink r:id="rId1364" ref="A1908"/>
    <hyperlink r:id="rId1365" ref="A1909"/>
    <hyperlink r:id="rId1366" ref="A1910"/>
    <hyperlink r:id="rId1367" ref="A1911"/>
    <hyperlink r:id="rId1368" ref="A1912"/>
    <hyperlink r:id="rId1369" ref="A1913"/>
    <hyperlink r:id="rId1370" ref="A1914"/>
    <hyperlink r:id="rId1371" ref="A1915"/>
    <hyperlink r:id="rId1372" ref="A1916"/>
    <hyperlink r:id="rId1373" ref="A1917"/>
    <hyperlink r:id="rId1374" ref="A1918"/>
    <hyperlink r:id="rId1375" ref="A1919"/>
    <hyperlink r:id="rId1376" ref="A1920"/>
    <hyperlink r:id="rId1377" ref="A1921"/>
    <hyperlink r:id="rId1378" ref="A1922"/>
    <hyperlink r:id="rId1379" ref="A1923"/>
    <hyperlink r:id="rId1380" ref="A1924"/>
    <hyperlink r:id="rId1381" ref="A1925"/>
    <hyperlink r:id="rId1382" ref="A1926"/>
    <hyperlink r:id="rId1383" ref="A1927"/>
    <hyperlink r:id="rId1384" ref="A1928"/>
    <hyperlink r:id="rId1385" ref="A1929"/>
    <hyperlink r:id="rId1386" ref="A1930"/>
    <hyperlink r:id="rId1387" ref="A1931"/>
    <hyperlink r:id="rId1388" ref="A1932"/>
    <hyperlink r:id="rId1389" ref="A1933"/>
    <hyperlink r:id="rId1390" ref="A1934"/>
    <hyperlink r:id="rId1391" ref="A1935"/>
    <hyperlink r:id="rId1392" ref="A1936"/>
    <hyperlink r:id="rId1393" ref="A1937"/>
    <hyperlink r:id="rId1394" ref="A1938"/>
    <hyperlink r:id="rId1395" ref="A1939"/>
    <hyperlink r:id="rId1396" ref="A1940"/>
    <hyperlink r:id="rId1397" ref="A1941"/>
    <hyperlink r:id="rId1398" ref="A1942"/>
    <hyperlink r:id="rId1399" ref="A1943"/>
    <hyperlink r:id="rId1400" ref="A1944"/>
    <hyperlink r:id="rId1401" ref="A1945"/>
    <hyperlink r:id="rId1402" ref="A1946"/>
    <hyperlink r:id="rId1403" ref="A1947"/>
    <hyperlink r:id="rId1404" ref="A1948"/>
    <hyperlink r:id="rId1405" ref="A1949"/>
    <hyperlink r:id="rId1406" ref="A1950"/>
    <hyperlink r:id="rId1407" ref="A1951"/>
    <hyperlink r:id="rId1408" ref="A1952"/>
    <hyperlink r:id="rId1409" ref="A1953"/>
    <hyperlink r:id="rId1410" ref="A1954"/>
    <hyperlink r:id="rId1411" ref="A1955"/>
    <hyperlink r:id="rId1412" ref="A1956"/>
    <hyperlink r:id="rId1413" ref="A1957"/>
    <hyperlink r:id="rId1414" ref="A1958"/>
    <hyperlink r:id="rId1415" ref="A1959"/>
    <hyperlink r:id="rId1416" ref="A1960"/>
    <hyperlink r:id="rId1417" ref="A1961"/>
    <hyperlink r:id="rId1418" ref="A1962"/>
    <hyperlink r:id="rId1419" ref="A1963"/>
    <hyperlink r:id="rId1420" ref="A1964"/>
    <hyperlink r:id="rId1421" ref="A1965"/>
    <hyperlink r:id="rId1422" ref="A1966"/>
    <hyperlink r:id="rId1423" ref="A1967"/>
    <hyperlink r:id="rId1424" ref="A1968"/>
    <hyperlink r:id="rId1425" ref="A1969"/>
    <hyperlink r:id="rId1426" ref="A1970"/>
    <hyperlink r:id="rId1427" ref="A1971"/>
    <hyperlink r:id="rId1428" ref="A1972"/>
    <hyperlink r:id="rId1429" ref="A1973"/>
    <hyperlink r:id="rId1430" ref="A1974"/>
    <hyperlink r:id="rId1431" ref="A1975"/>
    <hyperlink r:id="rId1432" ref="A1976"/>
    <hyperlink r:id="rId1433" ref="A1977"/>
    <hyperlink r:id="rId1434" ref="A1978"/>
    <hyperlink r:id="rId1435" ref="A1979"/>
    <hyperlink r:id="rId1436" ref="A1980"/>
    <hyperlink r:id="rId1437" ref="A1981"/>
    <hyperlink r:id="rId1438" ref="A1982"/>
    <hyperlink r:id="rId1439" ref="A1983"/>
    <hyperlink r:id="rId1440" ref="A1984"/>
    <hyperlink r:id="rId1441" ref="A1985"/>
    <hyperlink r:id="rId1442" ref="A1986"/>
    <hyperlink r:id="rId1443" ref="A1987"/>
    <hyperlink r:id="rId1444" ref="A1988"/>
    <hyperlink r:id="rId1445" ref="A1989"/>
    <hyperlink r:id="rId1446" ref="A1990"/>
    <hyperlink r:id="rId1447" ref="A1991"/>
    <hyperlink r:id="rId1448" ref="A1992"/>
    <hyperlink r:id="rId1449" ref="A1993"/>
    <hyperlink r:id="rId1450" ref="A1994"/>
    <hyperlink r:id="rId1451" ref="A1995"/>
    <hyperlink r:id="rId1452" ref="A1996"/>
    <hyperlink r:id="rId1453" ref="A1997"/>
    <hyperlink r:id="rId1454" ref="A1998"/>
    <hyperlink r:id="rId1455" ref="A1999"/>
    <hyperlink r:id="rId1456" ref="A2000"/>
    <hyperlink r:id="rId1457" ref="A2001"/>
    <hyperlink r:id="rId1458" ref="A2002"/>
    <hyperlink r:id="rId1459" ref="A2003"/>
    <hyperlink r:id="rId1460" ref="A2004"/>
    <hyperlink r:id="rId1461" ref="A2005"/>
    <hyperlink r:id="rId1462" ref="A2006"/>
    <hyperlink r:id="rId1463" ref="A2007"/>
    <hyperlink r:id="rId1464" ref="A2008"/>
    <hyperlink r:id="rId1465" ref="A2009"/>
    <hyperlink r:id="rId1466" ref="A2010"/>
    <hyperlink r:id="rId1467" ref="A2011"/>
    <hyperlink r:id="rId1468" ref="A2012"/>
    <hyperlink r:id="rId1469" ref="A2013"/>
    <hyperlink r:id="rId1470" ref="A2014"/>
    <hyperlink r:id="rId1471" ref="A2015"/>
    <hyperlink r:id="rId1472" ref="A2016"/>
    <hyperlink r:id="rId1473" ref="A2017"/>
    <hyperlink r:id="rId1474" ref="A2018"/>
    <hyperlink r:id="rId1475" ref="A2019"/>
    <hyperlink r:id="rId1476" ref="A2020"/>
    <hyperlink r:id="rId1477" ref="A2021"/>
    <hyperlink r:id="rId1478" ref="A2022"/>
    <hyperlink r:id="rId1479" ref="A2023"/>
    <hyperlink r:id="rId1480" ref="A2024"/>
    <hyperlink r:id="rId1481" ref="A2025"/>
    <hyperlink r:id="rId1482" ref="A2026"/>
    <hyperlink r:id="rId1483" ref="A2027"/>
    <hyperlink r:id="rId1484" ref="A2028"/>
    <hyperlink r:id="rId1485" ref="A2029"/>
    <hyperlink r:id="rId1486" ref="A2030"/>
    <hyperlink r:id="rId1487" ref="A2031"/>
    <hyperlink r:id="rId1488" ref="A2032"/>
    <hyperlink r:id="rId1489" ref="A2033"/>
    <hyperlink r:id="rId1490" ref="A2034"/>
    <hyperlink r:id="rId1491" ref="A2035"/>
    <hyperlink r:id="rId1492" ref="A2036"/>
    <hyperlink r:id="rId1493" ref="A2037"/>
    <hyperlink r:id="rId1494" ref="A2038"/>
    <hyperlink r:id="rId1495" ref="A2039"/>
    <hyperlink r:id="rId1496" ref="A2040"/>
    <hyperlink r:id="rId1497" ref="A2041"/>
    <hyperlink r:id="rId1498" ref="A2042"/>
    <hyperlink r:id="rId1499" ref="A2043"/>
    <hyperlink r:id="rId1500" ref="A2044"/>
    <hyperlink r:id="rId1501" ref="A2045"/>
    <hyperlink r:id="rId1502" ref="A2046"/>
    <hyperlink r:id="rId1503" ref="A2047"/>
    <hyperlink r:id="rId1504" ref="A2048"/>
    <hyperlink r:id="rId1505" ref="A2049"/>
    <hyperlink r:id="rId1506" ref="A2050"/>
    <hyperlink r:id="rId1507" ref="A2051"/>
    <hyperlink r:id="rId1508" ref="A2052"/>
    <hyperlink r:id="rId1509" ref="A2053"/>
    <hyperlink r:id="rId1510" ref="A2054"/>
    <hyperlink r:id="rId1511" ref="A2055"/>
    <hyperlink r:id="rId1512" ref="A2056"/>
    <hyperlink r:id="rId1513" ref="A2057"/>
    <hyperlink r:id="rId1514" ref="A2058"/>
    <hyperlink r:id="rId1515" ref="A2059"/>
    <hyperlink r:id="rId1516" ref="A2060"/>
    <hyperlink r:id="rId1517" ref="A2061"/>
    <hyperlink r:id="rId1518" ref="A2062"/>
    <hyperlink r:id="rId1519" ref="A2063"/>
    <hyperlink r:id="rId1520" ref="A2064"/>
    <hyperlink r:id="rId1521" ref="A2065"/>
    <hyperlink r:id="rId1522" ref="A2066"/>
    <hyperlink r:id="rId1523" ref="A2067"/>
    <hyperlink r:id="rId1524" ref="A2068"/>
    <hyperlink r:id="rId1525" ref="A2069"/>
    <hyperlink r:id="rId1526" ref="A2070"/>
    <hyperlink r:id="rId1527" ref="A2071"/>
    <hyperlink r:id="rId1528" ref="A2072"/>
    <hyperlink r:id="rId1529" ref="A2073"/>
    <hyperlink r:id="rId1530" ref="A2074"/>
    <hyperlink r:id="rId1531" ref="A2075"/>
    <hyperlink r:id="rId1532" ref="A2076"/>
    <hyperlink r:id="rId1533" ref="A2077"/>
    <hyperlink r:id="rId1534" ref="A2078"/>
    <hyperlink r:id="rId1535" ref="A2079"/>
    <hyperlink r:id="rId1536" ref="A2080"/>
    <hyperlink r:id="rId1537" ref="A2081"/>
    <hyperlink r:id="rId1538" ref="A2082"/>
    <hyperlink r:id="rId1539" ref="A2083"/>
    <hyperlink r:id="rId1540" ref="A2084"/>
    <hyperlink r:id="rId1541" ref="A2085"/>
    <hyperlink r:id="rId1542" ref="A2086"/>
    <hyperlink r:id="rId1543" ref="A2087"/>
    <hyperlink r:id="rId1544" ref="A2088"/>
    <hyperlink r:id="rId1545" ref="A2089"/>
    <hyperlink r:id="rId1546" ref="A2090"/>
    <hyperlink r:id="rId1547" ref="A2091"/>
    <hyperlink r:id="rId1548" ref="A2092"/>
    <hyperlink r:id="rId1549" ref="A2093"/>
    <hyperlink r:id="rId1550" ref="A2094"/>
    <hyperlink r:id="rId1551" ref="A2095"/>
    <hyperlink r:id="rId1552" ref="A2096"/>
    <hyperlink r:id="rId1553" ref="A2097"/>
    <hyperlink r:id="rId1554" ref="A2098"/>
    <hyperlink r:id="rId1555" ref="A2099"/>
    <hyperlink r:id="rId1556" ref="A2100"/>
    <hyperlink r:id="rId1557" ref="A2101"/>
    <hyperlink r:id="rId1558" ref="A2102"/>
    <hyperlink r:id="rId1559" ref="A2103"/>
    <hyperlink r:id="rId1560" ref="A2104"/>
    <hyperlink r:id="rId1561" ref="A2105"/>
    <hyperlink r:id="rId1562" ref="A2106"/>
    <hyperlink r:id="rId1563" ref="A2107"/>
    <hyperlink r:id="rId1564" ref="A2108"/>
    <hyperlink r:id="rId1565" ref="A2109"/>
    <hyperlink r:id="rId1566" ref="A2110"/>
    <hyperlink r:id="rId1567" ref="A2111"/>
    <hyperlink r:id="rId1568" ref="A2112"/>
    <hyperlink r:id="rId1569" ref="A2113"/>
    <hyperlink r:id="rId1570" ref="A2114"/>
    <hyperlink r:id="rId1571" ref="A2115"/>
    <hyperlink r:id="rId1572" ref="A2116"/>
    <hyperlink r:id="rId1573" ref="A2117"/>
    <hyperlink r:id="rId1574" ref="A2118"/>
    <hyperlink r:id="rId1575" ref="A2119"/>
    <hyperlink r:id="rId1576" ref="A2120"/>
    <hyperlink r:id="rId1577" ref="A2121"/>
    <hyperlink r:id="rId1578" ref="A2122"/>
    <hyperlink r:id="rId1579" ref="A2123"/>
    <hyperlink r:id="rId1580" ref="A2124"/>
    <hyperlink r:id="rId1581" ref="A2125"/>
    <hyperlink r:id="rId1582" ref="A2126"/>
    <hyperlink r:id="rId1583" ref="A2127"/>
    <hyperlink r:id="rId1584" ref="A2128"/>
    <hyperlink r:id="rId1585" ref="A2129"/>
    <hyperlink r:id="rId1586" ref="A2130"/>
    <hyperlink r:id="rId1587" ref="A2131"/>
    <hyperlink r:id="rId1588" ref="A2132"/>
    <hyperlink r:id="rId1589" ref="A2133"/>
    <hyperlink r:id="rId1590" ref="A2134"/>
    <hyperlink r:id="rId1591" ref="A2135"/>
    <hyperlink r:id="rId1592" ref="A2136"/>
    <hyperlink r:id="rId1593" ref="A2137"/>
    <hyperlink r:id="rId1594" ref="A2138"/>
    <hyperlink r:id="rId1595" ref="A2139"/>
    <hyperlink r:id="rId1596" ref="A2140"/>
    <hyperlink r:id="rId1597" ref="A2141"/>
    <hyperlink r:id="rId1598" ref="A2142"/>
    <hyperlink r:id="rId1599" ref="A2143"/>
    <hyperlink r:id="rId1600" ref="A2144"/>
    <hyperlink r:id="rId1601" ref="A2145"/>
    <hyperlink r:id="rId1602" ref="A2146"/>
    <hyperlink r:id="rId1603" ref="A2147"/>
    <hyperlink r:id="rId1604" ref="A2148"/>
    <hyperlink r:id="rId1605" ref="A2149"/>
    <hyperlink r:id="rId1606" ref="A2150"/>
    <hyperlink r:id="rId1607" ref="A2151"/>
    <hyperlink r:id="rId1608" ref="A2152"/>
    <hyperlink r:id="rId1609" ref="A2153"/>
    <hyperlink r:id="rId1610" ref="A2154"/>
    <hyperlink r:id="rId1611" ref="A2155"/>
    <hyperlink r:id="rId1612" ref="A2156"/>
    <hyperlink r:id="rId1613" ref="A2157"/>
    <hyperlink r:id="rId1614" ref="A2158"/>
    <hyperlink r:id="rId1615" ref="A2159"/>
    <hyperlink r:id="rId1616" ref="A2160"/>
    <hyperlink r:id="rId1617" ref="A2161"/>
    <hyperlink r:id="rId1618" ref="A2162"/>
    <hyperlink r:id="rId1619" ref="A2163"/>
    <hyperlink r:id="rId1620" ref="A2164"/>
    <hyperlink r:id="rId1621" ref="A2165"/>
    <hyperlink r:id="rId1622" ref="A2166"/>
    <hyperlink r:id="rId1623" ref="A2167"/>
    <hyperlink r:id="rId1624" ref="A2168"/>
    <hyperlink r:id="rId1625" ref="A2169"/>
    <hyperlink r:id="rId1626" ref="A2170"/>
    <hyperlink r:id="rId1627" ref="A2171"/>
    <hyperlink r:id="rId1628" ref="A2172"/>
    <hyperlink r:id="rId1629" ref="A2173"/>
    <hyperlink r:id="rId1630" ref="A2174"/>
    <hyperlink r:id="rId1631" ref="A2175"/>
    <hyperlink r:id="rId1632" ref="A2176"/>
    <hyperlink r:id="rId1633" ref="A2177"/>
    <hyperlink r:id="rId1634" ref="A2178"/>
    <hyperlink r:id="rId1635" ref="A2179"/>
    <hyperlink r:id="rId1636" ref="A2180"/>
    <hyperlink r:id="rId1637" ref="A2181"/>
    <hyperlink r:id="rId1638" ref="A2182"/>
    <hyperlink r:id="rId1639" ref="A2183"/>
    <hyperlink r:id="rId1640" ref="A2184"/>
    <hyperlink r:id="rId1641" ref="A2185"/>
    <hyperlink r:id="rId1642" ref="A2186"/>
    <hyperlink r:id="rId1643" ref="A2187"/>
    <hyperlink r:id="rId1644" ref="A2188"/>
    <hyperlink r:id="rId1645" ref="A2189"/>
    <hyperlink r:id="rId1646" ref="A2190"/>
    <hyperlink r:id="rId1647" ref="A2191"/>
    <hyperlink r:id="rId1648" ref="A2192"/>
    <hyperlink r:id="rId1649" ref="A2193"/>
    <hyperlink r:id="rId1650" ref="A2194"/>
    <hyperlink r:id="rId1651" ref="A2195"/>
    <hyperlink r:id="rId1652" ref="A2196"/>
    <hyperlink r:id="rId1653" ref="A2197"/>
    <hyperlink r:id="rId1654" ref="A2198"/>
    <hyperlink r:id="rId1655" ref="A2199"/>
    <hyperlink r:id="rId1656" ref="A2200"/>
    <hyperlink r:id="rId1657" ref="A2201"/>
    <hyperlink r:id="rId1658" ref="A2202"/>
    <hyperlink r:id="rId1659" ref="A2203"/>
    <hyperlink r:id="rId1660" ref="A2204"/>
    <hyperlink r:id="rId1661" ref="A2205"/>
    <hyperlink r:id="rId1662" ref="A2206"/>
    <hyperlink r:id="rId1663" ref="A2207"/>
    <hyperlink r:id="rId1664" ref="A2208"/>
    <hyperlink r:id="rId1665" ref="A2209"/>
    <hyperlink r:id="rId1666" ref="A2210"/>
    <hyperlink r:id="rId1667" ref="A2211"/>
    <hyperlink r:id="rId1668" ref="A2212"/>
    <hyperlink r:id="rId1669" ref="A2213"/>
    <hyperlink r:id="rId1670" ref="A2214"/>
    <hyperlink r:id="rId1671" ref="A2215"/>
    <hyperlink r:id="rId1672" ref="A2216"/>
    <hyperlink r:id="rId1673" ref="A2217"/>
    <hyperlink r:id="rId1674" ref="A2218"/>
    <hyperlink r:id="rId1675" ref="A2219"/>
    <hyperlink r:id="rId1676" ref="A2220"/>
    <hyperlink r:id="rId1677" ref="A2221"/>
    <hyperlink r:id="rId1678" ref="A2222"/>
    <hyperlink r:id="rId1679" ref="A2223"/>
    <hyperlink r:id="rId1680" ref="A2224"/>
    <hyperlink r:id="rId1681" ref="A2225"/>
    <hyperlink r:id="rId1682" ref="A2226"/>
    <hyperlink r:id="rId1683" ref="A2227"/>
    <hyperlink r:id="rId1684" ref="A2228"/>
    <hyperlink r:id="rId1685" ref="A2229"/>
    <hyperlink r:id="rId1686" ref="A2230"/>
    <hyperlink r:id="rId1687" ref="A2231"/>
    <hyperlink r:id="rId1688" ref="A2232"/>
    <hyperlink r:id="rId1689" ref="A2233"/>
    <hyperlink r:id="rId1690" ref="A2234"/>
    <hyperlink r:id="rId1691" ref="A2235"/>
    <hyperlink r:id="rId1692" ref="A2236"/>
    <hyperlink r:id="rId1693" ref="A2237"/>
    <hyperlink r:id="rId1694" ref="A2238"/>
    <hyperlink r:id="rId1695" ref="A2239"/>
    <hyperlink r:id="rId1696" ref="A2248"/>
  </hyperlinks>
  <drawing r:id="rId169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5" t="s">
        <v>58</v>
      </c>
      <c r="E1" s="25" t="s">
        <v>128</v>
      </c>
      <c r="F1" s="25"/>
      <c r="G1" s="25"/>
      <c r="I1" s="26" t="s">
        <v>59</v>
      </c>
      <c r="N1" s="26" t="s">
        <v>1826</v>
      </c>
      <c r="O1" s="26"/>
      <c r="P1" s="26"/>
      <c r="Q1" s="26"/>
      <c r="R1" s="26"/>
      <c r="S1" s="26" t="s">
        <v>1827</v>
      </c>
      <c r="X1" s="1" t="s">
        <v>66</v>
      </c>
      <c r="AE1" s="1" t="s">
        <v>60</v>
      </c>
    </row>
    <row r="2">
      <c r="E2" s="25"/>
      <c r="F2" s="25"/>
      <c r="G2" s="25"/>
    </row>
    <row r="3">
      <c r="E3" s="25" t="s">
        <v>68</v>
      </c>
      <c r="F3" s="25" t="s">
        <v>4</v>
      </c>
      <c r="G3" s="25" t="s">
        <v>3</v>
      </c>
    </row>
    <row r="4">
      <c r="E4" s="25" t="s">
        <v>132</v>
      </c>
      <c r="F4" s="41">
        <v>210263.0</v>
      </c>
      <c r="G4" s="42">
        <v>42104.0</v>
      </c>
    </row>
    <row r="5">
      <c r="E5" s="25" t="s">
        <v>135</v>
      </c>
      <c r="F5" s="41">
        <v>383144.0</v>
      </c>
      <c r="G5" s="42">
        <v>76361.0</v>
      </c>
    </row>
    <row r="6">
      <c r="E6" s="25" t="s">
        <v>137</v>
      </c>
      <c r="F6" s="41">
        <v>402451.0</v>
      </c>
      <c r="G6" s="42">
        <v>14716.0</v>
      </c>
    </row>
    <row r="7">
      <c r="E7" s="25" t="s">
        <v>138</v>
      </c>
      <c r="F7" s="41">
        <v>344245.0</v>
      </c>
      <c r="G7" s="42">
        <v>10725.0</v>
      </c>
    </row>
    <row r="8">
      <c r="E8" s="25" t="s">
        <v>139</v>
      </c>
      <c r="F8" s="41">
        <v>684193.0</v>
      </c>
      <c r="G8" s="42">
        <v>29712.0</v>
      </c>
    </row>
    <row r="9">
      <c r="E9" s="25" t="s">
        <v>141</v>
      </c>
      <c r="F9" s="41">
        <v>513468.0</v>
      </c>
      <c r="G9" s="42">
        <v>14917.0</v>
      </c>
    </row>
    <row r="10">
      <c r="E10" s="25" t="s">
        <v>143</v>
      </c>
      <c r="F10" s="41">
        <v>786262.0</v>
      </c>
      <c r="G10" s="42">
        <v>43020.0</v>
      </c>
    </row>
    <row r="11">
      <c r="E11" s="25" t="s">
        <v>145</v>
      </c>
      <c r="F11" s="41">
        <v>2250122.0</v>
      </c>
      <c r="G11" s="42">
        <v>238891.0</v>
      </c>
    </row>
    <row r="12">
      <c r="E12" s="25" t="s">
        <v>147</v>
      </c>
      <c r="F12" s="41">
        <v>4519942.0</v>
      </c>
      <c r="G12" s="42">
        <v>578069.0</v>
      </c>
    </row>
    <row r="13">
      <c r="E13" s="25" t="s">
        <v>149</v>
      </c>
      <c r="F13" s="41">
        <v>4319123.0</v>
      </c>
      <c r="G13" s="42">
        <v>862280.0</v>
      </c>
    </row>
    <row r="14">
      <c r="A14" s="1" t="s">
        <v>95</v>
      </c>
      <c r="E14" s="25" t="s">
        <v>150</v>
      </c>
      <c r="F14" s="41">
        <v>8259578.0</v>
      </c>
      <c r="G14" s="42">
        <v>1348718.0</v>
      </c>
    </row>
    <row r="15">
      <c r="E15" s="25" t="s">
        <v>152</v>
      </c>
      <c r="F15" s="41">
        <v>3367107.0</v>
      </c>
      <c r="G15" s="42">
        <v>613683.0</v>
      </c>
    </row>
    <row r="16">
      <c r="E16" s="25" t="s">
        <v>70</v>
      </c>
      <c r="F16" s="41">
        <v>7269114.0</v>
      </c>
      <c r="G16" s="42">
        <v>1480611.0</v>
      </c>
      <c r="I16" s="1" t="s">
        <v>1829</v>
      </c>
      <c r="N16" s="1" t="s">
        <v>1830</v>
      </c>
      <c r="O16" s="1"/>
      <c r="P16" s="1"/>
      <c r="Q16" s="1"/>
      <c r="R16" s="1"/>
      <c r="S16" s="1" t="s">
        <v>1831</v>
      </c>
    </row>
    <row r="17">
      <c r="E17" s="25" t="s">
        <v>76</v>
      </c>
      <c r="F17" s="41">
        <v>1.4605485E7</v>
      </c>
      <c r="G17" s="42">
        <v>2749074.0</v>
      </c>
    </row>
    <row r="18">
      <c r="E18" s="25" t="s">
        <v>74</v>
      </c>
      <c r="F18" s="41">
        <v>4.7914498E7</v>
      </c>
      <c r="G18" s="42">
        <v>8102881.0</v>
      </c>
      <c r="X18" s="40" t="s">
        <v>66</v>
      </c>
      <c r="AE18" s="40" t="s">
        <v>60</v>
      </c>
    </row>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sheetData>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6.0"/>
    <col customWidth="1" min="2" max="2" width="85.86"/>
    <col customWidth="1" min="3" max="3" width="15.57"/>
    <col customWidth="1" min="4" max="4" width="15.86"/>
    <col customWidth="1" min="5" max="5" width="19.86"/>
    <col customWidth="1" min="6" max="6" width="15.71"/>
    <col customWidth="1" min="7" max="7" width="20.0"/>
    <col customWidth="1" min="8" max="8" width="15.43"/>
    <col customWidth="1" min="9" max="9" width="18.43"/>
    <col customWidth="1" min="10" max="11" width="15.71"/>
    <col customWidth="1" min="12" max="12" width="18.29"/>
    <col customWidth="1" min="13" max="13" width="45.14"/>
    <col customWidth="1" min="14" max="18" width="7.86"/>
    <col customWidth="1" min="19" max="19" width="9.71"/>
    <col customWidth="1" min="20" max="20" width="10.57"/>
    <col customWidth="1" min="21" max="21" width="14.14"/>
    <col customWidth="1" min="22" max="22" width="13.0"/>
    <col customWidth="1" min="23" max="24" width="21.29"/>
    <col customWidth="1" min="25" max="25" width="14.71"/>
    <col customWidth="1" min="26" max="28" width="8.71"/>
    <col customWidth="1" min="29" max="29" width="16.86"/>
    <col customWidth="1" min="30" max="30" width="21.29"/>
    <col customWidth="1" min="31" max="38" width="8.71"/>
  </cols>
  <sheetData>
    <row r="1">
      <c r="A1" s="72" t="s">
        <v>945</v>
      </c>
      <c r="B1" s="72" t="s">
        <v>947</v>
      </c>
      <c r="C1" s="72" t="s">
        <v>1833</v>
      </c>
      <c r="D1" s="73" t="s">
        <v>3</v>
      </c>
      <c r="E1" s="74" t="s">
        <v>1834</v>
      </c>
      <c r="F1" s="74" t="s">
        <v>1835</v>
      </c>
      <c r="G1" s="73" t="s">
        <v>1836</v>
      </c>
      <c r="H1" s="73" t="s">
        <v>1837</v>
      </c>
      <c r="I1" s="73" t="s">
        <v>1838</v>
      </c>
      <c r="J1" s="72" t="s">
        <v>176</v>
      </c>
      <c r="K1" s="74" t="s">
        <v>946</v>
      </c>
      <c r="L1" s="75" t="s">
        <v>64</v>
      </c>
      <c r="M1" s="75" t="s">
        <v>79</v>
      </c>
      <c r="N1" s="57" t="s">
        <v>1839</v>
      </c>
      <c r="O1" s="57" t="s">
        <v>1840</v>
      </c>
      <c r="P1" s="57" t="s">
        <v>1841</v>
      </c>
      <c r="Q1" s="57" t="s">
        <v>1842</v>
      </c>
      <c r="R1" s="57" t="s">
        <v>177</v>
      </c>
      <c r="S1" s="57" t="s">
        <v>178</v>
      </c>
      <c r="T1" s="57" t="s">
        <v>68</v>
      </c>
      <c r="U1" s="57" t="s">
        <v>179</v>
      </c>
      <c r="V1" s="1" t="s">
        <v>67</v>
      </c>
      <c r="W1" s="76" t="s">
        <v>1843</v>
      </c>
      <c r="X1" s="76" t="s">
        <v>1844</v>
      </c>
    </row>
    <row r="2">
      <c r="A2" s="77">
        <f>HYPERLINK("https://polkadot.subsquare.io/referenda/0", 0)</f>
        <v>0</v>
      </c>
      <c r="B2" s="40" t="s">
        <v>1845</v>
      </c>
      <c r="C2" s="40" t="s">
        <v>1846</v>
      </c>
      <c r="D2" s="78">
        <v>0.0</v>
      </c>
      <c r="E2" s="79">
        <v>0.0</v>
      </c>
      <c r="F2" s="40" t="s">
        <v>982</v>
      </c>
      <c r="G2" s="78">
        <v>7735.4101</v>
      </c>
      <c r="H2" s="78">
        <v>2776016.4071780127</v>
      </c>
      <c r="I2" s="80">
        <v>45090.0</v>
      </c>
      <c r="J2" s="80">
        <v>45104.0</v>
      </c>
      <c r="K2" s="79">
        <v>0.0</v>
      </c>
      <c r="L2" s="81" t="s">
        <v>90</v>
      </c>
      <c r="M2" s="81" t="s">
        <v>90</v>
      </c>
      <c r="N2" s="61"/>
      <c r="O2" s="63"/>
      <c r="P2" s="63"/>
      <c r="Q2" s="63"/>
      <c r="R2" s="32"/>
      <c r="S2" s="32"/>
      <c r="T2" s="32"/>
      <c r="U2" s="32"/>
      <c r="W2" s="32"/>
      <c r="X2" s="32"/>
    </row>
    <row r="3">
      <c r="A3" s="77">
        <f>HYPERLINK("https://polkadot.subsquare.io/referenda/1", 1)</f>
        <v>1</v>
      </c>
      <c r="B3" s="40" t="s">
        <v>1847</v>
      </c>
      <c r="C3" s="40" t="s">
        <v>1846</v>
      </c>
      <c r="D3" s="78">
        <v>0.0</v>
      </c>
      <c r="E3" s="79">
        <v>0.0</v>
      </c>
      <c r="F3" s="40" t="s">
        <v>1848</v>
      </c>
      <c r="G3" s="78">
        <v>2233979.009701535</v>
      </c>
      <c r="H3" s="78">
        <v>3249706.493460312</v>
      </c>
      <c r="I3" s="80">
        <v>45090.0</v>
      </c>
      <c r="J3" s="80">
        <v>45118.0</v>
      </c>
      <c r="K3" s="79">
        <v>0.0</v>
      </c>
      <c r="L3" s="70" t="s">
        <v>90</v>
      </c>
      <c r="M3" s="70" t="s">
        <v>90</v>
      </c>
      <c r="N3" s="61"/>
      <c r="O3" s="63"/>
      <c r="P3" s="63"/>
      <c r="Q3" s="63"/>
      <c r="R3" s="32"/>
      <c r="S3" s="32"/>
      <c r="T3" s="32"/>
      <c r="U3" s="32"/>
      <c r="W3" s="32"/>
      <c r="X3" s="32"/>
    </row>
    <row r="4">
      <c r="A4" s="77">
        <f>HYPERLINK("https://polkadot.subsquare.io/referenda/2", 2)</f>
        <v>2</v>
      </c>
      <c r="B4" s="40" t="s">
        <v>1849</v>
      </c>
      <c r="C4" s="40" t="s">
        <v>1846</v>
      </c>
      <c r="D4" s="78">
        <v>6454.0</v>
      </c>
      <c r="E4" s="79">
        <v>28506.33201599121</v>
      </c>
      <c r="F4" s="40" t="s">
        <v>1848</v>
      </c>
      <c r="G4" s="78">
        <v>378059.8396858491</v>
      </c>
      <c r="H4" s="78">
        <v>1761651.3027568972</v>
      </c>
      <c r="I4" s="80">
        <v>45090.0</v>
      </c>
      <c r="J4" s="80">
        <v>45118.0</v>
      </c>
      <c r="K4" s="79">
        <v>35190.945004463196</v>
      </c>
      <c r="L4" s="81" t="s">
        <v>90</v>
      </c>
      <c r="M4" s="81" t="s">
        <v>90</v>
      </c>
      <c r="N4" s="61"/>
      <c r="O4" s="63"/>
      <c r="P4" s="63"/>
      <c r="Q4" s="63"/>
      <c r="R4" s="61" t="str">
        <f t="shared" ref="R4:R554" si="1">LEFT(J4,4)</f>
        <v>2023</v>
      </c>
      <c r="S4" s="62">
        <f t="shared" ref="S4:S554" si="2">VALUE(RIGHT(LEFT(J4,7),2))</f>
        <v>7</v>
      </c>
      <c r="T4" s="61" t="str">
        <f t="shared" ref="T4:T554" si="3">R4 &amp; "-Q" &amp; CHOOSE(CEILING(S4/3, 1), "1", "2", "3", "4")</f>
        <v>2023-Q3</v>
      </c>
      <c r="U4" s="63" t="str">
        <f t="shared" ref="U4:U554" si="4">R4&amp;"-"&amp;TEXT(S4, "00")</f>
        <v>2023-07</v>
      </c>
      <c r="V4" s="64" t="str">
        <f t="shared" ref="V4:V554" si="5">R4 &amp; "-H" &amp; CHOOSE(CEILING(S4/6, 1), "1", "2")</f>
        <v>2023-H2</v>
      </c>
      <c r="W4" s="32"/>
      <c r="X4" s="32"/>
    </row>
    <row r="5">
      <c r="A5" s="77">
        <f>HYPERLINK("https://polkadot.subsquare.io/referenda/3", 3)</f>
        <v>3</v>
      </c>
      <c r="B5" s="40" t="s">
        <v>1850</v>
      </c>
      <c r="C5" s="40" t="s">
        <v>1851</v>
      </c>
      <c r="D5" s="78">
        <v>0.0</v>
      </c>
      <c r="E5" s="79">
        <v>0.0</v>
      </c>
      <c r="F5" s="40" t="s">
        <v>1852</v>
      </c>
      <c r="G5" s="78">
        <v>8.585082224565667E7</v>
      </c>
      <c r="H5" s="78">
        <v>0.0</v>
      </c>
      <c r="I5" s="80">
        <v>45090.0</v>
      </c>
      <c r="J5" s="80">
        <v>45097.0</v>
      </c>
      <c r="K5" s="79">
        <v>0.0</v>
      </c>
      <c r="L5" s="70" t="s">
        <v>90</v>
      </c>
      <c r="M5" s="70" t="s">
        <v>90</v>
      </c>
      <c r="N5" s="61"/>
      <c r="O5" s="63"/>
      <c r="P5" s="63"/>
      <c r="Q5" s="63"/>
      <c r="R5" s="61" t="str">
        <f t="shared" si="1"/>
        <v>2023</v>
      </c>
      <c r="S5" s="62">
        <f t="shared" si="2"/>
        <v>6</v>
      </c>
      <c r="T5" s="61" t="str">
        <f t="shared" si="3"/>
        <v>2023-Q2</v>
      </c>
      <c r="U5" s="63" t="str">
        <f t="shared" si="4"/>
        <v>2023-06</v>
      </c>
      <c r="V5" s="64" t="str">
        <f t="shared" si="5"/>
        <v>2023-H1</v>
      </c>
      <c r="W5" s="32"/>
      <c r="X5" s="32"/>
    </row>
    <row r="6">
      <c r="A6" s="77">
        <f>HYPERLINK("https://polkadot.subsquare.io/referenda/4", 4)</f>
        <v>4</v>
      </c>
      <c r="B6" s="40" t="s">
        <v>948</v>
      </c>
      <c r="C6" s="40" t="s">
        <v>1851</v>
      </c>
      <c r="D6" s="78">
        <v>16823.0</v>
      </c>
      <c r="E6" s="79">
        <v>74304.62093353271</v>
      </c>
      <c r="F6" s="40" t="s">
        <v>1853</v>
      </c>
      <c r="G6" s="78">
        <v>2528444.8001554697</v>
      </c>
      <c r="H6" s="78">
        <v>800119.465234279</v>
      </c>
      <c r="I6" s="80">
        <v>45090.0</v>
      </c>
      <c r="J6" s="80">
        <v>45118.0</v>
      </c>
      <c r="K6" s="79">
        <v>91728.73687791824</v>
      </c>
      <c r="L6" s="81" t="s">
        <v>81</v>
      </c>
      <c r="M6" s="81" t="s">
        <v>89</v>
      </c>
      <c r="N6" s="61"/>
      <c r="O6" s="63"/>
      <c r="P6" s="63"/>
      <c r="Q6" s="63"/>
      <c r="R6" s="61" t="str">
        <f t="shared" si="1"/>
        <v>2023</v>
      </c>
      <c r="S6" s="62">
        <f t="shared" si="2"/>
        <v>7</v>
      </c>
      <c r="T6" s="61" t="str">
        <f t="shared" si="3"/>
        <v>2023-Q3</v>
      </c>
      <c r="U6" s="63" t="str">
        <f t="shared" si="4"/>
        <v>2023-07</v>
      </c>
      <c r="V6" s="64" t="str">
        <f t="shared" si="5"/>
        <v>2023-H2</v>
      </c>
      <c r="W6" s="32"/>
      <c r="X6" s="32"/>
    </row>
    <row r="7">
      <c r="A7" s="77">
        <f>HYPERLINK("https://polkadot.subsquare.io/referenda/5", 5)</f>
        <v>5</v>
      </c>
      <c r="B7" s="40" t="s">
        <v>949</v>
      </c>
      <c r="C7" s="40" t="s">
        <v>1851</v>
      </c>
      <c r="D7" s="78">
        <v>61477.0</v>
      </c>
      <c r="E7" s="79">
        <v>271534.51709747314</v>
      </c>
      <c r="F7" s="40" t="s">
        <v>1853</v>
      </c>
      <c r="G7" s="78">
        <v>9648535.68311292</v>
      </c>
      <c r="H7" s="78">
        <v>2859825.6206017635</v>
      </c>
      <c r="I7" s="80">
        <v>45090.0</v>
      </c>
      <c r="J7" s="80">
        <v>45115.0</v>
      </c>
      <c r="K7" s="79">
        <v>320389.9754962921</v>
      </c>
      <c r="L7" s="70" t="s">
        <v>46</v>
      </c>
      <c r="M7" s="70" t="s">
        <v>119</v>
      </c>
      <c r="N7" s="61"/>
      <c r="O7" s="63"/>
      <c r="P7" s="63"/>
      <c r="Q7" s="63"/>
      <c r="R7" s="61" t="str">
        <f t="shared" si="1"/>
        <v>2023</v>
      </c>
      <c r="S7" s="62">
        <f t="shared" si="2"/>
        <v>7</v>
      </c>
      <c r="T7" s="61" t="str">
        <f t="shared" si="3"/>
        <v>2023-Q3</v>
      </c>
      <c r="U7" s="63" t="str">
        <f t="shared" si="4"/>
        <v>2023-07</v>
      </c>
      <c r="V7" s="64" t="str">
        <f t="shared" si="5"/>
        <v>2023-H2</v>
      </c>
      <c r="W7" s="32"/>
      <c r="X7" s="32"/>
    </row>
    <row r="8">
      <c r="A8" s="77">
        <f>HYPERLINK("https://polkadot.subsquare.io/referenda/6", 6)</f>
        <v>6</v>
      </c>
      <c r="B8" s="40" t="s">
        <v>950</v>
      </c>
      <c r="C8" s="40" t="s">
        <v>1851</v>
      </c>
      <c r="D8" s="78">
        <v>75435.0</v>
      </c>
      <c r="E8" s="79">
        <v>333184.87071990967</v>
      </c>
      <c r="F8" s="40" t="s">
        <v>1853</v>
      </c>
      <c r="G8" s="78">
        <v>2074686.070993722</v>
      </c>
      <c r="H8" s="78">
        <v>637265.3748057142</v>
      </c>
      <c r="I8" s="80">
        <v>45090.0</v>
      </c>
      <c r="J8" s="80">
        <v>45118.0</v>
      </c>
      <c r="K8" s="79">
        <v>411315.29848337173</v>
      </c>
      <c r="L8" s="81" t="s">
        <v>46</v>
      </c>
      <c r="M8" s="81" t="s">
        <v>124</v>
      </c>
      <c r="N8" s="61"/>
      <c r="O8" s="63"/>
      <c r="P8" s="63"/>
      <c r="Q8" s="63"/>
      <c r="R8" s="61" t="str">
        <f t="shared" si="1"/>
        <v>2023</v>
      </c>
      <c r="S8" s="62">
        <f t="shared" si="2"/>
        <v>7</v>
      </c>
      <c r="T8" s="61" t="str">
        <f t="shared" si="3"/>
        <v>2023-Q3</v>
      </c>
      <c r="U8" s="63" t="str">
        <f t="shared" si="4"/>
        <v>2023-07</v>
      </c>
      <c r="V8" s="64" t="str">
        <f t="shared" si="5"/>
        <v>2023-H2</v>
      </c>
      <c r="W8" s="32"/>
      <c r="X8" s="32"/>
    </row>
    <row r="9">
      <c r="A9" s="77">
        <f>HYPERLINK("https://polkadot.subsquare.io/referenda/7", 7)</f>
        <v>7</v>
      </c>
      <c r="B9" s="40" t="s">
        <v>1854</v>
      </c>
      <c r="C9" s="40" t="s">
        <v>1851</v>
      </c>
      <c r="D9" s="78">
        <v>0.0</v>
      </c>
      <c r="E9" s="79">
        <v>0.0</v>
      </c>
      <c r="F9" s="40" t="s">
        <v>1848</v>
      </c>
      <c r="G9" s="78">
        <v>2678085.5293575157</v>
      </c>
      <c r="H9" s="78">
        <v>317570.8033617394</v>
      </c>
      <c r="I9" s="80">
        <v>45090.0</v>
      </c>
      <c r="J9" s="80">
        <v>45117.0</v>
      </c>
      <c r="K9" s="79">
        <v>0.0</v>
      </c>
      <c r="L9" s="70" t="s">
        <v>49</v>
      </c>
      <c r="M9" s="70" t="s">
        <v>161</v>
      </c>
      <c r="N9" s="61"/>
      <c r="O9" s="63"/>
      <c r="P9" s="63"/>
      <c r="Q9" s="63"/>
      <c r="R9" s="61" t="str">
        <f t="shared" si="1"/>
        <v>2023</v>
      </c>
      <c r="S9" s="62">
        <f t="shared" si="2"/>
        <v>7</v>
      </c>
      <c r="T9" s="61" t="str">
        <f t="shared" si="3"/>
        <v>2023-Q3</v>
      </c>
      <c r="U9" s="63" t="str">
        <f t="shared" si="4"/>
        <v>2023-07</v>
      </c>
      <c r="V9" s="64" t="str">
        <f t="shared" si="5"/>
        <v>2023-H2</v>
      </c>
      <c r="W9" s="32"/>
      <c r="X9" s="32"/>
    </row>
    <row r="10">
      <c r="A10" s="77">
        <f>HYPERLINK("https://polkadot.subsquare.io/referenda/8", 8)</f>
        <v>8</v>
      </c>
      <c r="B10" s="40" t="s">
        <v>951</v>
      </c>
      <c r="C10" s="40" t="s">
        <v>1851</v>
      </c>
      <c r="D10" s="78">
        <v>120026.26</v>
      </c>
      <c r="E10" s="79">
        <v>530137.6538887024</v>
      </c>
      <c r="F10" s="40" t="s">
        <v>1855</v>
      </c>
      <c r="G10" s="78">
        <v>6253826.758248116</v>
      </c>
      <c r="H10" s="78">
        <v>429028.9145927421</v>
      </c>
      <c r="I10" s="80">
        <v>45091.0</v>
      </c>
      <c r="J10" s="80">
        <v>45118.0</v>
      </c>
      <c r="K10" s="79">
        <v>654452.6672995662</v>
      </c>
      <c r="L10" s="81" t="s">
        <v>46</v>
      </c>
      <c r="M10" s="81" t="s">
        <v>106</v>
      </c>
      <c r="N10" s="61"/>
      <c r="O10" s="63"/>
      <c r="P10" s="63"/>
      <c r="Q10" s="63"/>
      <c r="R10" s="61" t="str">
        <f t="shared" si="1"/>
        <v>2023</v>
      </c>
      <c r="S10" s="62">
        <f t="shared" si="2"/>
        <v>7</v>
      </c>
      <c r="T10" s="61" t="str">
        <f t="shared" si="3"/>
        <v>2023-Q3</v>
      </c>
      <c r="U10" s="63" t="str">
        <f t="shared" si="4"/>
        <v>2023-07</v>
      </c>
      <c r="V10" s="64" t="str">
        <f t="shared" si="5"/>
        <v>2023-H2</v>
      </c>
      <c r="W10" s="32"/>
      <c r="X10" s="32"/>
    </row>
    <row r="11">
      <c r="A11" s="77">
        <f>HYPERLINK("https://polkadot.subsquare.io/referenda/9", 9)</f>
        <v>9</v>
      </c>
      <c r="B11" s="40" t="s">
        <v>1856</v>
      </c>
      <c r="C11" s="40" t="s">
        <v>1851</v>
      </c>
      <c r="D11" s="78">
        <v>0.0</v>
      </c>
      <c r="E11" s="79">
        <v>0.0</v>
      </c>
      <c r="F11" s="40" t="s">
        <v>1857</v>
      </c>
      <c r="G11" s="78">
        <v>3.6401206899206065E7</v>
      </c>
      <c r="H11" s="78">
        <v>20264.5</v>
      </c>
      <c r="I11" s="80">
        <v>45091.0</v>
      </c>
      <c r="J11" s="80">
        <v>45120.0</v>
      </c>
      <c r="K11" s="79">
        <v>0.0</v>
      </c>
      <c r="L11" s="70" t="s">
        <v>90</v>
      </c>
      <c r="M11" s="70" t="s">
        <v>90</v>
      </c>
      <c r="N11" s="61"/>
      <c r="O11" s="63"/>
      <c r="P11" s="63"/>
      <c r="Q11" s="63"/>
      <c r="R11" s="61" t="str">
        <f t="shared" si="1"/>
        <v>2023</v>
      </c>
      <c r="S11" s="62">
        <f t="shared" si="2"/>
        <v>7</v>
      </c>
      <c r="T11" s="61" t="str">
        <f t="shared" si="3"/>
        <v>2023-Q3</v>
      </c>
      <c r="U11" s="63" t="str">
        <f t="shared" si="4"/>
        <v>2023-07</v>
      </c>
      <c r="V11" s="64" t="str">
        <f t="shared" si="5"/>
        <v>2023-H2</v>
      </c>
      <c r="W11" s="32"/>
      <c r="X11" s="32"/>
    </row>
    <row r="12">
      <c r="A12" s="77">
        <f>HYPERLINK("https://polkadot.subsquare.io/referenda/10", 10)</f>
        <v>10</v>
      </c>
      <c r="B12" s="40" t="s">
        <v>1858</v>
      </c>
      <c r="C12" s="40" t="s">
        <v>1846</v>
      </c>
      <c r="D12" s="78">
        <v>3936.69</v>
      </c>
      <c r="E12" s="79">
        <v>17817.975249123574</v>
      </c>
      <c r="F12" s="40" t="s">
        <v>1848</v>
      </c>
      <c r="G12" s="78">
        <v>786169.714188578</v>
      </c>
      <c r="H12" s="78">
        <v>2763283.584264918</v>
      </c>
      <c r="I12" s="80">
        <v>45092.0</v>
      </c>
      <c r="J12" s="80">
        <v>45120.0</v>
      </c>
      <c r="K12" s="79">
        <v>21382.809224596025</v>
      </c>
      <c r="L12" s="81" t="s">
        <v>90</v>
      </c>
      <c r="M12" s="81" t="s">
        <v>90</v>
      </c>
      <c r="N12" s="61"/>
      <c r="O12" s="63"/>
      <c r="P12" s="63"/>
      <c r="Q12" s="63"/>
      <c r="R12" s="61" t="str">
        <f t="shared" si="1"/>
        <v>2023</v>
      </c>
      <c r="S12" s="62">
        <f t="shared" si="2"/>
        <v>7</v>
      </c>
      <c r="T12" s="61" t="str">
        <f t="shared" si="3"/>
        <v>2023-Q3</v>
      </c>
      <c r="U12" s="63" t="str">
        <f t="shared" si="4"/>
        <v>2023-07</v>
      </c>
      <c r="V12" s="64" t="str">
        <f t="shared" si="5"/>
        <v>2023-H2</v>
      </c>
      <c r="W12" s="32"/>
      <c r="X12" s="32"/>
    </row>
    <row r="13">
      <c r="A13" s="77">
        <f>HYPERLINK("https://polkadot.subsquare.io/referenda/11", 11)</f>
        <v>11</v>
      </c>
      <c r="B13" s="40" t="s">
        <v>1859</v>
      </c>
      <c r="C13" s="40" t="s">
        <v>1846</v>
      </c>
      <c r="D13" s="78">
        <v>0.0</v>
      </c>
      <c r="E13" s="79">
        <v>0.0</v>
      </c>
      <c r="F13" s="40" t="s">
        <v>1848</v>
      </c>
      <c r="G13" s="78">
        <v>18333.1</v>
      </c>
      <c r="H13" s="78">
        <v>3389665.0673079365</v>
      </c>
      <c r="I13" s="80">
        <v>45092.0</v>
      </c>
      <c r="J13" s="80">
        <v>45120.0</v>
      </c>
      <c r="K13" s="79">
        <v>0.0</v>
      </c>
      <c r="L13" s="70" t="s">
        <v>90</v>
      </c>
      <c r="M13" s="70" t="s">
        <v>90</v>
      </c>
      <c r="N13" s="61"/>
      <c r="O13" s="63"/>
      <c r="P13" s="63"/>
      <c r="Q13" s="63"/>
      <c r="R13" s="61" t="str">
        <f t="shared" si="1"/>
        <v>2023</v>
      </c>
      <c r="S13" s="62">
        <f t="shared" si="2"/>
        <v>7</v>
      </c>
      <c r="T13" s="61" t="str">
        <f t="shared" si="3"/>
        <v>2023-Q3</v>
      </c>
      <c r="U13" s="63" t="str">
        <f t="shared" si="4"/>
        <v>2023-07</v>
      </c>
      <c r="V13" s="64" t="str">
        <f t="shared" si="5"/>
        <v>2023-H2</v>
      </c>
      <c r="W13" s="32"/>
      <c r="X13" s="32"/>
    </row>
    <row r="14">
      <c r="A14" s="77">
        <f>HYPERLINK("https://polkadot.subsquare.io/referenda/12", 12)</f>
        <v>12</v>
      </c>
      <c r="B14" s="40" t="s">
        <v>1860</v>
      </c>
      <c r="C14" s="40" t="s">
        <v>1861</v>
      </c>
      <c r="D14" s="78">
        <v>43663.107</v>
      </c>
      <c r="E14" s="79">
        <v>197835.91983825018</v>
      </c>
      <c r="F14" s="40" t="s">
        <v>1853</v>
      </c>
      <c r="G14" s="78">
        <v>81100.5</v>
      </c>
      <c r="H14" s="78">
        <v>3200852.7298340774</v>
      </c>
      <c r="I14" s="80">
        <v>45093.0</v>
      </c>
      <c r="J14" s="80">
        <v>45107.0</v>
      </c>
      <c r="K14" s="79">
        <v>240230.7023905106</v>
      </c>
      <c r="L14" s="81" t="s">
        <v>90</v>
      </c>
      <c r="M14" s="81" t="s">
        <v>90</v>
      </c>
      <c r="N14" s="61"/>
      <c r="O14" s="63"/>
      <c r="P14" s="63"/>
      <c r="Q14" s="63"/>
      <c r="R14" s="61" t="str">
        <f t="shared" si="1"/>
        <v>2023</v>
      </c>
      <c r="S14" s="62">
        <f t="shared" si="2"/>
        <v>6</v>
      </c>
      <c r="T14" s="61" t="str">
        <f t="shared" si="3"/>
        <v>2023-Q2</v>
      </c>
      <c r="U14" s="63" t="str">
        <f t="shared" si="4"/>
        <v>2023-06</v>
      </c>
      <c r="V14" s="64" t="str">
        <f t="shared" si="5"/>
        <v>2023-H1</v>
      </c>
      <c r="W14" s="32"/>
      <c r="X14" s="32"/>
    </row>
    <row r="15">
      <c r="A15" s="77">
        <f>HYPERLINK("https://polkadot.subsquare.io/referenda/13", 13)</f>
        <v>13</v>
      </c>
      <c r="B15" s="40" t="s">
        <v>952</v>
      </c>
      <c r="C15" s="40" t="s">
        <v>1851</v>
      </c>
      <c r="D15" s="78">
        <v>36969.0</v>
      </c>
      <c r="E15" s="79">
        <v>167189.41288661957</v>
      </c>
      <c r="F15" s="40" t="s">
        <v>1853</v>
      </c>
      <c r="G15" s="78">
        <v>3378026.860683102</v>
      </c>
      <c r="H15" s="78">
        <v>375143.0475345054</v>
      </c>
      <c r="I15" s="80">
        <v>45093.0</v>
      </c>
      <c r="J15" s="80">
        <v>45118.0</v>
      </c>
      <c r="K15" s="79">
        <v>201576.39384412766</v>
      </c>
      <c r="L15" s="70" t="s">
        <v>46</v>
      </c>
      <c r="M15" s="70" t="s">
        <v>108</v>
      </c>
      <c r="N15" s="61"/>
      <c r="O15" s="63"/>
      <c r="P15" s="63"/>
      <c r="Q15" s="63"/>
      <c r="R15" s="61" t="str">
        <f t="shared" si="1"/>
        <v>2023</v>
      </c>
      <c r="S15" s="62">
        <f t="shared" si="2"/>
        <v>7</v>
      </c>
      <c r="T15" s="61" t="str">
        <f t="shared" si="3"/>
        <v>2023-Q3</v>
      </c>
      <c r="U15" s="63" t="str">
        <f t="shared" si="4"/>
        <v>2023-07</v>
      </c>
      <c r="V15" s="64" t="str">
        <f t="shared" si="5"/>
        <v>2023-H2</v>
      </c>
      <c r="W15" s="32"/>
      <c r="X15" s="32"/>
    </row>
    <row r="16">
      <c r="A16" s="77">
        <f>HYPERLINK("https://polkadot.subsquare.io/referenda/14", 14)</f>
        <v>14</v>
      </c>
      <c r="B16" s="40" t="s">
        <v>953</v>
      </c>
      <c r="C16" s="40" t="s">
        <v>1851</v>
      </c>
      <c r="D16" s="78">
        <v>26765.99</v>
      </c>
      <c r="E16" s="79">
        <v>121047.09766098976</v>
      </c>
      <c r="F16" s="40" t="s">
        <v>1853</v>
      </c>
      <c r="G16" s="78">
        <v>2374590.5707282093</v>
      </c>
      <c r="H16" s="78">
        <v>701265.3519029213</v>
      </c>
      <c r="I16" s="80">
        <v>45093.0</v>
      </c>
      <c r="J16" s="80">
        <v>45122.0</v>
      </c>
      <c r="K16" s="79">
        <v>138628.32171288013</v>
      </c>
      <c r="L16" s="82" t="s">
        <v>48</v>
      </c>
      <c r="M16" s="81" t="s">
        <v>131</v>
      </c>
      <c r="N16" s="61"/>
      <c r="O16" s="63"/>
      <c r="P16" s="63"/>
      <c r="Q16" s="63"/>
      <c r="R16" s="61" t="str">
        <f t="shared" si="1"/>
        <v>2023</v>
      </c>
      <c r="S16" s="62">
        <f t="shared" si="2"/>
        <v>7</v>
      </c>
      <c r="T16" s="61" t="str">
        <f t="shared" si="3"/>
        <v>2023-Q3</v>
      </c>
      <c r="U16" s="63" t="str">
        <f t="shared" si="4"/>
        <v>2023-07</v>
      </c>
      <c r="V16" s="64" t="str">
        <f t="shared" si="5"/>
        <v>2023-H2</v>
      </c>
      <c r="W16" s="32"/>
      <c r="X16" s="32"/>
    </row>
    <row r="17">
      <c r="A17" s="77">
        <f>HYPERLINK("https://polkadot.subsquare.io/referenda/15", 15)</f>
        <v>15</v>
      </c>
      <c r="B17" s="40" t="s">
        <v>954</v>
      </c>
      <c r="C17" s="40" t="s">
        <v>1851</v>
      </c>
      <c r="D17" s="78">
        <v>49880.0</v>
      </c>
      <c r="E17" s="79">
        <v>225578.401222229</v>
      </c>
      <c r="F17" s="40" t="s">
        <v>1853</v>
      </c>
      <c r="G17" s="78">
        <v>2648904.398457322</v>
      </c>
      <c r="H17" s="78">
        <v>846335.2475345054</v>
      </c>
      <c r="I17" s="80">
        <v>45094.0</v>
      </c>
      <c r="J17" s="80">
        <v>45122.0</v>
      </c>
      <c r="K17" s="79">
        <v>264550.00537872314</v>
      </c>
      <c r="L17" s="70" t="s">
        <v>49</v>
      </c>
      <c r="M17" s="70" t="s">
        <v>104</v>
      </c>
      <c r="N17" s="61"/>
      <c r="O17" s="63"/>
      <c r="P17" s="63"/>
      <c r="Q17" s="63"/>
      <c r="R17" s="61" t="str">
        <f t="shared" si="1"/>
        <v>2023</v>
      </c>
      <c r="S17" s="62">
        <f t="shared" si="2"/>
        <v>7</v>
      </c>
      <c r="T17" s="61" t="str">
        <f t="shared" si="3"/>
        <v>2023-Q3</v>
      </c>
      <c r="U17" s="63" t="str">
        <f t="shared" si="4"/>
        <v>2023-07</v>
      </c>
      <c r="V17" s="64" t="str">
        <f t="shared" si="5"/>
        <v>2023-H2</v>
      </c>
      <c r="W17" s="32"/>
      <c r="X17" s="32"/>
    </row>
    <row r="18">
      <c r="A18" s="77">
        <f>HYPERLINK("https://polkadot.subsquare.io/referenda/16", 16)</f>
        <v>16</v>
      </c>
      <c r="B18" s="40" t="s">
        <v>1862</v>
      </c>
      <c r="C18" s="40" t="s">
        <v>1846</v>
      </c>
      <c r="D18" s="78">
        <v>68479.0</v>
      </c>
      <c r="E18" s="79">
        <v>319723.23665475845</v>
      </c>
      <c r="F18" s="40" t="s">
        <v>1853</v>
      </c>
      <c r="G18" s="78">
        <v>4112784.7833038564</v>
      </c>
      <c r="H18" s="78">
        <v>7250812.633153093</v>
      </c>
      <c r="I18" s="80">
        <v>45094.0</v>
      </c>
      <c r="J18" s="80">
        <v>45122.0</v>
      </c>
      <c r="K18" s="79">
        <v>354671.3139538765</v>
      </c>
      <c r="L18" s="81" t="s">
        <v>90</v>
      </c>
      <c r="M18" s="81" t="s">
        <v>90</v>
      </c>
      <c r="N18" s="61"/>
      <c r="O18" s="63"/>
      <c r="P18" s="63"/>
      <c r="Q18" s="63"/>
      <c r="R18" s="61" t="str">
        <f t="shared" si="1"/>
        <v>2023</v>
      </c>
      <c r="S18" s="62">
        <f t="shared" si="2"/>
        <v>7</v>
      </c>
      <c r="T18" s="61" t="str">
        <f t="shared" si="3"/>
        <v>2023-Q3</v>
      </c>
      <c r="U18" s="63" t="str">
        <f t="shared" si="4"/>
        <v>2023-07</v>
      </c>
      <c r="V18" s="64" t="str">
        <f t="shared" si="5"/>
        <v>2023-H2</v>
      </c>
      <c r="W18" s="32"/>
      <c r="X18" s="32"/>
    </row>
    <row r="19">
      <c r="A19" s="77">
        <f>HYPERLINK("https://polkadot.subsquare.io/referenda/17", 17)</f>
        <v>17</v>
      </c>
      <c r="B19" s="40" t="s">
        <v>1863</v>
      </c>
      <c r="C19" s="40" t="s">
        <v>1846</v>
      </c>
      <c r="D19" s="78">
        <v>8775.0</v>
      </c>
      <c r="E19" s="79">
        <v>40969.806826114655</v>
      </c>
      <c r="F19" s="40" t="s">
        <v>1848</v>
      </c>
      <c r="G19" s="78">
        <v>636529.2273782742</v>
      </c>
      <c r="H19" s="78">
        <v>2185637.1675414243</v>
      </c>
      <c r="I19" s="80">
        <v>45094.0</v>
      </c>
      <c r="J19" s="80">
        <v>45122.0</v>
      </c>
      <c r="K19" s="79">
        <v>45448.1049656868</v>
      </c>
      <c r="L19" s="70" t="s">
        <v>90</v>
      </c>
      <c r="M19" s="70" t="s">
        <v>90</v>
      </c>
      <c r="N19" s="61"/>
      <c r="O19" s="63"/>
      <c r="P19" s="63"/>
      <c r="Q19" s="63"/>
      <c r="R19" s="61" t="str">
        <f t="shared" si="1"/>
        <v>2023</v>
      </c>
      <c r="S19" s="62">
        <f t="shared" si="2"/>
        <v>7</v>
      </c>
      <c r="T19" s="61" t="str">
        <f t="shared" si="3"/>
        <v>2023-Q3</v>
      </c>
      <c r="U19" s="63" t="str">
        <f t="shared" si="4"/>
        <v>2023-07</v>
      </c>
      <c r="V19" s="64" t="str">
        <f t="shared" si="5"/>
        <v>2023-H2</v>
      </c>
      <c r="W19" s="32"/>
      <c r="X19" s="32"/>
    </row>
    <row r="20">
      <c r="A20" s="77">
        <f>HYPERLINK("https://polkadot.subsquare.io/referenda/18", 18)</f>
        <v>18</v>
      </c>
      <c r="B20" s="40" t="s">
        <v>1864</v>
      </c>
      <c r="C20" s="40" t="s">
        <v>1851</v>
      </c>
      <c r="D20" s="78">
        <v>0.0</v>
      </c>
      <c r="E20" s="79">
        <v>0.0</v>
      </c>
      <c r="F20" s="40" t="s">
        <v>1852</v>
      </c>
      <c r="G20" s="78">
        <v>6.606000011524445E7</v>
      </c>
      <c r="H20" s="78">
        <v>100.1</v>
      </c>
      <c r="I20" s="80">
        <v>45094.0</v>
      </c>
      <c r="J20" s="80">
        <v>45123.0</v>
      </c>
      <c r="K20" s="79">
        <v>0.0</v>
      </c>
      <c r="L20" s="81" t="s">
        <v>90</v>
      </c>
      <c r="M20" s="81" t="s">
        <v>90</v>
      </c>
      <c r="N20" s="61"/>
      <c r="O20" s="63"/>
      <c r="P20" s="63"/>
      <c r="Q20" s="63"/>
      <c r="R20" s="61" t="str">
        <f t="shared" si="1"/>
        <v>2023</v>
      </c>
      <c r="S20" s="62">
        <f t="shared" si="2"/>
        <v>7</v>
      </c>
      <c r="T20" s="61" t="str">
        <f t="shared" si="3"/>
        <v>2023-Q3</v>
      </c>
      <c r="U20" s="63" t="str">
        <f t="shared" si="4"/>
        <v>2023-07</v>
      </c>
      <c r="V20" s="64" t="str">
        <f t="shared" si="5"/>
        <v>2023-H2</v>
      </c>
      <c r="W20" s="32"/>
      <c r="X20" s="32"/>
    </row>
    <row r="21">
      <c r="A21" s="77">
        <f>HYPERLINK("https://polkadot.subsquare.io/referenda/19", 19)</f>
        <v>19</v>
      </c>
      <c r="B21" s="40" t="s">
        <v>1865</v>
      </c>
      <c r="C21" s="40" t="s">
        <v>1846</v>
      </c>
      <c r="D21" s="78">
        <v>3469.0</v>
      </c>
      <c r="E21" s="79">
        <v>16196.496852397919</v>
      </c>
      <c r="F21" s="40" t="s">
        <v>1848</v>
      </c>
      <c r="G21" s="78">
        <v>954772.8672961564</v>
      </c>
      <c r="H21" s="78">
        <v>2747592.845394487</v>
      </c>
      <c r="I21" s="80">
        <v>45094.0</v>
      </c>
      <c r="J21" s="80">
        <v>45123.0</v>
      </c>
      <c r="K21" s="79">
        <v>17966.891866207123</v>
      </c>
      <c r="L21" s="70" t="s">
        <v>90</v>
      </c>
      <c r="M21" s="70" t="s">
        <v>90</v>
      </c>
      <c r="N21" s="61"/>
      <c r="O21" s="63"/>
      <c r="P21" s="63"/>
      <c r="Q21" s="63"/>
      <c r="R21" s="61" t="str">
        <f t="shared" si="1"/>
        <v>2023</v>
      </c>
      <c r="S21" s="62">
        <f t="shared" si="2"/>
        <v>7</v>
      </c>
      <c r="T21" s="61" t="str">
        <f t="shared" si="3"/>
        <v>2023-Q3</v>
      </c>
      <c r="U21" s="63" t="str">
        <f t="shared" si="4"/>
        <v>2023-07</v>
      </c>
      <c r="V21" s="64" t="str">
        <f t="shared" si="5"/>
        <v>2023-H2</v>
      </c>
      <c r="W21" s="32"/>
      <c r="X21" s="32"/>
    </row>
    <row r="22">
      <c r="A22" s="77">
        <f>HYPERLINK("https://polkadot.subsquare.io/referenda/20", 20)</f>
        <v>20</v>
      </c>
      <c r="B22" s="40" t="s">
        <v>956</v>
      </c>
      <c r="C22" s="40" t="s">
        <v>1851</v>
      </c>
      <c r="D22" s="78">
        <v>41867.704</v>
      </c>
      <c r="E22" s="79">
        <v>195477.1219524727</v>
      </c>
      <c r="F22" s="40" t="s">
        <v>1853</v>
      </c>
      <c r="G22" s="78">
        <v>3210641.9696878437</v>
      </c>
      <c r="H22" s="78">
        <v>390263.0608</v>
      </c>
      <c r="I22" s="80">
        <v>45095.0</v>
      </c>
      <c r="J22" s="80">
        <v>45123.0</v>
      </c>
      <c r="K22" s="79">
        <v>216844.1944232826</v>
      </c>
      <c r="L22" s="81" t="s">
        <v>49</v>
      </c>
      <c r="M22" s="81" t="s">
        <v>955</v>
      </c>
      <c r="N22" s="61"/>
      <c r="O22" s="63"/>
      <c r="P22" s="63"/>
      <c r="Q22" s="63"/>
      <c r="R22" s="61" t="str">
        <f t="shared" si="1"/>
        <v>2023</v>
      </c>
      <c r="S22" s="62">
        <f t="shared" si="2"/>
        <v>7</v>
      </c>
      <c r="T22" s="61" t="str">
        <f t="shared" si="3"/>
        <v>2023-Q3</v>
      </c>
      <c r="U22" s="63" t="str">
        <f t="shared" si="4"/>
        <v>2023-07</v>
      </c>
      <c r="V22" s="64" t="str">
        <f t="shared" si="5"/>
        <v>2023-H2</v>
      </c>
      <c r="W22" s="32"/>
      <c r="X22" s="32"/>
    </row>
    <row r="23">
      <c r="A23" s="77">
        <f>HYPERLINK("https://polkadot.subsquare.io/referenda/21", 21)</f>
        <v>21</v>
      </c>
      <c r="B23" s="40" t="s">
        <v>957</v>
      </c>
      <c r="C23" s="40" t="s">
        <v>1851</v>
      </c>
      <c r="D23" s="78">
        <v>175419.0</v>
      </c>
      <c r="E23" s="79">
        <v>847173.0464744568</v>
      </c>
      <c r="F23" s="40" t="s">
        <v>1855</v>
      </c>
      <c r="G23" s="78">
        <v>5206765.447026082</v>
      </c>
      <c r="H23" s="78">
        <v>1469069.3459266594</v>
      </c>
      <c r="I23" s="80">
        <v>45095.0</v>
      </c>
      <c r="J23" s="80">
        <v>45125.0</v>
      </c>
      <c r="K23" s="79">
        <v>963017.1459159851</v>
      </c>
      <c r="L23" s="70" t="s">
        <v>46</v>
      </c>
      <c r="M23" s="70" t="s">
        <v>106</v>
      </c>
      <c r="N23" s="61"/>
      <c r="O23" s="63"/>
      <c r="P23" s="63"/>
      <c r="Q23" s="63"/>
      <c r="R23" s="61" t="str">
        <f t="shared" si="1"/>
        <v>2023</v>
      </c>
      <c r="S23" s="62">
        <f t="shared" si="2"/>
        <v>7</v>
      </c>
      <c r="T23" s="61" t="str">
        <f t="shared" si="3"/>
        <v>2023-Q3</v>
      </c>
      <c r="U23" s="63" t="str">
        <f t="shared" si="4"/>
        <v>2023-07</v>
      </c>
      <c r="V23" s="64" t="str">
        <f t="shared" si="5"/>
        <v>2023-H2</v>
      </c>
      <c r="W23" s="32"/>
      <c r="X23" s="32"/>
    </row>
    <row r="24">
      <c r="A24" s="77">
        <f>HYPERLINK("https://polkadot.subsquare.io/referenda/22", 22)</f>
        <v>22</v>
      </c>
      <c r="B24" s="40" t="s">
        <v>958</v>
      </c>
      <c r="C24" s="40" t="s">
        <v>1851</v>
      </c>
      <c r="D24" s="78">
        <v>77500.0</v>
      </c>
      <c r="E24" s="79">
        <v>374373.66366386414</v>
      </c>
      <c r="F24" s="40" t="s">
        <v>1866</v>
      </c>
      <c r="G24" s="78">
        <v>4674309.070914032</v>
      </c>
      <c r="H24" s="78">
        <v>4422681.847630495</v>
      </c>
      <c r="I24" s="80">
        <v>45096.0</v>
      </c>
      <c r="J24" s="80">
        <v>45125.0</v>
      </c>
      <c r="K24" s="79">
        <v>425460.34812927246</v>
      </c>
      <c r="L24" s="81" t="s">
        <v>46</v>
      </c>
      <c r="M24" s="81" t="s">
        <v>119</v>
      </c>
      <c r="N24" s="61"/>
      <c r="O24" s="63"/>
      <c r="P24" s="63"/>
      <c r="Q24" s="63"/>
      <c r="R24" s="61" t="str">
        <f t="shared" si="1"/>
        <v>2023</v>
      </c>
      <c r="S24" s="62">
        <f t="shared" si="2"/>
        <v>7</v>
      </c>
      <c r="T24" s="61" t="str">
        <f t="shared" si="3"/>
        <v>2023-Q3</v>
      </c>
      <c r="U24" s="63" t="str">
        <f t="shared" si="4"/>
        <v>2023-07</v>
      </c>
      <c r="V24" s="64" t="str">
        <f t="shared" si="5"/>
        <v>2023-H2</v>
      </c>
      <c r="W24" s="32"/>
      <c r="X24" s="32"/>
    </row>
    <row r="25">
      <c r="A25" s="77">
        <f>HYPERLINK("https://polkadot.subsquare.io/referenda/23", 23)</f>
        <v>23</v>
      </c>
      <c r="B25" s="40" t="s">
        <v>1867</v>
      </c>
      <c r="C25" s="40" t="s">
        <v>1851</v>
      </c>
      <c r="D25" s="78">
        <v>0.0</v>
      </c>
      <c r="E25" s="79">
        <v>0.0</v>
      </c>
      <c r="F25" s="40" t="s">
        <v>1868</v>
      </c>
      <c r="G25" s="78">
        <v>3504455.105842395</v>
      </c>
      <c r="H25" s="78">
        <v>50674.5001</v>
      </c>
      <c r="I25" s="80">
        <v>45096.0</v>
      </c>
      <c r="J25" s="80">
        <v>45124.0</v>
      </c>
      <c r="K25" s="79">
        <v>0.0</v>
      </c>
      <c r="L25" s="70" t="s">
        <v>90</v>
      </c>
      <c r="M25" s="70" t="s">
        <v>90</v>
      </c>
      <c r="N25" s="61"/>
      <c r="O25" s="63"/>
      <c r="P25" s="63"/>
      <c r="Q25" s="63"/>
      <c r="R25" s="61" t="str">
        <f t="shared" si="1"/>
        <v>2023</v>
      </c>
      <c r="S25" s="62">
        <f t="shared" si="2"/>
        <v>7</v>
      </c>
      <c r="T25" s="61" t="str">
        <f t="shared" si="3"/>
        <v>2023-Q3</v>
      </c>
      <c r="U25" s="63" t="str">
        <f t="shared" si="4"/>
        <v>2023-07</v>
      </c>
      <c r="V25" s="64" t="str">
        <f t="shared" si="5"/>
        <v>2023-H2</v>
      </c>
      <c r="W25" s="32"/>
      <c r="X25" s="32"/>
    </row>
    <row r="26">
      <c r="A26" s="77">
        <f>HYPERLINK("https://polkadot.subsquare.io/referenda/24", 24)</f>
        <v>24</v>
      </c>
      <c r="B26" s="40" t="s">
        <v>959</v>
      </c>
      <c r="C26" s="40" t="s">
        <v>1851</v>
      </c>
      <c r="D26" s="78">
        <v>25533.0</v>
      </c>
      <c r="E26" s="79">
        <v>123340.42263650894</v>
      </c>
      <c r="F26" s="40" t="s">
        <v>1853</v>
      </c>
      <c r="G26" s="78">
        <v>1549724.6118197916</v>
      </c>
      <c r="H26" s="78">
        <v>476201.8865112867</v>
      </c>
      <c r="I26" s="80">
        <v>45096.0</v>
      </c>
      <c r="J26" s="80">
        <v>45125.0</v>
      </c>
      <c r="K26" s="79">
        <v>140171.34282302856</v>
      </c>
      <c r="L26" s="81" t="s">
        <v>46</v>
      </c>
      <c r="M26" s="81" t="s">
        <v>114</v>
      </c>
      <c r="N26" s="61"/>
      <c r="O26" s="63"/>
      <c r="P26" s="63"/>
      <c r="Q26" s="63"/>
      <c r="R26" s="61" t="str">
        <f t="shared" si="1"/>
        <v>2023</v>
      </c>
      <c r="S26" s="62">
        <f t="shared" si="2"/>
        <v>7</v>
      </c>
      <c r="T26" s="61" t="str">
        <f t="shared" si="3"/>
        <v>2023-Q3</v>
      </c>
      <c r="U26" s="63" t="str">
        <f t="shared" si="4"/>
        <v>2023-07</v>
      </c>
      <c r="V26" s="64" t="str">
        <f t="shared" si="5"/>
        <v>2023-H2</v>
      </c>
      <c r="W26" s="32"/>
      <c r="X26" s="32"/>
    </row>
    <row r="27">
      <c r="A27" s="77">
        <f>HYPERLINK("https://polkadot.subsquare.io/referenda/25", 25)</f>
        <v>25</v>
      </c>
      <c r="B27" s="40" t="s">
        <v>960</v>
      </c>
      <c r="C27" s="40" t="s">
        <v>1851</v>
      </c>
      <c r="D27" s="78">
        <v>382.7</v>
      </c>
      <c r="E27" s="79">
        <v>1848.6813043117522</v>
      </c>
      <c r="F27" s="40" t="s">
        <v>1869</v>
      </c>
      <c r="G27" s="78">
        <v>1999230.0560329945</v>
      </c>
      <c r="H27" s="78">
        <v>322967.6608</v>
      </c>
      <c r="I27" s="80">
        <v>45097.0</v>
      </c>
      <c r="J27" s="80">
        <v>45103.0</v>
      </c>
      <c r="K27" s="79">
        <v>1868.7286227226257</v>
      </c>
      <c r="L27" s="70" t="s">
        <v>49</v>
      </c>
      <c r="M27" s="70" t="s">
        <v>108</v>
      </c>
      <c r="N27" s="61"/>
      <c r="O27" s="63"/>
      <c r="P27" s="63"/>
      <c r="Q27" s="63"/>
      <c r="R27" s="61" t="str">
        <f t="shared" si="1"/>
        <v>2023</v>
      </c>
      <c r="S27" s="62">
        <f t="shared" si="2"/>
        <v>6</v>
      </c>
      <c r="T27" s="61" t="str">
        <f t="shared" si="3"/>
        <v>2023-Q2</v>
      </c>
      <c r="U27" s="63" t="str">
        <f t="shared" si="4"/>
        <v>2023-06</v>
      </c>
      <c r="V27" s="64" t="str">
        <f t="shared" si="5"/>
        <v>2023-H1</v>
      </c>
      <c r="W27" s="32"/>
      <c r="X27" s="32"/>
    </row>
    <row r="28">
      <c r="A28" s="77">
        <f>HYPERLINK("https://polkadot.subsquare.io/referenda/26", 26)</f>
        <v>26</v>
      </c>
      <c r="B28" s="40" t="s">
        <v>961</v>
      </c>
      <c r="C28" s="40" t="s">
        <v>1851</v>
      </c>
      <c r="D28" s="78">
        <v>500.0</v>
      </c>
      <c r="E28" s="79">
        <v>2415.313959121704</v>
      </c>
      <c r="F28" s="40" t="s">
        <v>1869</v>
      </c>
      <c r="G28" s="78">
        <v>1972241.1905529392</v>
      </c>
      <c r="H28" s="78">
        <v>344405.6556</v>
      </c>
      <c r="I28" s="80">
        <v>45097.0</v>
      </c>
      <c r="J28" s="80">
        <v>45103.0</v>
      </c>
      <c r="K28" s="79">
        <v>2493.1304454803467</v>
      </c>
      <c r="L28" s="81" t="s">
        <v>49</v>
      </c>
      <c r="M28" s="81" t="s">
        <v>108</v>
      </c>
      <c r="N28" s="61"/>
      <c r="O28" s="63"/>
      <c r="P28" s="63"/>
      <c r="Q28" s="63"/>
      <c r="R28" s="61" t="str">
        <f t="shared" si="1"/>
        <v>2023</v>
      </c>
      <c r="S28" s="62">
        <f t="shared" si="2"/>
        <v>6</v>
      </c>
      <c r="T28" s="61" t="str">
        <f t="shared" si="3"/>
        <v>2023-Q2</v>
      </c>
      <c r="U28" s="63" t="str">
        <f t="shared" si="4"/>
        <v>2023-06</v>
      </c>
      <c r="V28" s="64" t="str">
        <f t="shared" si="5"/>
        <v>2023-H1</v>
      </c>
      <c r="W28" s="32"/>
      <c r="X28" s="32"/>
    </row>
    <row r="29">
      <c r="A29" s="77">
        <f>HYPERLINK("https://polkadot.subsquare.io/referenda/27", 27)</f>
        <v>27</v>
      </c>
      <c r="B29" s="40" t="s">
        <v>962</v>
      </c>
      <c r="C29" s="40" t="s">
        <v>1851</v>
      </c>
      <c r="D29" s="78">
        <v>500.0</v>
      </c>
      <c r="E29" s="79">
        <v>2415.313959121704</v>
      </c>
      <c r="F29" s="40" t="s">
        <v>1869</v>
      </c>
      <c r="G29" s="78">
        <v>1824897.4281974696</v>
      </c>
      <c r="H29" s="78">
        <v>322553.7556</v>
      </c>
      <c r="I29" s="80">
        <v>45097.0</v>
      </c>
      <c r="J29" s="80">
        <v>45103.0</v>
      </c>
      <c r="K29" s="79">
        <v>2493.1304454803467</v>
      </c>
      <c r="L29" s="70" t="s">
        <v>49</v>
      </c>
      <c r="M29" s="70" t="s">
        <v>108</v>
      </c>
      <c r="N29" s="61"/>
      <c r="O29" s="63"/>
      <c r="P29" s="63"/>
      <c r="Q29" s="63"/>
      <c r="R29" s="61" t="str">
        <f t="shared" si="1"/>
        <v>2023</v>
      </c>
      <c r="S29" s="62">
        <f t="shared" si="2"/>
        <v>6</v>
      </c>
      <c r="T29" s="61" t="str">
        <f t="shared" si="3"/>
        <v>2023-Q2</v>
      </c>
      <c r="U29" s="63" t="str">
        <f t="shared" si="4"/>
        <v>2023-06</v>
      </c>
      <c r="V29" s="64" t="str">
        <f t="shared" si="5"/>
        <v>2023-H1</v>
      </c>
      <c r="W29" s="32"/>
      <c r="X29" s="32"/>
    </row>
    <row r="30">
      <c r="A30" s="77">
        <f>HYPERLINK("https://polkadot.subsquare.io/referenda/28", 28)</f>
        <v>28</v>
      </c>
      <c r="B30" s="40" t="s">
        <v>963</v>
      </c>
      <c r="C30" s="40" t="s">
        <v>1851</v>
      </c>
      <c r="D30" s="78">
        <v>500.0</v>
      </c>
      <c r="E30" s="79">
        <v>2550.107479095459</v>
      </c>
      <c r="F30" s="40" t="s">
        <v>1869</v>
      </c>
      <c r="G30" s="78">
        <v>1832886.2950795456</v>
      </c>
      <c r="H30" s="78">
        <v>379790.9589303516</v>
      </c>
      <c r="I30" s="80">
        <v>45097.0</v>
      </c>
      <c r="J30" s="80">
        <v>45103.0</v>
      </c>
      <c r="K30" s="79">
        <v>2493.1304454803467</v>
      </c>
      <c r="L30" s="81" t="s">
        <v>49</v>
      </c>
      <c r="M30" s="81" t="s">
        <v>108</v>
      </c>
      <c r="N30" s="61"/>
      <c r="O30" s="63"/>
      <c r="P30" s="63"/>
      <c r="Q30" s="63"/>
      <c r="R30" s="61" t="str">
        <f t="shared" si="1"/>
        <v>2023</v>
      </c>
      <c r="S30" s="62">
        <f t="shared" si="2"/>
        <v>6</v>
      </c>
      <c r="T30" s="61" t="str">
        <f t="shared" si="3"/>
        <v>2023-Q2</v>
      </c>
      <c r="U30" s="63" t="str">
        <f t="shared" si="4"/>
        <v>2023-06</v>
      </c>
      <c r="V30" s="64" t="str">
        <f t="shared" si="5"/>
        <v>2023-H1</v>
      </c>
      <c r="W30" s="32"/>
      <c r="X30" s="32"/>
    </row>
    <row r="31">
      <c r="A31" s="77">
        <f>HYPERLINK("https://polkadot.subsquare.io/referenda/29", 29)</f>
        <v>29</v>
      </c>
      <c r="B31" s="40" t="s">
        <v>1870</v>
      </c>
      <c r="C31" s="40" t="s">
        <v>1846</v>
      </c>
      <c r="D31" s="78">
        <v>38249.0</v>
      </c>
      <c r="E31" s="79">
        <v>195078.12193584442</v>
      </c>
      <c r="F31" s="40" t="s">
        <v>1853</v>
      </c>
      <c r="G31" s="78">
        <v>5716836.764256967</v>
      </c>
      <c r="H31" s="78">
        <v>8474908.448823085</v>
      </c>
      <c r="I31" s="80">
        <v>45097.0</v>
      </c>
      <c r="J31" s="80">
        <v>45125.0</v>
      </c>
      <c r="K31" s="79">
        <v>209979.77878189087</v>
      </c>
      <c r="L31" s="70" t="s">
        <v>90</v>
      </c>
      <c r="M31" s="70" t="s">
        <v>90</v>
      </c>
      <c r="N31" s="61"/>
      <c r="O31" s="63"/>
      <c r="P31" s="63"/>
      <c r="Q31" s="63"/>
      <c r="R31" s="61" t="str">
        <f t="shared" si="1"/>
        <v>2023</v>
      </c>
      <c r="S31" s="62">
        <f t="shared" si="2"/>
        <v>7</v>
      </c>
      <c r="T31" s="61" t="str">
        <f t="shared" si="3"/>
        <v>2023-Q3</v>
      </c>
      <c r="U31" s="63" t="str">
        <f t="shared" si="4"/>
        <v>2023-07</v>
      </c>
      <c r="V31" s="64" t="str">
        <f t="shared" si="5"/>
        <v>2023-H2</v>
      </c>
      <c r="W31" s="32"/>
      <c r="X31" s="32"/>
    </row>
    <row r="32">
      <c r="A32" s="77">
        <f>HYPERLINK("https://polkadot.subsquare.io/referenda/30", 30)</f>
        <v>30</v>
      </c>
      <c r="B32" s="40" t="s">
        <v>1871</v>
      </c>
      <c r="C32" s="40" t="s">
        <v>1846</v>
      </c>
      <c r="D32" s="78">
        <v>146628.0</v>
      </c>
      <c r="E32" s="79">
        <v>747834.3188896179</v>
      </c>
      <c r="F32" s="40" t="s">
        <v>1855</v>
      </c>
      <c r="G32" s="78">
        <v>2027584.2021437099</v>
      </c>
      <c r="H32" s="78">
        <v>8053184.338945685</v>
      </c>
      <c r="I32" s="80">
        <v>45097.0</v>
      </c>
      <c r="J32" s="80">
        <v>45126.0</v>
      </c>
      <c r="K32" s="79">
        <v>804959.9990386963</v>
      </c>
      <c r="L32" s="81" t="s">
        <v>90</v>
      </c>
      <c r="M32" s="81" t="s">
        <v>90</v>
      </c>
      <c r="N32" s="61"/>
      <c r="O32" s="63"/>
      <c r="P32" s="63"/>
      <c r="Q32" s="63"/>
      <c r="R32" s="61" t="str">
        <f t="shared" si="1"/>
        <v>2023</v>
      </c>
      <c r="S32" s="62">
        <f t="shared" si="2"/>
        <v>7</v>
      </c>
      <c r="T32" s="61" t="str">
        <f t="shared" si="3"/>
        <v>2023-Q3</v>
      </c>
      <c r="U32" s="63" t="str">
        <f t="shared" si="4"/>
        <v>2023-07</v>
      </c>
      <c r="V32" s="64" t="str">
        <f t="shared" si="5"/>
        <v>2023-H2</v>
      </c>
      <c r="W32" s="32"/>
      <c r="X32" s="32"/>
    </row>
    <row r="33">
      <c r="A33" s="77">
        <f>HYPERLINK("https://polkadot.subsquare.io/referenda/31", 31)</f>
        <v>31</v>
      </c>
      <c r="B33" s="40" t="s">
        <v>964</v>
      </c>
      <c r="C33" s="40" t="s">
        <v>1851</v>
      </c>
      <c r="D33" s="78">
        <v>500.0</v>
      </c>
      <c r="E33" s="79">
        <v>2550.107479095459</v>
      </c>
      <c r="F33" s="40" t="s">
        <v>1869</v>
      </c>
      <c r="G33" s="78">
        <v>1986121.7661197702</v>
      </c>
      <c r="H33" s="78">
        <v>373221.6924692313</v>
      </c>
      <c r="I33" s="80">
        <v>45098.0</v>
      </c>
      <c r="J33" s="80">
        <v>45104.0</v>
      </c>
      <c r="K33" s="79">
        <v>2493.1304454803467</v>
      </c>
      <c r="L33" s="70" t="s">
        <v>49</v>
      </c>
      <c r="M33" s="70" t="s">
        <v>108</v>
      </c>
      <c r="N33" s="61"/>
      <c r="O33" s="63"/>
      <c r="P33" s="63"/>
      <c r="Q33" s="63"/>
      <c r="R33" s="61" t="str">
        <f t="shared" si="1"/>
        <v>2023</v>
      </c>
      <c r="S33" s="62">
        <f t="shared" si="2"/>
        <v>6</v>
      </c>
      <c r="T33" s="61" t="str">
        <f t="shared" si="3"/>
        <v>2023-Q2</v>
      </c>
      <c r="U33" s="63" t="str">
        <f t="shared" si="4"/>
        <v>2023-06</v>
      </c>
      <c r="V33" s="64" t="str">
        <f t="shared" si="5"/>
        <v>2023-H1</v>
      </c>
      <c r="W33" s="32"/>
      <c r="X33" s="32"/>
    </row>
    <row r="34">
      <c r="A34" s="77">
        <f>HYPERLINK("https://polkadot.subsquare.io/referenda/32", 32)</f>
        <v>32</v>
      </c>
      <c r="B34" s="40" t="s">
        <v>965</v>
      </c>
      <c r="C34" s="40" t="s">
        <v>1851</v>
      </c>
      <c r="D34" s="78">
        <v>11730.685</v>
      </c>
      <c r="E34" s="79">
        <v>59829.01510682583</v>
      </c>
      <c r="F34" s="40" t="s">
        <v>1853</v>
      </c>
      <c r="G34" s="78">
        <v>1421644.9241235747</v>
      </c>
      <c r="H34" s="78">
        <v>673386.802499875</v>
      </c>
      <c r="I34" s="80">
        <v>45098.0</v>
      </c>
      <c r="J34" s="80">
        <v>45126.0</v>
      </c>
      <c r="K34" s="79">
        <v>64399.2428889656</v>
      </c>
      <c r="L34" s="82" t="s">
        <v>48</v>
      </c>
      <c r="M34" s="81" t="s">
        <v>131</v>
      </c>
      <c r="N34" s="61"/>
      <c r="O34" s="63"/>
      <c r="P34" s="63"/>
      <c r="Q34" s="63"/>
      <c r="R34" s="61" t="str">
        <f t="shared" si="1"/>
        <v>2023</v>
      </c>
      <c r="S34" s="62">
        <f t="shared" si="2"/>
        <v>7</v>
      </c>
      <c r="T34" s="61" t="str">
        <f t="shared" si="3"/>
        <v>2023-Q3</v>
      </c>
      <c r="U34" s="63" t="str">
        <f t="shared" si="4"/>
        <v>2023-07</v>
      </c>
      <c r="V34" s="64" t="str">
        <f t="shared" si="5"/>
        <v>2023-H2</v>
      </c>
      <c r="W34" s="32"/>
      <c r="X34" s="32"/>
    </row>
    <row r="35">
      <c r="A35" s="77">
        <f>HYPERLINK("https://polkadot.subsquare.io/referenda/33", 33)</f>
        <v>33</v>
      </c>
      <c r="B35" s="40" t="s">
        <v>1872</v>
      </c>
      <c r="C35" s="40" t="s">
        <v>1846</v>
      </c>
      <c r="D35" s="78">
        <v>99672.0</v>
      </c>
      <c r="E35" s="79">
        <v>508348.6253128052</v>
      </c>
      <c r="F35" s="40" t="s">
        <v>1853</v>
      </c>
      <c r="G35" s="78">
        <v>2264937.4916216643</v>
      </c>
      <c r="H35" s="78">
        <v>5921508.980960048</v>
      </c>
      <c r="I35" s="80">
        <v>45098.0</v>
      </c>
      <c r="J35" s="80">
        <v>45126.0</v>
      </c>
      <c r="K35" s="79">
        <v>529103.0425643921</v>
      </c>
      <c r="L35" s="70" t="s">
        <v>90</v>
      </c>
      <c r="M35" s="70" t="s">
        <v>90</v>
      </c>
      <c r="N35" s="61"/>
      <c r="O35" s="63"/>
      <c r="P35" s="63"/>
      <c r="Q35" s="63"/>
      <c r="R35" s="61" t="str">
        <f t="shared" si="1"/>
        <v>2023</v>
      </c>
      <c r="S35" s="62">
        <f t="shared" si="2"/>
        <v>7</v>
      </c>
      <c r="T35" s="61" t="str">
        <f t="shared" si="3"/>
        <v>2023-Q3</v>
      </c>
      <c r="U35" s="63" t="str">
        <f t="shared" si="4"/>
        <v>2023-07</v>
      </c>
      <c r="V35" s="64" t="str">
        <f t="shared" si="5"/>
        <v>2023-H2</v>
      </c>
      <c r="W35" s="32"/>
      <c r="X35" s="32"/>
    </row>
    <row r="36">
      <c r="A36" s="77">
        <f>HYPERLINK("https://polkadot.subsquare.io/referenda/34", 34)</f>
        <v>34</v>
      </c>
      <c r="B36" s="40" t="s">
        <v>1873</v>
      </c>
      <c r="C36" s="40" t="s">
        <v>1846</v>
      </c>
      <c r="D36" s="78">
        <v>19256.0</v>
      </c>
      <c r="E36" s="79">
        <v>96423.39492416382</v>
      </c>
      <c r="F36" s="40" t="s">
        <v>1853</v>
      </c>
      <c r="G36" s="78">
        <v>2946712.004114563</v>
      </c>
      <c r="H36" s="78">
        <v>3816011.5749859964</v>
      </c>
      <c r="I36" s="80">
        <v>45098.0</v>
      </c>
      <c r="J36" s="80">
        <v>45129.0</v>
      </c>
      <c r="K36" s="79">
        <v>100430.40020751953</v>
      </c>
      <c r="L36" s="81" t="s">
        <v>90</v>
      </c>
      <c r="M36" s="81" t="s">
        <v>90</v>
      </c>
      <c r="N36" s="61"/>
      <c r="O36" s="63"/>
      <c r="P36" s="63"/>
      <c r="Q36" s="63"/>
      <c r="R36" s="61" t="str">
        <f t="shared" si="1"/>
        <v>2023</v>
      </c>
      <c r="S36" s="62">
        <f t="shared" si="2"/>
        <v>7</v>
      </c>
      <c r="T36" s="61" t="str">
        <f t="shared" si="3"/>
        <v>2023-Q3</v>
      </c>
      <c r="U36" s="63" t="str">
        <f t="shared" si="4"/>
        <v>2023-07</v>
      </c>
      <c r="V36" s="64" t="str">
        <f t="shared" si="5"/>
        <v>2023-H2</v>
      </c>
      <c r="W36" s="32"/>
      <c r="X36" s="32"/>
    </row>
    <row r="37">
      <c r="A37" s="77">
        <f>HYPERLINK("https://polkadot.subsquare.io/referenda/35", 35)</f>
        <v>35</v>
      </c>
      <c r="B37" s="40" t="s">
        <v>966</v>
      </c>
      <c r="C37" s="40" t="s">
        <v>1851</v>
      </c>
      <c r="D37" s="78">
        <v>14746.0</v>
      </c>
      <c r="E37" s="79">
        <v>73839.81000995636</v>
      </c>
      <c r="F37" s="40" t="s">
        <v>1853</v>
      </c>
      <c r="G37" s="78">
        <v>3627633.1003135424</v>
      </c>
      <c r="H37" s="78">
        <v>3520391.387092367</v>
      </c>
      <c r="I37" s="80">
        <v>45098.0</v>
      </c>
      <c r="J37" s="80">
        <v>45127.0</v>
      </c>
      <c r="K37" s="79">
        <v>79593.99656677246</v>
      </c>
      <c r="L37" s="70" t="s">
        <v>81</v>
      </c>
      <c r="M37" s="70" t="s">
        <v>89</v>
      </c>
      <c r="N37" s="61"/>
      <c r="O37" s="63"/>
      <c r="P37" s="63"/>
      <c r="Q37" s="63"/>
      <c r="R37" s="61" t="str">
        <f t="shared" si="1"/>
        <v>2023</v>
      </c>
      <c r="S37" s="62">
        <f t="shared" si="2"/>
        <v>7</v>
      </c>
      <c r="T37" s="61" t="str">
        <f t="shared" si="3"/>
        <v>2023-Q3</v>
      </c>
      <c r="U37" s="63" t="str">
        <f t="shared" si="4"/>
        <v>2023-07</v>
      </c>
      <c r="V37" s="64" t="str">
        <f t="shared" si="5"/>
        <v>2023-H2</v>
      </c>
      <c r="W37" s="32"/>
      <c r="X37" s="32"/>
    </row>
    <row r="38">
      <c r="A38" s="77">
        <f>HYPERLINK("https://polkadot.subsquare.io/referenda/36", 36)</f>
        <v>36</v>
      </c>
      <c r="B38" s="40" t="s">
        <v>967</v>
      </c>
      <c r="C38" s="40" t="s">
        <v>1851</v>
      </c>
      <c r="D38" s="78">
        <v>69786.0</v>
      </c>
      <c r="E38" s="79">
        <v>362524.6718673706</v>
      </c>
      <c r="F38" s="40" t="s">
        <v>1853</v>
      </c>
      <c r="G38" s="78">
        <v>1312361.345130413</v>
      </c>
      <c r="H38" s="78">
        <v>1191227.811113608</v>
      </c>
      <c r="I38" s="80">
        <v>45099.0</v>
      </c>
      <c r="J38" s="80">
        <v>45127.0</v>
      </c>
      <c r="K38" s="79">
        <v>376681.58445739746</v>
      </c>
      <c r="L38" s="82" t="s">
        <v>48</v>
      </c>
      <c r="M38" s="81" t="s">
        <v>131</v>
      </c>
      <c r="N38" s="61"/>
      <c r="O38" s="63"/>
      <c r="P38" s="63"/>
      <c r="Q38" s="63"/>
      <c r="R38" s="61" t="str">
        <f t="shared" si="1"/>
        <v>2023</v>
      </c>
      <c r="S38" s="62">
        <f t="shared" si="2"/>
        <v>7</v>
      </c>
      <c r="T38" s="61" t="str">
        <f t="shared" si="3"/>
        <v>2023-Q3</v>
      </c>
      <c r="U38" s="63" t="str">
        <f t="shared" si="4"/>
        <v>2023-07</v>
      </c>
      <c r="V38" s="64" t="str">
        <f t="shared" si="5"/>
        <v>2023-H2</v>
      </c>
      <c r="W38" s="32"/>
      <c r="X38" s="32"/>
    </row>
    <row r="39">
      <c r="A39" s="77">
        <f>HYPERLINK("https://polkadot.subsquare.io/referenda/37", 37)</f>
        <v>37</v>
      </c>
      <c r="B39" s="40" t="s">
        <v>968</v>
      </c>
      <c r="C39" s="40" t="s">
        <v>1851</v>
      </c>
      <c r="D39" s="78">
        <v>932.45</v>
      </c>
      <c r="E39" s="79">
        <v>4843.896057701111</v>
      </c>
      <c r="F39" s="40" t="s">
        <v>1869</v>
      </c>
      <c r="G39" s="78">
        <v>1184379.4564274505</v>
      </c>
      <c r="H39" s="78">
        <v>624726.6057113309</v>
      </c>
      <c r="I39" s="80">
        <v>45099.0</v>
      </c>
      <c r="J39" s="80">
        <v>45105.0</v>
      </c>
      <c r="K39" s="79">
        <v>4988.37175886631</v>
      </c>
      <c r="L39" s="70" t="s">
        <v>81</v>
      </c>
      <c r="M39" s="70" t="s">
        <v>89</v>
      </c>
      <c r="N39" s="61"/>
      <c r="O39" s="63"/>
      <c r="P39" s="63"/>
      <c r="Q39" s="63"/>
      <c r="R39" s="61" t="str">
        <f t="shared" si="1"/>
        <v>2023</v>
      </c>
      <c r="S39" s="62">
        <f t="shared" si="2"/>
        <v>6</v>
      </c>
      <c r="T39" s="61" t="str">
        <f t="shared" si="3"/>
        <v>2023-Q2</v>
      </c>
      <c r="U39" s="63" t="str">
        <f t="shared" si="4"/>
        <v>2023-06</v>
      </c>
      <c r="V39" s="64" t="str">
        <f t="shared" si="5"/>
        <v>2023-H1</v>
      </c>
      <c r="W39" s="32"/>
      <c r="X39" s="32"/>
    </row>
    <row r="40">
      <c r="A40" s="77">
        <f>HYPERLINK("https://polkadot.subsquare.io/referenda/38", 38)</f>
        <v>38</v>
      </c>
      <c r="B40" s="40" t="s">
        <v>1874</v>
      </c>
      <c r="C40" s="40" t="s">
        <v>1846</v>
      </c>
      <c r="D40" s="78">
        <v>120.0</v>
      </c>
      <c r="E40" s="79">
        <v>623.3766174316406</v>
      </c>
      <c r="F40" s="40" t="s">
        <v>982</v>
      </c>
      <c r="G40" s="78">
        <v>95326.1830414097</v>
      </c>
      <c r="H40" s="78">
        <v>801640.4259086589</v>
      </c>
      <c r="I40" s="80">
        <v>45099.0</v>
      </c>
      <c r="J40" s="80">
        <v>45106.0</v>
      </c>
      <c r="K40" s="79">
        <v>660.2297973632812</v>
      </c>
      <c r="L40" s="81" t="s">
        <v>90</v>
      </c>
      <c r="M40" s="81" t="s">
        <v>90</v>
      </c>
      <c r="N40" s="61"/>
      <c r="O40" s="63"/>
      <c r="P40" s="63"/>
      <c r="Q40" s="63"/>
      <c r="R40" s="61" t="str">
        <f t="shared" si="1"/>
        <v>2023</v>
      </c>
      <c r="S40" s="62">
        <f t="shared" si="2"/>
        <v>6</v>
      </c>
      <c r="T40" s="61" t="str">
        <f t="shared" si="3"/>
        <v>2023-Q2</v>
      </c>
      <c r="U40" s="63" t="str">
        <f t="shared" si="4"/>
        <v>2023-06</v>
      </c>
      <c r="V40" s="64" t="str">
        <f t="shared" si="5"/>
        <v>2023-H1</v>
      </c>
      <c r="W40" s="32"/>
      <c r="X40" s="32"/>
    </row>
    <row r="41">
      <c r="A41" s="77">
        <f>HYPERLINK("https://polkadot.subsquare.io/referenda/39", 39)</f>
        <v>39</v>
      </c>
      <c r="B41" s="40" t="s">
        <v>1875</v>
      </c>
      <c r="C41" s="40" t="s">
        <v>1861</v>
      </c>
      <c r="D41" s="78">
        <v>0.0</v>
      </c>
      <c r="E41" s="79">
        <v>0.0</v>
      </c>
      <c r="F41" s="40" t="s">
        <v>1852</v>
      </c>
      <c r="G41" s="78">
        <v>1926512.2894038626</v>
      </c>
      <c r="H41" s="78">
        <v>634605.3660649953</v>
      </c>
      <c r="I41" s="80">
        <v>45100.0</v>
      </c>
      <c r="J41" s="80">
        <v>45114.0</v>
      </c>
      <c r="K41" s="79">
        <v>0.0</v>
      </c>
      <c r="L41" s="70" t="s">
        <v>90</v>
      </c>
      <c r="M41" s="70" t="s">
        <v>90</v>
      </c>
      <c r="N41" s="61"/>
      <c r="O41" s="63"/>
      <c r="P41" s="63"/>
      <c r="Q41" s="63"/>
      <c r="R41" s="61" t="str">
        <f t="shared" si="1"/>
        <v>2023</v>
      </c>
      <c r="S41" s="62">
        <f t="shared" si="2"/>
        <v>7</v>
      </c>
      <c r="T41" s="61" t="str">
        <f t="shared" si="3"/>
        <v>2023-Q3</v>
      </c>
      <c r="U41" s="63" t="str">
        <f t="shared" si="4"/>
        <v>2023-07</v>
      </c>
      <c r="V41" s="64" t="str">
        <f t="shared" si="5"/>
        <v>2023-H2</v>
      </c>
      <c r="W41" s="32"/>
      <c r="X41" s="32"/>
    </row>
    <row r="42">
      <c r="A42" s="77">
        <f>HYPERLINK("https://polkadot.subsquare.io/referenda/40", 40)</f>
        <v>40</v>
      </c>
      <c r="B42" s="40" t="s">
        <v>1876</v>
      </c>
      <c r="C42" s="40" t="s">
        <v>1846</v>
      </c>
      <c r="D42" s="78">
        <v>4246.19</v>
      </c>
      <c r="E42" s="79">
        <v>21344.45496540546</v>
      </c>
      <c r="F42" s="40" t="s">
        <v>1848</v>
      </c>
      <c r="G42" s="78">
        <v>535586.4422059607</v>
      </c>
      <c r="H42" s="78">
        <v>2596306.643848169</v>
      </c>
      <c r="I42" s="80">
        <v>45101.0</v>
      </c>
      <c r="J42" s="80">
        <v>45129.0</v>
      </c>
      <c r="K42" s="79">
        <v>22146.16540596008</v>
      </c>
      <c r="L42" s="81" t="s">
        <v>90</v>
      </c>
      <c r="M42" s="81" t="s">
        <v>90</v>
      </c>
      <c r="N42" s="61"/>
      <c r="O42" s="63"/>
      <c r="P42" s="63"/>
      <c r="Q42" s="63"/>
      <c r="R42" s="61" t="str">
        <f t="shared" si="1"/>
        <v>2023</v>
      </c>
      <c r="S42" s="62">
        <f t="shared" si="2"/>
        <v>7</v>
      </c>
      <c r="T42" s="61" t="str">
        <f t="shared" si="3"/>
        <v>2023-Q3</v>
      </c>
      <c r="U42" s="63" t="str">
        <f t="shared" si="4"/>
        <v>2023-07</v>
      </c>
      <c r="V42" s="64" t="str">
        <f t="shared" si="5"/>
        <v>2023-H2</v>
      </c>
      <c r="W42" s="32"/>
      <c r="X42" s="32"/>
    </row>
    <row r="43">
      <c r="A43" s="77">
        <f>HYPERLINK("https://polkadot.subsquare.io/referenda/41", 41)</f>
        <v>41</v>
      </c>
      <c r="B43" s="40" t="s">
        <v>1877</v>
      </c>
      <c r="C43" s="40" t="s">
        <v>1846</v>
      </c>
      <c r="D43" s="78">
        <v>72916.6667</v>
      </c>
      <c r="E43" s="79">
        <v>366532.4699567448</v>
      </c>
      <c r="F43" s="40" t="s">
        <v>1853</v>
      </c>
      <c r="G43" s="78">
        <v>578479.153888036</v>
      </c>
      <c r="H43" s="78">
        <v>1962082.5150987648</v>
      </c>
      <c r="I43" s="80">
        <v>45101.0</v>
      </c>
      <c r="J43" s="80">
        <v>45130.0</v>
      </c>
      <c r="K43" s="79">
        <v>377451.9663787822</v>
      </c>
      <c r="L43" s="70" t="s">
        <v>90</v>
      </c>
      <c r="M43" s="70" t="s">
        <v>90</v>
      </c>
      <c r="N43" s="61"/>
      <c r="O43" s="63"/>
      <c r="P43" s="63"/>
      <c r="Q43" s="63"/>
      <c r="R43" s="61" t="str">
        <f t="shared" si="1"/>
        <v>2023</v>
      </c>
      <c r="S43" s="62">
        <f t="shared" si="2"/>
        <v>7</v>
      </c>
      <c r="T43" s="61" t="str">
        <f t="shared" si="3"/>
        <v>2023-Q3</v>
      </c>
      <c r="U43" s="63" t="str">
        <f t="shared" si="4"/>
        <v>2023-07</v>
      </c>
      <c r="V43" s="64" t="str">
        <f t="shared" si="5"/>
        <v>2023-H2</v>
      </c>
      <c r="W43" s="32"/>
      <c r="X43" s="32"/>
    </row>
    <row r="44">
      <c r="A44" s="77">
        <f>HYPERLINK("https://polkadot.subsquare.io/referenda/42", 42)</f>
        <v>42</v>
      </c>
      <c r="B44" s="40" t="s">
        <v>1878</v>
      </c>
      <c r="C44" s="40" t="s">
        <v>1846</v>
      </c>
      <c r="D44" s="78">
        <v>0.0</v>
      </c>
      <c r="E44" s="79">
        <v>0.0</v>
      </c>
      <c r="F44" s="40" t="s">
        <v>1853</v>
      </c>
      <c r="G44" s="78">
        <v>22100.0</v>
      </c>
      <c r="H44" s="78">
        <v>3480490.0550859645</v>
      </c>
      <c r="I44" s="80">
        <v>45101.0</v>
      </c>
      <c r="J44" s="80">
        <v>45129.0</v>
      </c>
      <c r="K44" s="79">
        <v>0.0</v>
      </c>
      <c r="L44" s="81" t="s">
        <v>90</v>
      </c>
      <c r="M44" s="81" t="s">
        <v>90</v>
      </c>
      <c r="N44" s="61"/>
      <c r="O44" s="63"/>
      <c r="P44" s="63"/>
      <c r="Q44" s="63"/>
      <c r="R44" s="61" t="str">
        <f t="shared" si="1"/>
        <v>2023</v>
      </c>
      <c r="S44" s="62">
        <f t="shared" si="2"/>
        <v>7</v>
      </c>
      <c r="T44" s="61" t="str">
        <f t="shared" si="3"/>
        <v>2023-Q3</v>
      </c>
      <c r="U44" s="63" t="str">
        <f t="shared" si="4"/>
        <v>2023-07</v>
      </c>
      <c r="V44" s="64" t="str">
        <f t="shared" si="5"/>
        <v>2023-H2</v>
      </c>
      <c r="W44" s="32"/>
      <c r="X44" s="32"/>
    </row>
    <row r="45">
      <c r="A45" s="77">
        <f>HYPERLINK("https://polkadot.subsquare.io/referenda/43", 43)</f>
        <v>43</v>
      </c>
      <c r="B45" s="40" t="s">
        <v>969</v>
      </c>
      <c r="C45" s="40" t="s">
        <v>1851</v>
      </c>
      <c r="D45" s="78">
        <v>35277.535</v>
      </c>
      <c r="E45" s="79">
        <v>177330.67929085018</v>
      </c>
      <c r="F45" s="40" t="s">
        <v>1853</v>
      </c>
      <c r="G45" s="78">
        <v>1736554.51924286</v>
      </c>
      <c r="H45" s="78">
        <v>1140892.1232540028</v>
      </c>
      <c r="I45" s="80">
        <v>45101.0</v>
      </c>
      <c r="J45" s="80">
        <v>45130.0</v>
      </c>
      <c r="K45" s="79">
        <v>182613.5992958975</v>
      </c>
      <c r="L45" s="83" t="s">
        <v>48</v>
      </c>
      <c r="M45" s="70" t="s">
        <v>131</v>
      </c>
      <c r="N45" s="61"/>
      <c r="O45" s="63"/>
      <c r="P45" s="63"/>
      <c r="Q45" s="63"/>
      <c r="R45" s="61" t="str">
        <f t="shared" si="1"/>
        <v>2023</v>
      </c>
      <c r="S45" s="62">
        <f t="shared" si="2"/>
        <v>7</v>
      </c>
      <c r="T45" s="61" t="str">
        <f t="shared" si="3"/>
        <v>2023-Q3</v>
      </c>
      <c r="U45" s="63" t="str">
        <f t="shared" si="4"/>
        <v>2023-07</v>
      </c>
      <c r="V45" s="64" t="str">
        <f t="shared" si="5"/>
        <v>2023-H2</v>
      </c>
      <c r="W45" s="32"/>
      <c r="X45" s="32"/>
    </row>
    <row r="46">
      <c r="A46" s="77">
        <f>HYPERLINK("https://polkadot.subsquare.io/referenda/44", 44)</f>
        <v>44</v>
      </c>
      <c r="B46" s="40" t="s">
        <v>970</v>
      </c>
      <c r="C46" s="40" t="s">
        <v>1851</v>
      </c>
      <c r="D46" s="78">
        <v>36538.0</v>
      </c>
      <c r="E46" s="79">
        <v>186192.67222309113</v>
      </c>
      <c r="F46" s="40" t="s">
        <v>1853</v>
      </c>
      <c r="G46" s="78">
        <v>3174849.7778280494</v>
      </c>
      <c r="H46" s="78">
        <v>81230.5637913073</v>
      </c>
      <c r="I46" s="80">
        <v>45101.0</v>
      </c>
      <c r="J46" s="80">
        <v>45130.0</v>
      </c>
      <c r="K46" s="79">
        <v>189138.3763370514</v>
      </c>
      <c r="L46" s="81" t="s">
        <v>49</v>
      </c>
      <c r="M46" s="81" t="s">
        <v>108</v>
      </c>
      <c r="N46" s="61"/>
      <c r="O46" s="63"/>
      <c r="P46" s="63"/>
      <c r="Q46" s="63"/>
      <c r="R46" s="61" t="str">
        <f t="shared" si="1"/>
        <v>2023</v>
      </c>
      <c r="S46" s="62">
        <f t="shared" si="2"/>
        <v>7</v>
      </c>
      <c r="T46" s="61" t="str">
        <f t="shared" si="3"/>
        <v>2023-Q3</v>
      </c>
      <c r="U46" s="63" t="str">
        <f t="shared" si="4"/>
        <v>2023-07</v>
      </c>
      <c r="V46" s="64" t="str">
        <f t="shared" si="5"/>
        <v>2023-H2</v>
      </c>
      <c r="W46" s="32"/>
      <c r="X46" s="32"/>
    </row>
    <row r="47">
      <c r="A47" s="77">
        <f>HYPERLINK("https://polkadot.subsquare.io/referenda/45", 45)</f>
        <v>45</v>
      </c>
      <c r="B47" s="40" t="s">
        <v>971</v>
      </c>
      <c r="C47" s="40" t="s">
        <v>1851</v>
      </c>
      <c r="D47" s="78">
        <v>4747.129</v>
      </c>
      <c r="E47" s="79">
        <v>24190.722915806295</v>
      </c>
      <c r="F47" s="40" t="s">
        <v>1848</v>
      </c>
      <c r="G47" s="78">
        <v>2881164.8922535484</v>
      </c>
      <c r="H47" s="78">
        <v>2749682.4816202084</v>
      </c>
      <c r="I47" s="80">
        <v>45101.0</v>
      </c>
      <c r="J47" s="80">
        <v>45131.0</v>
      </c>
      <c r="K47" s="79">
        <v>24864.872765654563</v>
      </c>
      <c r="L47" s="70" t="s">
        <v>49</v>
      </c>
      <c r="M47" s="70" t="s">
        <v>140</v>
      </c>
      <c r="N47" s="61"/>
      <c r="O47" s="63"/>
      <c r="P47" s="63"/>
      <c r="Q47" s="63"/>
      <c r="R47" s="61" t="str">
        <f t="shared" si="1"/>
        <v>2023</v>
      </c>
      <c r="S47" s="62">
        <f t="shared" si="2"/>
        <v>7</v>
      </c>
      <c r="T47" s="61" t="str">
        <f t="shared" si="3"/>
        <v>2023-Q3</v>
      </c>
      <c r="U47" s="63" t="str">
        <f t="shared" si="4"/>
        <v>2023-07</v>
      </c>
      <c r="V47" s="64" t="str">
        <f t="shared" si="5"/>
        <v>2023-H2</v>
      </c>
      <c r="W47" s="32"/>
      <c r="X47" s="32"/>
    </row>
    <row r="48">
      <c r="A48" s="77">
        <f>HYPERLINK("https://polkadot.subsquare.io/referenda/46", 46)</f>
        <v>46</v>
      </c>
      <c r="B48" s="40" t="s">
        <v>1879</v>
      </c>
      <c r="C48" s="40" t="s">
        <v>1846</v>
      </c>
      <c r="D48" s="78">
        <v>7915.0</v>
      </c>
      <c r="E48" s="79">
        <v>38649.0385389328</v>
      </c>
      <c r="F48" s="40" t="s">
        <v>1848</v>
      </c>
      <c r="G48" s="78">
        <v>258648.0611109425</v>
      </c>
      <c r="H48" s="78">
        <v>3502905.499998555</v>
      </c>
      <c r="I48" s="80">
        <v>45102.0</v>
      </c>
      <c r="J48" s="80">
        <v>45131.0</v>
      </c>
      <c r="K48" s="79">
        <v>41457.7880525589</v>
      </c>
      <c r="L48" s="81" t="s">
        <v>90</v>
      </c>
      <c r="M48" s="81" t="s">
        <v>90</v>
      </c>
      <c r="N48" s="61"/>
      <c r="O48" s="63"/>
      <c r="P48" s="63"/>
      <c r="Q48" s="63"/>
      <c r="R48" s="61" t="str">
        <f t="shared" si="1"/>
        <v>2023</v>
      </c>
      <c r="S48" s="62">
        <f t="shared" si="2"/>
        <v>7</v>
      </c>
      <c r="T48" s="61" t="str">
        <f t="shared" si="3"/>
        <v>2023-Q3</v>
      </c>
      <c r="U48" s="63" t="str">
        <f t="shared" si="4"/>
        <v>2023-07</v>
      </c>
      <c r="V48" s="64" t="str">
        <f t="shared" si="5"/>
        <v>2023-H2</v>
      </c>
      <c r="W48" s="32"/>
      <c r="X48" s="32"/>
    </row>
    <row r="49">
      <c r="A49" s="77">
        <f>HYPERLINK("https://polkadot.subsquare.io/referenda/47", 47)</f>
        <v>47</v>
      </c>
      <c r="B49" s="40" t="s">
        <v>1880</v>
      </c>
      <c r="C49" s="40" t="s">
        <v>1851</v>
      </c>
      <c r="D49" s="78">
        <v>0.0</v>
      </c>
      <c r="E49" s="79">
        <v>0.0</v>
      </c>
      <c r="F49" s="40" t="s">
        <v>1855</v>
      </c>
      <c r="G49" s="78">
        <v>1.1334665505857082E7</v>
      </c>
      <c r="H49" s="78">
        <v>3295244.2838937347</v>
      </c>
      <c r="I49" s="80">
        <v>45103.0</v>
      </c>
      <c r="J49" s="80">
        <v>45131.0</v>
      </c>
      <c r="K49" s="79">
        <v>0.0</v>
      </c>
      <c r="L49" s="70" t="s">
        <v>90</v>
      </c>
      <c r="M49" s="70" t="s">
        <v>90</v>
      </c>
      <c r="N49" s="61"/>
      <c r="O49" s="63" t="s">
        <v>1881</v>
      </c>
      <c r="P49" s="63"/>
      <c r="Q49" s="63"/>
      <c r="R49" s="61" t="str">
        <f t="shared" si="1"/>
        <v>2023</v>
      </c>
      <c r="S49" s="62">
        <f t="shared" si="2"/>
        <v>7</v>
      </c>
      <c r="T49" s="61" t="str">
        <f t="shared" si="3"/>
        <v>2023-Q3</v>
      </c>
      <c r="U49" s="63" t="str">
        <f t="shared" si="4"/>
        <v>2023-07</v>
      </c>
      <c r="V49" s="64" t="str">
        <f t="shared" si="5"/>
        <v>2023-H2</v>
      </c>
      <c r="W49" s="32"/>
      <c r="X49" s="32"/>
    </row>
    <row r="50">
      <c r="A50" s="77">
        <f>HYPERLINK("https://polkadot.subsquare.io/referenda/48", 48)</f>
        <v>48</v>
      </c>
      <c r="B50" s="40" t="s">
        <v>972</v>
      </c>
      <c r="C50" s="40" t="s">
        <v>1851</v>
      </c>
      <c r="D50" s="78">
        <v>100.0</v>
      </c>
      <c r="E50" s="79">
        <v>488.3011817932129</v>
      </c>
      <c r="F50" s="40" t="s">
        <v>982</v>
      </c>
      <c r="G50" s="78">
        <v>922871.0506156298</v>
      </c>
      <c r="H50" s="78">
        <v>102665.6052</v>
      </c>
      <c r="I50" s="80">
        <v>45103.0</v>
      </c>
      <c r="J50" s="80">
        <v>45108.0</v>
      </c>
      <c r="K50" s="79">
        <v>534.7219944000244</v>
      </c>
      <c r="L50" s="81" t="s">
        <v>49</v>
      </c>
      <c r="M50" s="81" t="s">
        <v>108</v>
      </c>
      <c r="N50" s="61"/>
      <c r="O50" s="63"/>
      <c r="P50" s="63"/>
      <c r="Q50" s="63"/>
      <c r="R50" s="61" t="str">
        <f t="shared" si="1"/>
        <v>2023</v>
      </c>
      <c r="S50" s="62">
        <f t="shared" si="2"/>
        <v>7</v>
      </c>
      <c r="T50" s="61" t="str">
        <f t="shared" si="3"/>
        <v>2023-Q3</v>
      </c>
      <c r="U50" s="63" t="str">
        <f t="shared" si="4"/>
        <v>2023-07</v>
      </c>
      <c r="V50" s="64" t="str">
        <f t="shared" si="5"/>
        <v>2023-H2</v>
      </c>
      <c r="W50" s="32"/>
      <c r="X50" s="32"/>
    </row>
    <row r="51">
      <c r="A51" s="77">
        <f>HYPERLINK("https://polkadot.subsquare.io/referenda/49", 49)</f>
        <v>49</v>
      </c>
      <c r="B51" s="40" t="s">
        <v>973</v>
      </c>
      <c r="C51" s="40" t="s">
        <v>1851</v>
      </c>
      <c r="D51" s="78">
        <v>1000.0</v>
      </c>
      <c r="E51" s="79">
        <v>4883.011817932129</v>
      </c>
      <c r="F51" s="40" t="s">
        <v>1869</v>
      </c>
      <c r="G51" s="78">
        <v>804877.8936606903</v>
      </c>
      <c r="H51" s="78">
        <v>108652.866</v>
      </c>
      <c r="I51" s="80">
        <v>45103.0</v>
      </c>
      <c r="J51" s="80">
        <v>45109.0</v>
      </c>
      <c r="K51" s="79">
        <v>5209.113121032715</v>
      </c>
      <c r="L51" s="70" t="s">
        <v>49</v>
      </c>
      <c r="M51" s="70" t="s">
        <v>108</v>
      </c>
      <c r="N51" s="61"/>
      <c r="O51" s="63"/>
      <c r="P51" s="63"/>
      <c r="Q51" s="63"/>
      <c r="R51" s="61" t="str">
        <f t="shared" si="1"/>
        <v>2023</v>
      </c>
      <c r="S51" s="62">
        <f t="shared" si="2"/>
        <v>7</v>
      </c>
      <c r="T51" s="61" t="str">
        <f t="shared" si="3"/>
        <v>2023-Q3</v>
      </c>
      <c r="U51" s="63" t="str">
        <f t="shared" si="4"/>
        <v>2023-07</v>
      </c>
      <c r="V51" s="64" t="str">
        <f t="shared" si="5"/>
        <v>2023-H2</v>
      </c>
      <c r="W51" s="32"/>
      <c r="X51" s="32"/>
    </row>
    <row r="52">
      <c r="A52" s="77">
        <f>HYPERLINK("https://polkadot.subsquare.io/referenda/50", 50)</f>
        <v>50</v>
      </c>
      <c r="B52" s="40" t="s">
        <v>1882</v>
      </c>
      <c r="C52" s="40" t="s">
        <v>1846</v>
      </c>
      <c r="D52" s="78">
        <v>250.0</v>
      </c>
      <c r="E52" s="79">
        <v>1246.5652227401733</v>
      </c>
      <c r="F52" s="40" t="s">
        <v>982</v>
      </c>
      <c r="G52" s="78">
        <v>397715.71</v>
      </c>
      <c r="H52" s="78">
        <v>789693.3307780197</v>
      </c>
      <c r="I52" s="80">
        <v>45103.0</v>
      </c>
      <c r="J52" s="80">
        <v>45110.0</v>
      </c>
      <c r="K52" s="79">
        <v>1256.5122842788696</v>
      </c>
      <c r="L52" s="81" t="s">
        <v>90</v>
      </c>
      <c r="M52" s="81" t="s">
        <v>90</v>
      </c>
      <c r="N52" s="61"/>
      <c r="O52" s="63"/>
      <c r="P52" s="63"/>
      <c r="Q52" s="63"/>
      <c r="R52" s="61" t="str">
        <f t="shared" si="1"/>
        <v>2023</v>
      </c>
      <c r="S52" s="62">
        <f t="shared" si="2"/>
        <v>7</v>
      </c>
      <c r="T52" s="61" t="str">
        <f t="shared" si="3"/>
        <v>2023-Q3</v>
      </c>
      <c r="U52" s="63" t="str">
        <f t="shared" si="4"/>
        <v>2023-07</v>
      </c>
      <c r="V52" s="64" t="str">
        <f t="shared" si="5"/>
        <v>2023-H2</v>
      </c>
      <c r="W52" s="32"/>
      <c r="X52" s="32"/>
    </row>
    <row r="53">
      <c r="A53" s="77">
        <f>HYPERLINK("https://polkadot.subsquare.io/referenda/51", 51)</f>
        <v>51</v>
      </c>
      <c r="B53" s="40" t="s">
        <v>1883</v>
      </c>
      <c r="C53" s="40" t="s">
        <v>1851</v>
      </c>
      <c r="D53" s="78">
        <v>0.0</v>
      </c>
      <c r="E53" s="79">
        <v>0.0</v>
      </c>
      <c r="F53" s="40" t="s">
        <v>1852</v>
      </c>
      <c r="G53" s="78">
        <v>6.2443324698371075E7</v>
      </c>
      <c r="H53" s="78">
        <v>100.0</v>
      </c>
      <c r="I53" s="80">
        <v>45106.0</v>
      </c>
      <c r="J53" s="80">
        <v>45130.0</v>
      </c>
      <c r="K53" s="79">
        <v>0.0</v>
      </c>
      <c r="L53" s="70" t="s">
        <v>90</v>
      </c>
      <c r="M53" s="70" t="s">
        <v>90</v>
      </c>
      <c r="N53" s="61"/>
      <c r="O53" s="63"/>
      <c r="P53" s="63"/>
      <c r="Q53" s="63"/>
      <c r="R53" s="61" t="str">
        <f t="shared" si="1"/>
        <v>2023</v>
      </c>
      <c r="S53" s="62">
        <f t="shared" si="2"/>
        <v>7</v>
      </c>
      <c r="T53" s="61" t="str">
        <f t="shared" si="3"/>
        <v>2023-Q3</v>
      </c>
      <c r="U53" s="63" t="str">
        <f t="shared" si="4"/>
        <v>2023-07</v>
      </c>
      <c r="V53" s="64" t="str">
        <f t="shared" si="5"/>
        <v>2023-H2</v>
      </c>
      <c r="W53" s="32"/>
      <c r="X53" s="32"/>
    </row>
    <row r="54">
      <c r="A54" s="77">
        <f>HYPERLINK("https://polkadot.subsquare.io/referenda/52", 52)</f>
        <v>52</v>
      </c>
      <c r="B54" s="40" t="s">
        <v>1884</v>
      </c>
      <c r="C54" s="40" t="s">
        <v>1846</v>
      </c>
      <c r="D54" s="78">
        <v>3956.0</v>
      </c>
      <c r="E54" s="79">
        <v>21765.575653076172</v>
      </c>
      <c r="F54" s="40" t="s">
        <v>1848</v>
      </c>
      <c r="G54" s="78">
        <v>495269.8360762875</v>
      </c>
      <c r="H54" s="78">
        <v>1593572.8219458836</v>
      </c>
      <c r="I54" s="80">
        <v>45106.0</v>
      </c>
      <c r="J54" s="80">
        <v>45134.0</v>
      </c>
      <c r="K54" s="79">
        <v>20515.915464401245</v>
      </c>
      <c r="L54" s="81" t="s">
        <v>90</v>
      </c>
      <c r="M54" s="81" t="s">
        <v>90</v>
      </c>
      <c r="N54" s="61"/>
      <c r="O54" s="63"/>
      <c r="P54" s="63"/>
      <c r="Q54" s="63"/>
      <c r="R54" s="61" t="str">
        <f t="shared" si="1"/>
        <v>2023</v>
      </c>
      <c r="S54" s="62">
        <f t="shared" si="2"/>
        <v>7</v>
      </c>
      <c r="T54" s="61" t="str">
        <f t="shared" si="3"/>
        <v>2023-Q3</v>
      </c>
      <c r="U54" s="63" t="str">
        <f t="shared" si="4"/>
        <v>2023-07</v>
      </c>
      <c r="V54" s="64" t="str">
        <f t="shared" si="5"/>
        <v>2023-H2</v>
      </c>
      <c r="W54" s="32"/>
      <c r="X54" s="32"/>
    </row>
    <row r="55">
      <c r="A55" s="77">
        <f>HYPERLINK("https://polkadot.subsquare.io/referenda/53", 53)</f>
        <v>53</v>
      </c>
      <c r="B55" s="40" t="s">
        <v>1885</v>
      </c>
      <c r="C55" s="40" t="s">
        <v>1851</v>
      </c>
      <c r="D55" s="78">
        <v>0.0</v>
      </c>
      <c r="E55" s="79">
        <v>0.0</v>
      </c>
      <c r="F55" s="40" t="s">
        <v>1886</v>
      </c>
      <c r="G55" s="78">
        <v>1.6388178298898268E8</v>
      </c>
      <c r="H55" s="78">
        <v>200.5</v>
      </c>
      <c r="I55" s="80">
        <v>45107.0</v>
      </c>
      <c r="J55" s="80">
        <v>45112.0</v>
      </c>
      <c r="K55" s="79">
        <v>0.0</v>
      </c>
      <c r="L55" s="70" t="s">
        <v>90</v>
      </c>
      <c r="M55" s="70" t="s">
        <v>90</v>
      </c>
      <c r="N55" s="61"/>
      <c r="O55" s="63"/>
      <c r="P55" s="63"/>
      <c r="Q55" s="63"/>
      <c r="R55" s="61" t="str">
        <f t="shared" si="1"/>
        <v>2023</v>
      </c>
      <c r="S55" s="62">
        <f t="shared" si="2"/>
        <v>7</v>
      </c>
      <c r="T55" s="61" t="str">
        <f t="shared" si="3"/>
        <v>2023-Q3</v>
      </c>
      <c r="U55" s="63" t="str">
        <f t="shared" si="4"/>
        <v>2023-07</v>
      </c>
      <c r="V55" s="64" t="str">
        <f t="shared" si="5"/>
        <v>2023-H2</v>
      </c>
      <c r="W55" s="32"/>
      <c r="X55" s="32"/>
    </row>
    <row r="56">
      <c r="A56" s="77">
        <f>HYPERLINK("https://polkadot.subsquare.io/referenda/54", 54)</f>
        <v>54</v>
      </c>
      <c r="B56" s="40" t="s">
        <v>974</v>
      </c>
      <c r="C56" s="40" t="s">
        <v>1851</v>
      </c>
      <c r="D56" s="78">
        <v>40.0</v>
      </c>
      <c r="E56" s="79">
        <v>216.77236557006836</v>
      </c>
      <c r="F56" s="40" t="s">
        <v>982</v>
      </c>
      <c r="G56" s="78">
        <v>2588925.6659325603</v>
      </c>
      <c r="H56" s="78">
        <v>50313.2</v>
      </c>
      <c r="I56" s="80">
        <v>45108.0</v>
      </c>
      <c r="J56" s="80">
        <v>45113.0</v>
      </c>
      <c r="K56" s="79">
        <v>205.0587272644043</v>
      </c>
      <c r="L56" s="81" t="s">
        <v>81</v>
      </c>
      <c r="M56" s="81" t="s">
        <v>89</v>
      </c>
      <c r="N56" s="61"/>
      <c r="O56" s="63"/>
      <c r="P56" s="63"/>
      <c r="Q56" s="63"/>
      <c r="R56" s="61" t="str">
        <f t="shared" si="1"/>
        <v>2023</v>
      </c>
      <c r="S56" s="62">
        <f t="shared" si="2"/>
        <v>7</v>
      </c>
      <c r="T56" s="61" t="str">
        <f t="shared" si="3"/>
        <v>2023-Q3</v>
      </c>
      <c r="U56" s="63" t="str">
        <f t="shared" si="4"/>
        <v>2023-07</v>
      </c>
      <c r="V56" s="64" t="str">
        <f t="shared" si="5"/>
        <v>2023-H2</v>
      </c>
      <c r="W56" s="32"/>
      <c r="X56" s="32"/>
    </row>
    <row r="57">
      <c r="A57" s="77">
        <f>HYPERLINK("https://polkadot.subsquare.io/referenda/55", 55)</f>
        <v>55</v>
      </c>
      <c r="B57" s="40" t="s">
        <v>1887</v>
      </c>
      <c r="C57" s="40" t="s">
        <v>1851</v>
      </c>
      <c r="D57" s="78">
        <v>0.0</v>
      </c>
      <c r="E57" s="79">
        <v>0.0</v>
      </c>
      <c r="F57" s="40" t="s">
        <v>1852</v>
      </c>
      <c r="G57" s="78">
        <v>6.157420157551171E7</v>
      </c>
      <c r="H57" s="78">
        <v>11413.3152069446</v>
      </c>
      <c r="I57" s="80">
        <v>45108.0</v>
      </c>
      <c r="J57" s="80">
        <v>45129.0</v>
      </c>
      <c r="K57" s="79">
        <v>0.0</v>
      </c>
      <c r="L57" s="70" t="s">
        <v>90</v>
      </c>
      <c r="M57" s="70" t="s">
        <v>90</v>
      </c>
      <c r="N57" s="61"/>
      <c r="O57" s="63"/>
      <c r="P57" s="63"/>
      <c r="Q57" s="63"/>
      <c r="R57" s="61" t="str">
        <f t="shared" si="1"/>
        <v>2023</v>
      </c>
      <c r="S57" s="62">
        <f t="shared" si="2"/>
        <v>7</v>
      </c>
      <c r="T57" s="61" t="str">
        <f t="shared" si="3"/>
        <v>2023-Q3</v>
      </c>
      <c r="U57" s="63" t="str">
        <f t="shared" si="4"/>
        <v>2023-07</v>
      </c>
      <c r="V57" s="64" t="str">
        <f t="shared" si="5"/>
        <v>2023-H2</v>
      </c>
      <c r="W57" s="32"/>
      <c r="X57" s="32"/>
    </row>
    <row r="58">
      <c r="A58" s="77">
        <f>HYPERLINK("https://polkadot.subsquare.io/referenda/56", 56)</f>
        <v>56</v>
      </c>
      <c r="B58" s="40" t="s">
        <v>1888</v>
      </c>
      <c r="C58" s="40" t="s">
        <v>1851</v>
      </c>
      <c r="D58" s="78">
        <v>0.0</v>
      </c>
      <c r="E58" s="79">
        <v>0.0</v>
      </c>
      <c r="F58" s="40" t="s">
        <v>1886</v>
      </c>
      <c r="G58" s="78">
        <v>3.977665007842737E7</v>
      </c>
      <c r="H58" s="78">
        <v>6100.0</v>
      </c>
      <c r="I58" s="80">
        <v>45109.0</v>
      </c>
      <c r="J58" s="80">
        <v>45125.0</v>
      </c>
      <c r="K58" s="79">
        <v>0.0</v>
      </c>
      <c r="L58" s="81" t="s">
        <v>90</v>
      </c>
      <c r="M58" s="81" t="s">
        <v>90</v>
      </c>
      <c r="N58" s="61"/>
      <c r="O58" s="63"/>
      <c r="P58" s="63"/>
      <c r="Q58" s="63"/>
      <c r="R58" s="61" t="str">
        <f t="shared" si="1"/>
        <v>2023</v>
      </c>
      <c r="S58" s="62">
        <f t="shared" si="2"/>
        <v>7</v>
      </c>
      <c r="T58" s="61" t="str">
        <f t="shared" si="3"/>
        <v>2023-Q3</v>
      </c>
      <c r="U58" s="63" t="str">
        <f t="shared" si="4"/>
        <v>2023-07</v>
      </c>
      <c r="V58" s="64" t="str">
        <f t="shared" si="5"/>
        <v>2023-H2</v>
      </c>
      <c r="W58" s="32"/>
      <c r="X58" s="32"/>
    </row>
    <row r="59">
      <c r="A59" s="77">
        <f>HYPERLINK("https://polkadot.subsquare.io/referenda/57", 57)</f>
        <v>57</v>
      </c>
      <c r="B59" s="40" t="s">
        <v>975</v>
      </c>
      <c r="C59" s="40" t="s">
        <v>1851</v>
      </c>
      <c r="D59" s="78">
        <v>234.0</v>
      </c>
      <c r="E59" s="79">
        <v>1251.2494668960571</v>
      </c>
      <c r="F59" s="40" t="s">
        <v>982</v>
      </c>
      <c r="G59" s="78">
        <v>1026127.0465299801</v>
      </c>
      <c r="H59" s="78">
        <v>114582.2</v>
      </c>
      <c r="I59" s="80">
        <v>45109.0</v>
      </c>
      <c r="J59" s="80">
        <v>45114.0</v>
      </c>
      <c r="K59" s="79">
        <v>1188.584077835083</v>
      </c>
      <c r="L59" s="70" t="s">
        <v>48</v>
      </c>
      <c r="M59" s="70" t="s">
        <v>134</v>
      </c>
      <c r="N59" s="61"/>
      <c r="O59" s="63"/>
      <c r="P59" s="63"/>
      <c r="Q59" s="63"/>
      <c r="R59" s="61" t="str">
        <f t="shared" si="1"/>
        <v>2023</v>
      </c>
      <c r="S59" s="62">
        <f t="shared" si="2"/>
        <v>7</v>
      </c>
      <c r="T59" s="61" t="str">
        <f t="shared" si="3"/>
        <v>2023-Q3</v>
      </c>
      <c r="U59" s="63" t="str">
        <f t="shared" si="4"/>
        <v>2023-07</v>
      </c>
      <c r="V59" s="64" t="str">
        <f t="shared" si="5"/>
        <v>2023-H2</v>
      </c>
      <c r="W59" s="32"/>
      <c r="X59" s="32"/>
    </row>
    <row r="60">
      <c r="A60" s="77">
        <f>HYPERLINK("https://polkadot.subsquare.io/referenda/58", 58)</f>
        <v>58</v>
      </c>
      <c r="B60" s="40" t="s">
        <v>1889</v>
      </c>
      <c r="C60" s="40" t="s">
        <v>1851</v>
      </c>
      <c r="D60" s="78">
        <v>0.0</v>
      </c>
      <c r="E60" s="79">
        <v>0.0</v>
      </c>
      <c r="F60" s="40" t="s">
        <v>1852</v>
      </c>
      <c r="G60" s="78">
        <v>6.124214665431561E7</v>
      </c>
      <c r="H60" s="78">
        <v>0.0</v>
      </c>
      <c r="I60" s="80">
        <v>45110.0</v>
      </c>
      <c r="J60" s="80">
        <v>45132.0</v>
      </c>
      <c r="K60" s="79">
        <v>0.0</v>
      </c>
      <c r="L60" s="81" t="s">
        <v>90</v>
      </c>
      <c r="M60" s="81" t="s">
        <v>90</v>
      </c>
      <c r="N60" s="61"/>
      <c r="O60" s="63"/>
      <c r="P60" s="63"/>
      <c r="Q60" s="63"/>
      <c r="R60" s="61" t="str">
        <f t="shared" si="1"/>
        <v>2023</v>
      </c>
      <c r="S60" s="62">
        <f t="shared" si="2"/>
        <v>7</v>
      </c>
      <c r="T60" s="61" t="str">
        <f t="shared" si="3"/>
        <v>2023-Q3</v>
      </c>
      <c r="U60" s="63" t="str">
        <f t="shared" si="4"/>
        <v>2023-07</v>
      </c>
      <c r="V60" s="64" t="str">
        <f t="shared" si="5"/>
        <v>2023-H2</v>
      </c>
      <c r="W60" s="32"/>
      <c r="X60" s="32"/>
    </row>
    <row r="61">
      <c r="A61" s="77">
        <f>HYPERLINK("https://polkadot.subsquare.io/referenda/59", 59)</f>
        <v>59</v>
      </c>
      <c r="B61" s="40" t="s">
        <v>1890</v>
      </c>
      <c r="C61" s="40" t="s">
        <v>1861</v>
      </c>
      <c r="D61" s="78">
        <v>0.0</v>
      </c>
      <c r="E61" s="79">
        <v>0.0</v>
      </c>
      <c r="F61" s="40" t="s">
        <v>982</v>
      </c>
      <c r="G61" s="78">
        <v>122018.0659236606</v>
      </c>
      <c r="H61" s="78">
        <v>2557344.8346599923</v>
      </c>
      <c r="I61" s="80">
        <v>45110.0</v>
      </c>
      <c r="J61" s="80">
        <v>45124.0</v>
      </c>
      <c r="K61" s="79">
        <v>0.0</v>
      </c>
      <c r="L61" s="70" t="s">
        <v>90</v>
      </c>
      <c r="M61" s="70" t="s">
        <v>90</v>
      </c>
      <c r="N61" s="61"/>
      <c r="O61" s="63"/>
      <c r="P61" s="63"/>
      <c r="Q61" s="63"/>
      <c r="R61" s="61" t="str">
        <f t="shared" si="1"/>
        <v>2023</v>
      </c>
      <c r="S61" s="62">
        <f t="shared" si="2"/>
        <v>7</v>
      </c>
      <c r="T61" s="61" t="str">
        <f t="shared" si="3"/>
        <v>2023-Q3</v>
      </c>
      <c r="U61" s="63" t="str">
        <f t="shared" si="4"/>
        <v>2023-07</v>
      </c>
      <c r="V61" s="64" t="str">
        <f t="shared" si="5"/>
        <v>2023-H2</v>
      </c>
      <c r="W61" s="32"/>
      <c r="X61" s="32"/>
    </row>
    <row r="62">
      <c r="A62" s="77">
        <f>HYPERLINK("https://polkadot.subsquare.io/referenda/60", 60)</f>
        <v>60</v>
      </c>
      <c r="B62" s="40" t="s">
        <v>1891</v>
      </c>
      <c r="C62" s="40" t="s">
        <v>1861</v>
      </c>
      <c r="D62" s="78">
        <v>0.0</v>
      </c>
      <c r="E62" s="79">
        <v>0.0</v>
      </c>
      <c r="F62" s="40" t="s">
        <v>982</v>
      </c>
      <c r="G62" s="78">
        <v>44182.6993408617</v>
      </c>
      <c r="H62" s="78">
        <v>1116239.0921566642</v>
      </c>
      <c r="I62" s="80">
        <v>45110.0</v>
      </c>
      <c r="J62" s="80">
        <v>45124.0</v>
      </c>
      <c r="K62" s="79">
        <v>0.0</v>
      </c>
      <c r="L62" s="81" t="s">
        <v>90</v>
      </c>
      <c r="M62" s="81" t="s">
        <v>90</v>
      </c>
      <c r="N62" s="61"/>
      <c r="O62" s="63"/>
      <c r="P62" s="63"/>
      <c r="Q62" s="63"/>
      <c r="R62" s="61" t="str">
        <f t="shared" si="1"/>
        <v>2023</v>
      </c>
      <c r="S62" s="62">
        <f t="shared" si="2"/>
        <v>7</v>
      </c>
      <c r="T62" s="61" t="str">
        <f t="shared" si="3"/>
        <v>2023-Q3</v>
      </c>
      <c r="U62" s="63" t="str">
        <f t="shared" si="4"/>
        <v>2023-07</v>
      </c>
      <c r="V62" s="64" t="str">
        <f t="shared" si="5"/>
        <v>2023-H2</v>
      </c>
      <c r="W62" s="32"/>
      <c r="X62" s="32"/>
    </row>
    <row r="63">
      <c r="A63" s="77">
        <f>HYPERLINK("https://polkadot.subsquare.io/referenda/61", 61)</f>
        <v>61</v>
      </c>
      <c r="B63" s="40" t="s">
        <v>1892</v>
      </c>
      <c r="C63" s="40" t="s">
        <v>1861</v>
      </c>
      <c r="D63" s="78">
        <v>250.0</v>
      </c>
      <c r="E63" s="79">
        <v>1256.5122842788696</v>
      </c>
      <c r="F63" s="40" t="s">
        <v>982</v>
      </c>
      <c r="G63" s="78">
        <v>381841.6537766811</v>
      </c>
      <c r="H63" s="78">
        <v>926139.199478539</v>
      </c>
      <c r="I63" s="80">
        <v>45110.0</v>
      </c>
      <c r="J63" s="80">
        <v>45124.0</v>
      </c>
      <c r="K63" s="79">
        <v>1337.4944925308228</v>
      </c>
      <c r="L63" s="70" t="s">
        <v>90</v>
      </c>
      <c r="M63" s="70" t="s">
        <v>90</v>
      </c>
      <c r="N63" s="61"/>
      <c r="O63" s="63"/>
      <c r="P63" s="63"/>
      <c r="Q63" s="63"/>
      <c r="R63" s="61" t="str">
        <f t="shared" si="1"/>
        <v>2023</v>
      </c>
      <c r="S63" s="62">
        <f t="shared" si="2"/>
        <v>7</v>
      </c>
      <c r="T63" s="61" t="str">
        <f t="shared" si="3"/>
        <v>2023-Q3</v>
      </c>
      <c r="U63" s="63" t="str">
        <f t="shared" si="4"/>
        <v>2023-07</v>
      </c>
      <c r="V63" s="64" t="str">
        <f t="shared" si="5"/>
        <v>2023-H2</v>
      </c>
      <c r="W63" s="32"/>
      <c r="X63" s="32"/>
    </row>
    <row r="64">
      <c r="A64" s="77">
        <f>HYPERLINK("https://polkadot.subsquare.io/referenda/62", 62)</f>
        <v>62</v>
      </c>
      <c r="B64" s="40" t="s">
        <v>976</v>
      </c>
      <c r="C64" s="40" t="s">
        <v>1851</v>
      </c>
      <c r="D64" s="78">
        <v>110693.7</v>
      </c>
      <c r="E64" s="79">
        <v>556351.9753691197</v>
      </c>
      <c r="F64" s="40" t="s">
        <v>1855</v>
      </c>
      <c r="G64" s="78">
        <v>4847597.456583484</v>
      </c>
      <c r="H64" s="78">
        <v>362971.8876054939</v>
      </c>
      <c r="I64" s="80">
        <v>45111.0</v>
      </c>
      <c r="J64" s="80">
        <v>45140.0</v>
      </c>
      <c r="K64" s="79">
        <v>552162.5462468147</v>
      </c>
      <c r="L64" s="81" t="s">
        <v>46</v>
      </c>
      <c r="M64" s="81" t="s">
        <v>106</v>
      </c>
      <c r="N64" s="61"/>
      <c r="O64" s="63"/>
      <c r="P64" s="63"/>
      <c r="Q64" s="63"/>
      <c r="R64" s="61" t="str">
        <f t="shared" si="1"/>
        <v>2023</v>
      </c>
      <c r="S64" s="62">
        <f t="shared" si="2"/>
        <v>8</v>
      </c>
      <c r="T64" s="61" t="str">
        <f t="shared" si="3"/>
        <v>2023-Q3</v>
      </c>
      <c r="U64" s="63" t="str">
        <f t="shared" si="4"/>
        <v>2023-08</v>
      </c>
      <c r="V64" s="64" t="str">
        <f t="shared" si="5"/>
        <v>2023-H2</v>
      </c>
      <c r="W64" s="32"/>
      <c r="X64" s="32"/>
    </row>
    <row r="65">
      <c r="A65" s="77">
        <f>HYPERLINK("https://polkadot.subsquare.io/referenda/63", 63)</f>
        <v>63</v>
      </c>
      <c r="B65" s="40" t="s">
        <v>1893</v>
      </c>
      <c r="C65" s="40" t="s">
        <v>1861</v>
      </c>
      <c r="D65" s="78">
        <v>0.0</v>
      </c>
      <c r="E65" s="79">
        <v>0.0</v>
      </c>
      <c r="F65" s="40" t="s">
        <v>1869</v>
      </c>
      <c r="G65" s="78">
        <v>8335.1</v>
      </c>
      <c r="H65" s="78">
        <v>2970004.1748762988</v>
      </c>
      <c r="I65" s="80">
        <v>45111.0</v>
      </c>
      <c r="J65" s="80">
        <v>45125.0</v>
      </c>
      <c r="K65" s="79">
        <v>0.0</v>
      </c>
      <c r="L65" s="70" t="s">
        <v>90</v>
      </c>
      <c r="M65" s="70" t="s">
        <v>90</v>
      </c>
      <c r="N65" s="61"/>
      <c r="O65" s="63"/>
      <c r="P65" s="63"/>
      <c r="Q65" s="63"/>
      <c r="R65" s="61" t="str">
        <f t="shared" si="1"/>
        <v>2023</v>
      </c>
      <c r="S65" s="62">
        <f t="shared" si="2"/>
        <v>7</v>
      </c>
      <c r="T65" s="61" t="str">
        <f t="shared" si="3"/>
        <v>2023-Q3</v>
      </c>
      <c r="U65" s="63" t="str">
        <f t="shared" si="4"/>
        <v>2023-07</v>
      </c>
      <c r="V65" s="64" t="str">
        <f t="shared" si="5"/>
        <v>2023-H2</v>
      </c>
      <c r="W65" s="32"/>
      <c r="X65" s="32"/>
    </row>
    <row r="66">
      <c r="A66" s="77">
        <f>HYPERLINK("https://polkadot.subsquare.io/referenda/64", 64)</f>
        <v>64</v>
      </c>
      <c r="B66" s="40" t="s">
        <v>1894</v>
      </c>
      <c r="C66" s="40" t="s">
        <v>1846</v>
      </c>
      <c r="D66" s="78">
        <v>28078.569</v>
      </c>
      <c r="E66" s="79">
        <v>143621.25811869334</v>
      </c>
      <c r="F66" s="40" t="s">
        <v>1853</v>
      </c>
      <c r="G66" s="78">
        <v>220863.9527388797</v>
      </c>
      <c r="H66" s="78">
        <v>2303159.5566101545</v>
      </c>
      <c r="I66" s="80">
        <v>45112.0</v>
      </c>
      <c r="J66" s="80">
        <v>45140.0</v>
      </c>
      <c r="K66" s="79">
        <v>139528.33678993178</v>
      </c>
      <c r="L66" s="81" t="s">
        <v>90</v>
      </c>
      <c r="M66" s="81" t="s">
        <v>90</v>
      </c>
      <c r="N66" s="61"/>
      <c r="O66" s="63"/>
      <c r="P66" s="63"/>
      <c r="Q66" s="63"/>
      <c r="R66" s="61" t="str">
        <f t="shared" si="1"/>
        <v>2023</v>
      </c>
      <c r="S66" s="62">
        <f t="shared" si="2"/>
        <v>8</v>
      </c>
      <c r="T66" s="61" t="str">
        <f t="shared" si="3"/>
        <v>2023-Q3</v>
      </c>
      <c r="U66" s="63" t="str">
        <f t="shared" si="4"/>
        <v>2023-08</v>
      </c>
      <c r="V66" s="64" t="str">
        <f t="shared" si="5"/>
        <v>2023-H2</v>
      </c>
      <c r="W66" s="32"/>
      <c r="X66" s="32"/>
    </row>
    <row r="67">
      <c r="A67" s="77">
        <f>HYPERLINK("https://polkadot.subsquare.io/referenda/65", 65)</f>
        <v>65</v>
      </c>
      <c r="B67" s="40" t="s">
        <v>1895</v>
      </c>
      <c r="C67" s="40" t="s">
        <v>1861</v>
      </c>
      <c r="D67" s="78">
        <v>97000.0</v>
      </c>
      <c r="E67" s="79">
        <v>497267.4136161804</v>
      </c>
      <c r="F67" s="40" t="s">
        <v>1857</v>
      </c>
      <c r="G67" s="78">
        <v>0.0</v>
      </c>
      <c r="H67" s="78">
        <v>1388229.167028686</v>
      </c>
      <c r="I67" s="80">
        <v>45112.0</v>
      </c>
      <c r="J67" s="80">
        <v>45126.0</v>
      </c>
      <c r="K67" s="79">
        <v>514918.88523101807</v>
      </c>
      <c r="L67" s="70" t="s">
        <v>90</v>
      </c>
      <c r="M67" s="70" t="s">
        <v>90</v>
      </c>
      <c r="N67" s="61"/>
      <c r="O67" s="63"/>
      <c r="P67" s="63"/>
      <c r="Q67" s="63"/>
      <c r="R67" s="61" t="str">
        <f t="shared" si="1"/>
        <v>2023</v>
      </c>
      <c r="S67" s="62">
        <f t="shared" si="2"/>
        <v>7</v>
      </c>
      <c r="T67" s="61" t="str">
        <f t="shared" si="3"/>
        <v>2023-Q3</v>
      </c>
      <c r="U67" s="63" t="str">
        <f t="shared" si="4"/>
        <v>2023-07</v>
      </c>
      <c r="V67" s="64" t="str">
        <f t="shared" si="5"/>
        <v>2023-H2</v>
      </c>
      <c r="W67" s="32"/>
      <c r="X67" s="32"/>
    </row>
    <row r="68">
      <c r="A68" s="77">
        <f>HYPERLINK("https://polkadot.subsquare.io/referenda/66", 66)</f>
        <v>66</v>
      </c>
      <c r="B68" s="40" t="s">
        <v>1896</v>
      </c>
      <c r="C68" s="40" t="s">
        <v>1861</v>
      </c>
      <c r="D68" s="78">
        <v>97000.0</v>
      </c>
      <c r="E68" s="79">
        <v>497267.4136161804</v>
      </c>
      <c r="F68" s="40" t="s">
        <v>1857</v>
      </c>
      <c r="G68" s="78">
        <v>24.15</v>
      </c>
      <c r="H68" s="78">
        <v>1396571.1542439435</v>
      </c>
      <c r="I68" s="80">
        <v>45112.0</v>
      </c>
      <c r="J68" s="80">
        <v>45126.0</v>
      </c>
      <c r="K68" s="79">
        <v>514918.88523101807</v>
      </c>
      <c r="L68" s="81" t="s">
        <v>90</v>
      </c>
      <c r="M68" s="81" t="s">
        <v>90</v>
      </c>
      <c r="N68" s="61"/>
      <c r="O68" s="63"/>
      <c r="P68" s="63"/>
      <c r="Q68" s="63"/>
      <c r="R68" s="61" t="str">
        <f t="shared" si="1"/>
        <v>2023</v>
      </c>
      <c r="S68" s="62">
        <f t="shared" si="2"/>
        <v>7</v>
      </c>
      <c r="T68" s="61" t="str">
        <f t="shared" si="3"/>
        <v>2023-Q3</v>
      </c>
      <c r="U68" s="63" t="str">
        <f t="shared" si="4"/>
        <v>2023-07</v>
      </c>
      <c r="V68" s="64" t="str">
        <f t="shared" si="5"/>
        <v>2023-H2</v>
      </c>
      <c r="W68" s="32"/>
      <c r="X68" s="32"/>
    </row>
    <row r="69">
      <c r="A69" s="77">
        <f>HYPERLINK("https://polkadot.subsquare.io/referenda/67", 67)</f>
        <v>67</v>
      </c>
      <c r="B69" s="40" t="s">
        <v>1897</v>
      </c>
      <c r="C69" s="40" t="s">
        <v>1846</v>
      </c>
      <c r="D69" s="78">
        <v>97000.0</v>
      </c>
      <c r="E69" s="79">
        <v>497267.4136161804</v>
      </c>
      <c r="F69" s="40" t="s">
        <v>1853</v>
      </c>
      <c r="G69" s="78">
        <v>284632.6898</v>
      </c>
      <c r="H69" s="78">
        <v>1.203636451277686E7</v>
      </c>
      <c r="I69" s="80">
        <v>45112.0</v>
      </c>
      <c r="J69" s="80">
        <v>45140.0</v>
      </c>
      <c r="K69" s="79">
        <v>482013.4768486023</v>
      </c>
      <c r="L69" s="70" t="s">
        <v>90</v>
      </c>
      <c r="M69" s="70" t="s">
        <v>90</v>
      </c>
      <c r="N69" s="61"/>
      <c r="O69" s="63"/>
      <c r="P69" s="63"/>
      <c r="Q69" s="63"/>
      <c r="R69" s="61" t="str">
        <f t="shared" si="1"/>
        <v>2023</v>
      </c>
      <c r="S69" s="62">
        <f t="shared" si="2"/>
        <v>8</v>
      </c>
      <c r="T69" s="61" t="str">
        <f t="shared" si="3"/>
        <v>2023-Q3</v>
      </c>
      <c r="U69" s="63" t="str">
        <f t="shared" si="4"/>
        <v>2023-08</v>
      </c>
      <c r="V69" s="64" t="str">
        <f t="shared" si="5"/>
        <v>2023-H2</v>
      </c>
      <c r="W69" s="32"/>
      <c r="X69" s="32"/>
    </row>
    <row r="70">
      <c r="A70" s="77">
        <f>HYPERLINK("https://polkadot.subsquare.io/referenda/904", 904)</f>
        <v>904</v>
      </c>
      <c r="B70" s="40" t="s">
        <v>1303</v>
      </c>
      <c r="C70" s="40" t="s">
        <v>1851</v>
      </c>
      <c r="D70" s="78">
        <v>724.78</v>
      </c>
      <c r="E70" s="79">
        <v>4066.7855525016785</v>
      </c>
      <c r="F70" s="40" t="s">
        <v>1869</v>
      </c>
      <c r="G70" s="78">
        <v>1.2985389954747396E7</v>
      </c>
      <c r="H70" s="78">
        <v>5748232.335227015</v>
      </c>
      <c r="I70" s="80">
        <v>45462.0</v>
      </c>
      <c r="J70" s="80">
        <v>45467.0</v>
      </c>
      <c r="K70" s="79">
        <v>4552.665035028457</v>
      </c>
      <c r="L70" s="81" t="s">
        <v>46</v>
      </c>
      <c r="M70" s="81" t="s">
        <v>116</v>
      </c>
      <c r="N70" s="84"/>
      <c r="O70" s="61"/>
      <c r="P70" s="61"/>
      <c r="Q70" s="61"/>
      <c r="R70" s="61" t="str">
        <f t="shared" si="1"/>
        <v>2024</v>
      </c>
      <c r="S70" s="62">
        <f t="shared" si="2"/>
        <v>6</v>
      </c>
      <c r="T70" s="61" t="str">
        <f t="shared" si="3"/>
        <v>2024-Q2</v>
      </c>
      <c r="U70" s="63" t="str">
        <f t="shared" si="4"/>
        <v>2024-06</v>
      </c>
      <c r="V70" s="64" t="str">
        <f t="shared" si="5"/>
        <v>2024-H1</v>
      </c>
      <c r="W70" s="32"/>
      <c r="X70" s="32"/>
    </row>
    <row r="71">
      <c r="A71" s="77">
        <f>HYPERLINK("https://polkadot.subsquare.io/referenda/69", 69)</f>
        <v>69</v>
      </c>
      <c r="B71" s="40" t="s">
        <v>1898</v>
      </c>
      <c r="C71" s="40" t="s">
        <v>1861</v>
      </c>
      <c r="D71" s="78">
        <v>0.0</v>
      </c>
      <c r="E71" s="79">
        <v>0.0</v>
      </c>
      <c r="F71" s="40" t="s">
        <v>982</v>
      </c>
      <c r="G71" s="78">
        <v>24660.0</v>
      </c>
      <c r="H71" s="78">
        <v>974296.3309908297</v>
      </c>
      <c r="I71" s="80">
        <v>45113.0</v>
      </c>
      <c r="J71" s="80">
        <v>45127.0</v>
      </c>
      <c r="K71" s="79">
        <v>0.0</v>
      </c>
      <c r="L71" s="70" t="s">
        <v>90</v>
      </c>
      <c r="M71" s="70" t="s">
        <v>90</v>
      </c>
      <c r="N71" s="61"/>
      <c r="O71" s="63"/>
      <c r="P71" s="63"/>
      <c r="Q71" s="63"/>
      <c r="R71" s="61" t="str">
        <f t="shared" si="1"/>
        <v>2023</v>
      </c>
      <c r="S71" s="62">
        <f t="shared" si="2"/>
        <v>7</v>
      </c>
      <c r="T71" s="61" t="str">
        <f t="shared" si="3"/>
        <v>2023-Q3</v>
      </c>
      <c r="U71" s="63" t="str">
        <f t="shared" si="4"/>
        <v>2023-07</v>
      </c>
      <c r="V71" s="64" t="str">
        <f t="shared" si="5"/>
        <v>2023-H2</v>
      </c>
      <c r="W71" s="32"/>
      <c r="X71" s="32"/>
    </row>
    <row r="72">
      <c r="A72" s="77">
        <f>HYPERLINK("https://polkadot.subsquare.io/referenda/70", 70)</f>
        <v>70</v>
      </c>
      <c r="B72" s="40" t="s">
        <v>1899</v>
      </c>
      <c r="C72" s="40" t="s">
        <v>1846</v>
      </c>
      <c r="D72" s="78">
        <v>12117.0</v>
      </c>
      <c r="E72" s="79">
        <v>63148.25598335266</v>
      </c>
      <c r="F72" s="40" t="s">
        <v>1853</v>
      </c>
      <c r="G72" s="78">
        <v>924670.6679387339</v>
      </c>
      <c r="H72" s="78">
        <v>1408093.552368431</v>
      </c>
      <c r="I72" s="80">
        <v>45115.0</v>
      </c>
      <c r="J72" s="80">
        <v>45144.0</v>
      </c>
      <c r="K72" s="79">
        <v>61319.03359937668</v>
      </c>
      <c r="L72" s="81" t="s">
        <v>90</v>
      </c>
      <c r="M72" s="81" t="s">
        <v>90</v>
      </c>
      <c r="N72" s="61"/>
      <c r="O72" s="63"/>
      <c r="P72" s="63"/>
      <c r="Q72" s="63"/>
      <c r="R72" s="61" t="str">
        <f t="shared" si="1"/>
        <v>2023</v>
      </c>
      <c r="S72" s="62">
        <f t="shared" si="2"/>
        <v>8</v>
      </c>
      <c r="T72" s="61" t="str">
        <f t="shared" si="3"/>
        <v>2023-Q3</v>
      </c>
      <c r="U72" s="63" t="str">
        <f t="shared" si="4"/>
        <v>2023-08</v>
      </c>
      <c r="V72" s="64" t="str">
        <f t="shared" si="5"/>
        <v>2023-H2</v>
      </c>
      <c r="W72" s="32"/>
      <c r="X72" s="32"/>
    </row>
    <row r="73">
      <c r="A73" s="77">
        <f>HYPERLINK("https://polkadot.subsquare.io/referenda/71", 71)</f>
        <v>71</v>
      </c>
      <c r="B73" s="40" t="s">
        <v>1900</v>
      </c>
      <c r="C73" s="40" t="s">
        <v>1851</v>
      </c>
      <c r="D73" s="78">
        <v>0.0</v>
      </c>
      <c r="E73" s="79">
        <v>0.0</v>
      </c>
      <c r="F73" s="40" t="s">
        <v>1855</v>
      </c>
      <c r="G73" s="78">
        <v>4880359.655201729</v>
      </c>
      <c r="H73" s="78">
        <v>558731.4</v>
      </c>
      <c r="I73" s="80">
        <v>45118.0</v>
      </c>
      <c r="J73" s="80">
        <v>45148.0</v>
      </c>
      <c r="K73" s="79">
        <v>0.0</v>
      </c>
      <c r="L73" s="70" t="s">
        <v>90</v>
      </c>
      <c r="M73" s="70" t="s">
        <v>90</v>
      </c>
      <c r="N73" s="61"/>
      <c r="O73" s="63" t="s">
        <v>1881</v>
      </c>
      <c r="P73" s="63"/>
      <c r="Q73" s="63"/>
      <c r="R73" s="61" t="str">
        <f t="shared" si="1"/>
        <v>2023</v>
      </c>
      <c r="S73" s="62">
        <f t="shared" si="2"/>
        <v>8</v>
      </c>
      <c r="T73" s="61" t="str">
        <f t="shared" si="3"/>
        <v>2023-Q3</v>
      </c>
      <c r="U73" s="63" t="str">
        <f t="shared" si="4"/>
        <v>2023-08</v>
      </c>
      <c r="V73" s="64" t="str">
        <f t="shared" si="5"/>
        <v>2023-H2</v>
      </c>
      <c r="W73" s="32"/>
      <c r="X73" s="32"/>
    </row>
    <row r="74">
      <c r="A74" s="77">
        <f>HYPERLINK("https://polkadot.subsquare.io/referenda/796", 796)</f>
        <v>796</v>
      </c>
      <c r="B74" s="40" t="s">
        <v>1290</v>
      </c>
      <c r="C74" s="40" t="s">
        <v>1851</v>
      </c>
      <c r="D74" s="78">
        <v>3282.0</v>
      </c>
      <c r="E74" s="79">
        <v>23632.940900802612</v>
      </c>
      <c r="F74" s="40" t="s">
        <v>1848</v>
      </c>
      <c r="G74" s="78">
        <v>1.4044302470903544E7</v>
      </c>
      <c r="H74" s="78">
        <v>6665.0</v>
      </c>
      <c r="I74" s="80">
        <v>45432.0</v>
      </c>
      <c r="J74" s="80">
        <v>45458.0</v>
      </c>
      <c r="K74" s="79">
        <v>18955.68651008606</v>
      </c>
      <c r="L74" s="81" t="s">
        <v>46</v>
      </c>
      <c r="M74" s="85" t="s">
        <v>116</v>
      </c>
      <c r="N74" s="86"/>
      <c r="O74" s="61"/>
      <c r="P74" s="61"/>
      <c r="Q74" s="61"/>
      <c r="R74" s="61" t="str">
        <f t="shared" si="1"/>
        <v>2024</v>
      </c>
      <c r="S74" s="62">
        <f t="shared" si="2"/>
        <v>6</v>
      </c>
      <c r="T74" s="61" t="str">
        <f t="shared" si="3"/>
        <v>2024-Q2</v>
      </c>
      <c r="U74" s="63" t="str">
        <f t="shared" si="4"/>
        <v>2024-06</v>
      </c>
      <c r="V74" s="64" t="str">
        <f t="shared" si="5"/>
        <v>2024-H1</v>
      </c>
      <c r="W74" s="32"/>
      <c r="X74" s="32"/>
    </row>
    <row r="75">
      <c r="A75" s="77">
        <f>HYPERLINK("https://polkadot.subsquare.io/referenda/73", 73)</f>
        <v>73</v>
      </c>
      <c r="B75" s="40" t="s">
        <v>979</v>
      </c>
      <c r="C75" s="40" t="s">
        <v>1851</v>
      </c>
      <c r="D75" s="78">
        <v>11229.05</v>
      </c>
      <c r="E75" s="79">
        <v>61227.28246085643</v>
      </c>
      <c r="F75" s="40" t="s">
        <v>1866</v>
      </c>
      <c r="G75" s="78">
        <v>5.6403189080470085E7</v>
      </c>
      <c r="H75" s="78">
        <v>37839.5</v>
      </c>
      <c r="I75" s="80">
        <v>45118.0</v>
      </c>
      <c r="J75" s="80">
        <v>45145.0</v>
      </c>
      <c r="K75" s="79">
        <v>56754.76063568592</v>
      </c>
      <c r="L75" s="83" t="s">
        <v>49</v>
      </c>
      <c r="M75" s="83" t="s">
        <v>108</v>
      </c>
      <c r="N75" s="61"/>
      <c r="O75" s="63"/>
      <c r="P75" s="63"/>
      <c r="Q75" s="63"/>
      <c r="R75" s="61" t="str">
        <f t="shared" si="1"/>
        <v>2023</v>
      </c>
      <c r="S75" s="62">
        <f t="shared" si="2"/>
        <v>8</v>
      </c>
      <c r="T75" s="61" t="str">
        <f t="shared" si="3"/>
        <v>2023-Q3</v>
      </c>
      <c r="U75" s="63" t="str">
        <f t="shared" si="4"/>
        <v>2023-08</v>
      </c>
      <c r="V75" s="64" t="str">
        <f t="shared" si="5"/>
        <v>2023-H2</v>
      </c>
      <c r="W75" s="32"/>
      <c r="X75" s="32"/>
    </row>
    <row r="76">
      <c r="A76" s="77">
        <f>HYPERLINK("https://polkadot.subsquare.io/referenda/74", 74)</f>
        <v>74</v>
      </c>
      <c r="B76" s="40" t="s">
        <v>1901</v>
      </c>
      <c r="C76" s="40" t="s">
        <v>1861</v>
      </c>
      <c r="D76" s="78">
        <v>0.0</v>
      </c>
      <c r="E76" s="79">
        <v>0.0</v>
      </c>
      <c r="F76" s="40" t="s">
        <v>1866</v>
      </c>
      <c r="G76" s="78">
        <v>8435.0</v>
      </c>
      <c r="H76" s="78">
        <v>1704193.3533758195</v>
      </c>
      <c r="I76" s="80">
        <v>45120.0</v>
      </c>
      <c r="J76" s="80">
        <v>45134.0</v>
      </c>
      <c r="K76" s="79">
        <v>0.0</v>
      </c>
      <c r="L76" s="81" t="s">
        <v>90</v>
      </c>
      <c r="M76" s="81" t="s">
        <v>90</v>
      </c>
      <c r="N76" s="61"/>
      <c r="O76" s="63"/>
      <c r="P76" s="63"/>
      <c r="Q76" s="63"/>
      <c r="R76" s="61" t="str">
        <f t="shared" si="1"/>
        <v>2023</v>
      </c>
      <c r="S76" s="62">
        <f t="shared" si="2"/>
        <v>7</v>
      </c>
      <c r="T76" s="61" t="str">
        <f t="shared" si="3"/>
        <v>2023-Q3</v>
      </c>
      <c r="U76" s="63" t="str">
        <f t="shared" si="4"/>
        <v>2023-07</v>
      </c>
      <c r="V76" s="64" t="str">
        <f t="shared" si="5"/>
        <v>2023-H2</v>
      </c>
      <c r="W76" s="32"/>
      <c r="X76" s="32"/>
    </row>
    <row r="77">
      <c r="A77" s="77">
        <f>HYPERLINK("https://polkadot.subsquare.io/referenda/75", 75)</f>
        <v>75</v>
      </c>
      <c r="B77" s="40" t="s">
        <v>1858</v>
      </c>
      <c r="C77" s="40" t="s">
        <v>1846</v>
      </c>
      <c r="D77" s="78">
        <v>999.0</v>
      </c>
      <c r="E77" s="79">
        <v>5301.590266227722</v>
      </c>
      <c r="F77" s="40" t="s">
        <v>1869</v>
      </c>
      <c r="G77" s="78">
        <v>701086.5995730502</v>
      </c>
      <c r="H77" s="78">
        <v>2271354.803267096</v>
      </c>
      <c r="I77" s="80">
        <v>45120.0</v>
      </c>
      <c r="J77" s="80">
        <v>45127.0</v>
      </c>
      <c r="K77" s="79">
        <v>5392.269264221191</v>
      </c>
      <c r="L77" s="70" t="s">
        <v>90</v>
      </c>
      <c r="M77" s="70" t="s">
        <v>90</v>
      </c>
      <c r="N77" s="61"/>
      <c r="O77" s="86"/>
      <c r="P77" s="86"/>
      <c r="Q77" s="86"/>
      <c r="R77" s="61" t="str">
        <f t="shared" si="1"/>
        <v>2023</v>
      </c>
      <c r="S77" s="62">
        <f t="shared" si="2"/>
        <v>7</v>
      </c>
      <c r="T77" s="61" t="str">
        <f t="shared" si="3"/>
        <v>2023-Q3</v>
      </c>
      <c r="U77" s="63" t="str">
        <f t="shared" si="4"/>
        <v>2023-07</v>
      </c>
      <c r="V77" s="64" t="str">
        <f t="shared" si="5"/>
        <v>2023-H2</v>
      </c>
      <c r="W77" s="32"/>
      <c r="X77" s="32"/>
    </row>
    <row r="78">
      <c r="A78" s="77">
        <f>HYPERLINK("https://polkadot.subsquare.io/referenda/76", 76)</f>
        <v>76</v>
      </c>
      <c r="B78" s="40" t="s">
        <v>1902</v>
      </c>
      <c r="C78" s="40" t="s">
        <v>1846</v>
      </c>
      <c r="D78" s="78">
        <v>0.0</v>
      </c>
      <c r="E78" s="79">
        <v>0.0</v>
      </c>
      <c r="F78" s="40" t="s">
        <v>1853</v>
      </c>
      <c r="G78" s="78">
        <v>586.6001</v>
      </c>
      <c r="H78" s="78">
        <v>4967644.52289783</v>
      </c>
      <c r="I78" s="80">
        <v>45121.0</v>
      </c>
      <c r="J78" s="80">
        <v>45150.0</v>
      </c>
      <c r="K78" s="79">
        <v>0.0</v>
      </c>
      <c r="L78" s="81" t="s">
        <v>90</v>
      </c>
      <c r="M78" s="81" t="s">
        <v>90</v>
      </c>
      <c r="N78" s="61"/>
      <c r="O78" s="61"/>
      <c r="P78" s="61"/>
      <c r="Q78" s="61"/>
      <c r="R78" s="61" t="str">
        <f t="shared" si="1"/>
        <v>2023</v>
      </c>
      <c r="S78" s="62">
        <f t="shared" si="2"/>
        <v>8</v>
      </c>
      <c r="T78" s="61" t="str">
        <f t="shared" si="3"/>
        <v>2023-Q3</v>
      </c>
      <c r="U78" s="63" t="str">
        <f t="shared" si="4"/>
        <v>2023-08</v>
      </c>
      <c r="V78" s="64" t="str">
        <f t="shared" si="5"/>
        <v>2023-H2</v>
      </c>
      <c r="W78" s="32"/>
      <c r="X78" s="32"/>
    </row>
    <row r="79">
      <c r="A79" s="77">
        <f>HYPERLINK("https://polkadot.subsquare.io/referenda/77", 77)</f>
        <v>77</v>
      </c>
      <c r="B79" s="40" t="s">
        <v>981</v>
      </c>
      <c r="C79" s="40" t="s">
        <v>1851</v>
      </c>
      <c r="D79" s="78">
        <v>15139.0</v>
      </c>
      <c r="E79" s="79">
        <v>80293.15419864655</v>
      </c>
      <c r="F79" s="40" t="s">
        <v>1853</v>
      </c>
      <c r="G79" s="78">
        <v>6210049.197051994</v>
      </c>
      <c r="H79" s="78">
        <v>160270.6872152575</v>
      </c>
      <c r="I79" s="80">
        <v>45122.0</v>
      </c>
      <c r="J79" s="80">
        <v>45149.0</v>
      </c>
      <c r="K79" s="79">
        <v>75487.63888597488</v>
      </c>
      <c r="L79" s="70" t="s">
        <v>46</v>
      </c>
      <c r="M79" s="70" t="s">
        <v>980</v>
      </c>
      <c r="N79" s="61"/>
      <c r="O79" s="86"/>
      <c r="P79" s="86"/>
      <c r="Q79" s="86"/>
      <c r="R79" s="61" t="str">
        <f t="shared" si="1"/>
        <v>2023</v>
      </c>
      <c r="S79" s="62">
        <f t="shared" si="2"/>
        <v>8</v>
      </c>
      <c r="T79" s="61" t="str">
        <f t="shared" si="3"/>
        <v>2023-Q3</v>
      </c>
      <c r="U79" s="63" t="str">
        <f t="shared" si="4"/>
        <v>2023-08</v>
      </c>
      <c r="V79" s="64" t="str">
        <f t="shared" si="5"/>
        <v>2023-H2</v>
      </c>
      <c r="W79" s="32"/>
      <c r="X79" s="32"/>
    </row>
    <row r="80">
      <c r="A80" s="77">
        <f>HYPERLINK("https://polkadot.subsquare.io/referenda/78", 78)</f>
        <v>78</v>
      </c>
      <c r="B80" s="40" t="s">
        <v>1903</v>
      </c>
      <c r="C80" s="40" t="s">
        <v>1846</v>
      </c>
      <c r="D80" s="78">
        <v>29946.0</v>
      </c>
      <c r="E80" s="79">
        <v>158825.4703502655</v>
      </c>
      <c r="F80" s="40" t="s">
        <v>1853</v>
      </c>
      <c r="G80" s="78">
        <v>536698.3342410373</v>
      </c>
      <c r="H80" s="78">
        <v>4016304.5886344914</v>
      </c>
      <c r="I80" s="80">
        <v>45122.0</v>
      </c>
      <c r="J80" s="80">
        <v>45150.0</v>
      </c>
      <c r="K80" s="79">
        <v>144114.63950157166</v>
      </c>
      <c r="L80" s="81" t="s">
        <v>90</v>
      </c>
      <c r="M80" s="81" t="s">
        <v>90</v>
      </c>
      <c r="N80" s="61"/>
      <c r="O80" s="61"/>
      <c r="P80" s="61"/>
      <c r="Q80" s="61"/>
      <c r="R80" s="61" t="str">
        <f t="shared" si="1"/>
        <v>2023</v>
      </c>
      <c r="S80" s="62">
        <f t="shared" si="2"/>
        <v>8</v>
      </c>
      <c r="T80" s="61" t="str">
        <f t="shared" si="3"/>
        <v>2023-Q3</v>
      </c>
      <c r="U80" s="63" t="str">
        <f t="shared" si="4"/>
        <v>2023-08</v>
      </c>
      <c r="V80" s="64" t="str">
        <f t="shared" si="5"/>
        <v>2023-H2</v>
      </c>
      <c r="W80" s="32"/>
      <c r="X80" s="32"/>
    </row>
    <row r="81">
      <c r="A81" s="77">
        <f>HYPERLINK("https://polkadot.subsquare.io/referenda/79", 79)</f>
        <v>79</v>
      </c>
      <c r="B81" s="40" t="s">
        <v>982</v>
      </c>
      <c r="C81" s="40" t="s">
        <v>1851</v>
      </c>
      <c r="D81" s="78">
        <v>20.0</v>
      </c>
      <c r="E81" s="79">
        <v>106.07458114624023</v>
      </c>
      <c r="F81" s="40" t="s">
        <v>982</v>
      </c>
      <c r="G81" s="78">
        <v>2770176.478645523</v>
      </c>
      <c r="H81" s="78">
        <v>17012.51527</v>
      </c>
      <c r="I81" s="80">
        <v>45122.0</v>
      </c>
      <c r="J81" s="80">
        <v>45128.0</v>
      </c>
      <c r="K81" s="79">
        <v>107.95333862304688</v>
      </c>
      <c r="L81" s="70" t="s">
        <v>46</v>
      </c>
      <c r="M81" s="70" t="s">
        <v>102</v>
      </c>
      <c r="N81" s="61"/>
      <c r="O81" s="86"/>
      <c r="P81" s="86"/>
      <c r="Q81" s="86"/>
      <c r="R81" s="61" t="str">
        <f t="shared" si="1"/>
        <v>2023</v>
      </c>
      <c r="S81" s="62">
        <f t="shared" si="2"/>
        <v>7</v>
      </c>
      <c r="T81" s="61" t="str">
        <f t="shared" si="3"/>
        <v>2023-Q3</v>
      </c>
      <c r="U81" s="63" t="str">
        <f t="shared" si="4"/>
        <v>2023-07</v>
      </c>
      <c r="V81" s="64" t="str">
        <f t="shared" si="5"/>
        <v>2023-H2</v>
      </c>
      <c r="W81" s="32"/>
      <c r="X81" s="32"/>
    </row>
    <row r="82">
      <c r="A82" s="77">
        <f>HYPERLINK("https://polkadot.subsquare.io/referenda/80", 80)</f>
        <v>80</v>
      </c>
      <c r="B82" s="40" t="s">
        <v>1904</v>
      </c>
      <c r="C82" s="40" t="s">
        <v>1846</v>
      </c>
      <c r="D82" s="78">
        <v>0.0</v>
      </c>
      <c r="E82" s="79">
        <v>0.0</v>
      </c>
      <c r="F82" s="40" t="s">
        <v>1855</v>
      </c>
      <c r="G82" s="78">
        <v>6921.2</v>
      </c>
      <c r="H82" s="78">
        <v>3266251.192756873</v>
      </c>
      <c r="I82" s="80">
        <v>45122.0</v>
      </c>
      <c r="J82" s="80">
        <v>45150.0</v>
      </c>
      <c r="K82" s="79">
        <v>0.0</v>
      </c>
      <c r="L82" s="81" t="s">
        <v>90</v>
      </c>
      <c r="M82" s="81" t="s">
        <v>90</v>
      </c>
      <c r="N82" s="61"/>
      <c r="O82" s="61"/>
      <c r="P82" s="61"/>
      <c r="Q82" s="61"/>
      <c r="R82" s="61" t="str">
        <f t="shared" si="1"/>
        <v>2023</v>
      </c>
      <c r="S82" s="62">
        <f t="shared" si="2"/>
        <v>8</v>
      </c>
      <c r="T82" s="61" t="str">
        <f t="shared" si="3"/>
        <v>2023-Q3</v>
      </c>
      <c r="U82" s="63" t="str">
        <f t="shared" si="4"/>
        <v>2023-08</v>
      </c>
      <c r="V82" s="64" t="str">
        <f t="shared" si="5"/>
        <v>2023-H2</v>
      </c>
      <c r="W82" s="32"/>
      <c r="X82" s="32"/>
    </row>
    <row r="83">
      <c r="A83" s="77">
        <f>HYPERLINK("https://polkadot.subsquare.io/referenda/81", 81)</f>
        <v>81</v>
      </c>
      <c r="B83" s="40" t="s">
        <v>1905</v>
      </c>
      <c r="C83" s="40" t="s">
        <v>1846</v>
      </c>
      <c r="D83" s="78">
        <v>0.0</v>
      </c>
      <c r="E83" s="79">
        <v>0.0</v>
      </c>
      <c r="F83" s="40" t="s">
        <v>1855</v>
      </c>
      <c r="G83" s="78">
        <v>3.8681362508912414E7</v>
      </c>
      <c r="H83" s="78">
        <v>5.980744014463551E7</v>
      </c>
      <c r="I83" s="80">
        <v>45122.0</v>
      </c>
      <c r="J83" s="80">
        <v>45150.0</v>
      </c>
      <c r="K83" s="79">
        <v>0.0</v>
      </c>
      <c r="L83" s="70" t="s">
        <v>90</v>
      </c>
      <c r="M83" s="70" t="s">
        <v>90</v>
      </c>
      <c r="N83" s="61"/>
      <c r="O83" s="86"/>
      <c r="P83" s="86"/>
      <c r="Q83" s="86"/>
      <c r="R83" s="61" t="str">
        <f t="shared" si="1"/>
        <v>2023</v>
      </c>
      <c r="S83" s="62">
        <f t="shared" si="2"/>
        <v>8</v>
      </c>
      <c r="T83" s="61" t="str">
        <f t="shared" si="3"/>
        <v>2023-Q3</v>
      </c>
      <c r="U83" s="63" t="str">
        <f t="shared" si="4"/>
        <v>2023-08</v>
      </c>
      <c r="V83" s="64" t="str">
        <f t="shared" si="5"/>
        <v>2023-H2</v>
      </c>
      <c r="W83" s="32"/>
      <c r="X83" s="32"/>
    </row>
    <row r="84">
      <c r="A84" s="77">
        <f>HYPERLINK("https://polkadot.subsquare.io/referenda/82", 82)</f>
        <v>82</v>
      </c>
      <c r="B84" s="40" t="s">
        <v>983</v>
      </c>
      <c r="C84" s="40" t="s">
        <v>1851</v>
      </c>
      <c r="D84" s="78">
        <v>12455.083</v>
      </c>
      <c r="E84" s="79">
        <v>64508.252939070226</v>
      </c>
      <c r="F84" s="40" t="s">
        <v>1853</v>
      </c>
      <c r="G84" s="78">
        <v>7574005.649151822</v>
      </c>
      <c r="H84" s="78">
        <v>5083003.5840209685</v>
      </c>
      <c r="I84" s="80">
        <v>45123.0</v>
      </c>
      <c r="J84" s="80">
        <v>45148.0</v>
      </c>
      <c r="K84" s="79">
        <v>62711.168772160054</v>
      </c>
      <c r="L84" s="81" t="s">
        <v>49</v>
      </c>
      <c r="M84" s="81" t="s">
        <v>140</v>
      </c>
      <c r="N84" s="61"/>
      <c r="O84" s="61"/>
      <c r="P84" s="61"/>
      <c r="Q84" s="61"/>
      <c r="R84" s="61" t="str">
        <f t="shared" si="1"/>
        <v>2023</v>
      </c>
      <c r="S84" s="62">
        <f t="shared" si="2"/>
        <v>8</v>
      </c>
      <c r="T84" s="61" t="str">
        <f t="shared" si="3"/>
        <v>2023-Q3</v>
      </c>
      <c r="U84" s="63" t="str">
        <f t="shared" si="4"/>
        <v>2023-08</v>
      </c>
      <c r="V84" s="64" t="str">
        <f t="shared" si="5"/>
        <v>2023-H2</v>
      </c>
      <c r="W84" s="32"/>
      <c r="X84" s="32"/>
    </row>
    <row r="85">
      <c r="A85" s="77">
        <f>HYPERLINK("https://polkadot.subsquare.io/referenda/83", 83)</f>
        <v>83</v>
      </c>
      <c r="B85" s="40" t="s">
        <v>982</v>
      </c>
      <c r="C85" s="40" t="s">
        <v>1851</v>
      </c>
      <c r="D85" s="78">
        <v>20.0</v>
      </c>
      <c r="E85" s="79">
        <v>103.58542442321777</v>
      </c>
      <c r="F85" s="40" t="s">
        <v>982</v>
      </c>
      <c r="G85" s="78">
        <v>2732511.4242491024</v>
      </c>
      <c r="H85" s="78">
        <v>105.0001</v>
      </c>
      <c r="I85" s="80">
        <v>45123.0</v>
      </c>
      <c r="J85" s="80">
        <v>45128.0</v>
      </c>
      <c r="K85" s="79">
        <v>107.95333862304688</v>
      </c>
      <c r="L85" s="70" t="s">
        <v>46</v>
      </c>
      <c r="M85" s="70" t="s">
        <v>102</v>
      </c>
      <c r="N85" s="61"/>
      <c r="O85" s="86"/>
      <c r="P85" s="86"/>
      <c r="Q85" s="86"/>
      <c r="R85" s="61" t="str">
        <f t="shared" si="1"/>
        <v>2023</v>
      </c>
      <c r="S85" s="62">
        <f t="shared" si="2"/>
        <v>7</v>
      </c>
      <c r="T85" s="61" t="str">
        <f t="shared" si="3"/>
        <v>2023-Q3</v>
      </c>
      <c r="U85" s="63" t="str">
        <f t="shared" si="4"/>
        <v>2023-07</v>
      </c>
      <c r="V85" s="64" t="str">
        <f t="shared" si="5"/>
        <v>2023-H2</v>
      </c>
      <c r="W85" s="32"/>
      <c r="X85" s="32"/>
    </row>
    <row r="86">
      <c r="A86" s="77">
        <f>HYPERLINK("https://polkadot.subsquare.io/referenda/84", 84)</f>
        <v>84</v>
      </c>
      <c r="B86" s="40" t="s">
        <v>1906</v>
      </c>
      <c r="C86" s="40" t="s">
        <v>1851</v>
      </c>
      <c r="D86" s="78">
        <v>0.0</v>
      </c>
      <c r="E86" s="79">
        <v>0.0</v>
      </c>
      <c r="F86" s="40" t="s">
        <v>1907</v>
      </c>
      <c r="G86" s="78">
        <v>3812823.3020713115</v>
      </c>
      <c r="H86" s="78">
        <v>44853.6472740836</v>
      </c>
      <c r="I86" s="80">
        <v>45124.0</v>
      </c>
      <c r="J86" s="80">
        <v>45147.0</v>
      </c>
      <c r="K86" s="79">
        <v>0.0</v>
      </c>
      <c r="L86" s="81" t="s">
        <v>90</v>
      </c>
      <c r="M86" s="81" t="s">
        <v>90</v>
      </c>
      <c r="N86" s="61"/>
      <c r="O86" s="61"/>
      <c r="P86" s="61"/>
      <c r="Q86" s="61"/>
      <c r="R86" s="61" t="str">
        <f t="shared" si="1"/>
        <v>2023</v>
      </c>
      <c r="S86" s="62">
        <f t="shared" si="2"/>
        <v>8</v>
      </c>
      <c r="T86" s="61" t="str">
        <f t="shared" si="3"/>
        <v>2023-Q3</v>
      </c>
      <c r="U86" s="63" t="str">
        <f t="shared" si="4"/>
        <v>2023-08</v>
      </c>
      <c r="V86" s="64" t="str">
        <f t="shared" si="5"/>
        <v>2023-H2</v>
      </c>
      <c r="W86" s="32"/>
      <c r="X86" s="32"/>
    </row>
    <row r="87">
      <c r="A87" s="77">
        <f>HYPERLINK("https://polkadot.subsquare.io/referenda/85", 85)</f>
        <v>85</v>
      </c>
      <c r="B87" s="40" t="s">
        <v>984</v>
      </c>
      <c r="C87" s="40" t="s">
        <v>1851</v>
      </c>
      <c r="D87" s="78">
        <v>59203.58</v>
      </c>
      <c r="E87" s="79">
        <v>325016.46138450626</v>
      </c>
      <c r="F87" s="40" t="s">
        <v>1853</v>
      </c>
      <c r="G87" s="78">
        <v>4.4924577120154776E7</v>
      </c>
      <c r="H87" s="78">
        <v>1.1998648372988708E7</v>
      </c>
      <c r="I87" s="80">
        <v>45125.0</v>
      </c>
      <c r="J87" s="80">
        <v>45149.0</v>
      </c>
      <c r="K87" s="79">
        <v>295206.97983994486</v>
      </c>
      <c r="L87" s="70" t="s">
        <v>81</v>
      </c>
      <c r="M87" s="70" t="s">
        <v>89</v>
      </c>
      <c r="N87" s="61"/>
      <c r="O87" s="86"/>
      <c r="P87" s="86"/>
      <c r="Q87" s="86"/>
      <c r="R87" s="61" t="str">
        <f t="shared" si="1"/>
        <v>2023</v>
      </c>
      <c r="S87" s="62">
        <f t="shared" si="2"/>
        <v>8</v>
      </c>
      <c r="T87" s="61" t="str">
        <f t="shared" si="3"/>
        <v>2023-Q3</v>
      </c>
      <c r="U87" s="63" t="str">
        <f t="shared" si="4"/>
        <v>2023-08</v>
      </c>
      <c r="V87" s="64" t="str">
        <f t="shared" si="5"/>
        <v>2023-H2</v>
      </c>
      <c r="W87" s="32"/>
      <c r="X87" s="32"/>
    </row>
    <row r="88">
      <c r="A88" s="77">
        <f>HYPERLINK("https://polkadot.subsquare.io/referenda/86", 86)</f>
        <v>86</v>
      </c>
      <c r="B88" s="40" t="s">
        <v>1908</v>
      </c>
      <c r="C88" s="40" t="s">
        <v>1846</v>
      </c>
      <c r="D88" s="78">
        <v>990.0</v>
      </c>
      <c r="E88" s="79">
        <v>5434.9128341674805</v>
      </c>
      <c r="F88" s="40" t="s">
        <v>1869</v>
      </c>
      <c r="G88" s="78">
        <v>332889.2860128057</v>
      </c>
      <c r="H88" s="78">
        <v>1257176.614344529</v>
      </c>
      <c r="I88" s="80">
        <v>45125.0</v>
      </c>
      <c r="J88" s="80">
        <v>45132.0</v>
      </c>
      <c r="K88" s="79">
        <v>5164.606246948242</v>
      </c>
      <c r="L88" s="81" t="s">
        <v>90</v>
      </c>
      <c r="M88" s="81" t="s">
        <v>90</v>
      </c>
      <c r="N88" s="61"/>
      <c r="O88" s="61"/>
      <c r="P88" s="61"/>
      <c r="Q88" s="61"/>
      <c r="R88" s="61" t="str">
        <f t="shared" si="1"/>
        <v>2023</v>
      </c>
      <c r="S88" s="62">
        <f t="shared" si="2"/>
        <v>7</v>
      </c>
      <c r="T88" s="61" t="str">
        <f t="shared" si="3"/>
        <v>2023-Q3</v>
      </c>
      <c r="U88" s="63" t="str">
        <f t="shared" si="4"/>
        <v>2023-07</v>
      </c>
      <c r="V88" s="64" t="str">
        <f t="shared" si="5"/>
        <v>2023-H2</v>
      </c>
      <c r="W88" s="32"/>
      <c r="X88" s="32"/>
    </row>
    <row r="89">
      <c r="A89" s="77">
        <f>HYPERLINK("https://polkadot.subsquare.io/referenda/87", 87)</f>
        <v>87</v>
      </c>
      <c r="B89" s="40" t="s">
        <v>1909</v>
      </c>
      <c r="C89" s="40" t="s">
        <v>1846</v>
      </c>
      <c r="D89" s="78">
        <v>0.0</v>
      </c>
      <c r="E89" s="79">
        <v>0.0</v>
      </c>
      <c r="F89" s="40" t="s">
        <v>1848</v>
      </c>
      <c r="G89" s="78">
        <v>10.864</v>
      </c>
      <c r="H89" s="78">
        <v>8597057.352723973</v>
      </c>
      <c r="I89" s="80">
        <v>45132.0</v>
      </c>
      <c r="J89" s="80">
        <v>45161.0</v>
      </c>
      <c r="K89" s="79">
        <v>0.0</v>
      </c>
      <c r="L89" s="70" t="s">
        <v>90</v>
      </c>
      <c r="M89" s="70" t="s">
        <v>90</v>
      </c>
      <c r="N89" s="61"/>
      <c r="O89" s="86"/>
      <c r="P89" s="86"/>
      <c r="Q89" s="86"/>
      <c r="R89" s="61" t="str">
        <f t="shared" si="1"/>
        <v>2023</v>
      </c>
      <c r="S89" s="62">
        <f t="shared" si="2"/>
        <v>8</v>
      </c>
      <c r="T89" s="61" t="str">
        <f t="shared" si="3"/>
        <v>2023-Q3</v>
      </c>
      <c r="U89" s="63" t="str">
        <f t="shared" si="4"/>
        <v>2023-08</v>
      </c>
      <c r="V89" s="64" t="str">
        <f t="shared" si="5"/>
        <v>2023-H2</v>
      </c>
      <c r="W89" s="32"/>
      <c r="X89" s="32"/>
    </row>
    <row r="90">
      <c r="A90" s="77">
        <f>HYPERLINK("https://polkadot.subsquare.io/referenda/88", 88)</f>
        <v>88</v>
      </c>
      <c r="B90" s="40" t="s">
        <v>1910</v>
      </c>
      <c r="C90" s="40" t="s">
        <v>1846</v>
      </c>
      <c r="D90" s="78">
        <v>14269.071</v>
      </c>
      <c r="E90" s="79">
        <v>74438.51840883636</v>
      </c>
      <c r="F90" s="40" t="s">
        <v>1853</v>
      </c>
      <c r="G90" s="78">
        <v>1317634.1273362057</v>
      </c>
      <c r="H90" s="78">
        <v>1.0767076450346833E7</v>
      </c>
      <c r="I90" s="80">
        <v>45133.0</v>
      </c>
      <c r="J90" s="80">
        <v>45161.0</v>
      </c>
      <c r="K90" s="79">
        <v>64274.171760628225</v>
      </c>
      <c r="L90" s="81" t="s">
        <v>90</v>
      </c>
      <c r="M90" s="81" t="s">
        <v>90</v>
      </c>
      <c r="N90" s="61"/>
      <c r="O90" s="61"/>
      <c r="P90" s="61"/>
      <c r="Q90" s="61"/>
      <c r="R90" s="61" t="str">
        <f t="shared" si="1"/>
        <v>2023</v>
      </c>
      <c r="S90" s="62">
        <f t="shared" si="2"/>
        <v>8</v>
      </c>
      <c r="T90" s="61" t="str">
        <f t="shared" si="3"/>
        <v>2023-Q3</v>
      </c>
      <c r="U90" s="63" t="str">
        <f t="shared" si="4"/>
        <v>2023-08</v>
      </c>
      <c r="V90" s="64" t="str">
        <f t="shared" si="5"/>
        <v>2023-H2</v>
      </c>
      <c r="W90" s="32"/>
      <c r="X90" s="32"/>
    </row>
    <row r="91">
      <c r="A91" s="77">
        <f>HYPERLINK("https://polkadot.subsquare.io/referenda/89", 89)</f>
        <v>89</v>
      </c>
      <c r="B91" s="40" t="s">
        <v>1911</v>
      </c>
      <c r="C91" s="40" t="s">
        <v>1861</v>
      </c>
      <c r="D91" s="78">
        <v>6686.0</v>
      </c>
      <c r="E91" s="79">
        <v>35115.54053878784</v>
      </c>
      <c r="F91" s="40" t="s">
        <v>1857</v>
      </c>
      <c r="G91" s="78">
        <v>12107.60327</v>
      </c>
      <c r="H91" s="78">
        <v>2343682.1766621214</v>
      </c>
      <c r="I91" s="80">
        <v>45133.0</v>
      </c>
      <c r="J91" s="80">
        <v>45147.0</v>
      </c>
      <c r="K91" s="79">
        <v>33663.91652393341</v>
      </c>
      <c r="L91" s="70" t="s">
        <v>90</v>
      </c>
      <c r="M91" s="70" t="s">
        <v>90</v>
      </c>
      <c r="N91" s="61"/>
      <c r="O91" s="86"/>
      <c r="P91" s="86"/>
      <c r="Q91" s="86"/>
      <c r="R91" s="61" t="str">
        <f t="shared" si="1"/>
        <v>2023</v>
      </c>
      <c r="S91" s="62">
        <f t="shared" si="2"/>
        <v>8</v>
      </c>
      <c r="T91" s="61" t="str">
        <f t="shared" si="3"/>
        <v>2023-Q3</v>
      </c>
      <c r="U91" s="63" t="str">
        <f t="shared" si="4"/>
        <v>2023-08</v>
      </c>
      <c r="V91" s="64" t="str">
        <f t="shared" si="5"/>
        <v>2023-H2</v>
      </c>
      <c r="W91" s="32"/>
      <c r="X91" s="32"/>
    </row>
    <row r="92">
      <c r="A92" s="77">
        <f>HYPERLINK("https://polkadot.subsquare.io/referenda/90", 90)</f>
        <v>90</v>
      </c>
      <c r="B92" s="40" t="s">
        <v>985</v>
      </c>
      <c r="C92" s="40" t="s">
        <v>1851</v>
      </c>
      <c r="D92" s="78">
        <v>63916.0</v>
      </c>
      <c r="E92" s="79">
        <v>332237.6813659668</v>
      </c>
      <c r="F92" s="40" t="s">
        <v>1853</v>
      </c>
      <c r="G92" s="78">
        <v>7908415.330092529</v>
      </c>
      <c r="H92" s="78">
        <v>5973479.092043694</v>
      </c>
      <c r="I92" s="80">
        <v>45136.0</v>
      </c>
      <c r="J92" s="80">
        <v>45159.0</v>
      </c>
      <c r="K92" s="79">
        <v>282610.15407562256</v>
      </c>
      <c r="L92" s="81" t="s">
        <v>46</v>
      </c>
      <c r="M92" s="81" t="s">
        <v>102</v>
      </c>
      <c r="N92" s="61"/>
      <c r="O92" s="61"/>
      <c r="P92" s="61"/>
      <c r="Q92" s="61"/>
      <c r="R92" s="61" t="str">
        <f t="shared" si="1"/>
        <v>2023</v>
      </c>
      <c r="S92" s="62">
        <f t="shared" si="2"/>
        <v>8</v>
      </c>
      <c r="T92" s="61" t="str">
        <f t="shared" si="3"/>
        <v>2023-Q3</v>
      </c>
      <c r="U92" s="63" t="str">
        <f t="shared" si="4"/>
        <v>2023-08</v>
      </c>
      <c r="V92" s="64" t="str">
        <f t="shared" si="5"/>
        <v>2023-H2</v>
      </c>
      <c r="W92" s="32"/>
      <c r="X92" s="32"/>
    </row>
    <row r="93">
      <c r="A93" s="77">
        <f>HYPERLINK("https://polkadot.subsquare.io/referenda/91", 91)</f>
        <v>91</v>
      </c>
      <c r="B93" s="40" t="s">
        <v>1912</v>
      </c>
      <c r="C93" s="40" t="s">
        <v>1861</v>
      </c>
      <c r="D93" s="78">
        <v>31612.0</v>
      </c>
      <c r="E93" s="79">
        <v>164320.3201599121</v>
      </c>
      <c r="F93" s="40" t="s">
        <v>1853</v>
      </c>
      <c r="G93" s="78">
        <v>575.1</v>
      </c>
      <c r="H93" s="78">
        <v>1752681.734111025</v>
      </c>
      <c r="I93" s="80">
        <v>45137.0</v>
      </c>
      <c r="J93" s="80">
        <v>45151.0</v>
      </c>
      <c r="K93" s="79">
        <v>152132.23749160767</v>
      </c>
      <c r="L93" s="70" t="s">
        <v>90</v>
      </c>
      <c r="M93" s="70" t="s">
        <v>90</v>
      </c>
      <c r="N93" s="61"/>
      <c r="O93" s="86"/>
      <c r="P93" s="86"/>
      <c r="Q93" s="86"/>
      <c r="R93" s="61" t="str">
        <f t="shared" si="1"/>
        <v>2023</v>
      </c>
      <c r="S93" s="62">
        <f t="shared" si="2"/>
        <v>8</v>
      </c>
      <c r="T93" s="61" t="str">
        <f t="shared" si="3"/>
        <v>2023-Q3</v>
      </c>
      <c r="U93" s="63" t="str">
        <f t="shared" si="4"/>
        <v>2023-08</v>
      </c>
      <c r="V93" s="64" t="str">
        <f t="shared" si="5"/>
        <v>2023-H2</v>
      </c>
      <c r="W93" s="32"/>
      <c r="X93" s="32"/>
    </row>
    <row r="94">
      <c r="A94" s="77">
        <f>HYPERLINK("https://polkadot.subsquare.io/referenda/92", 92)</f>
        <v>92</v>
      </c>
      <c r="B94" s="40" t="s">
        <v>1913</v>
      </c>
      <c r="C94" s="40" t="s">
        <v>1861</v>
      </c>
      <c r="D94" s="78">
        <v>3668676.0</v>
      </c>
      <c r="E94" s="79">
        <v>1.8554478895202637E7</v>
      </c>
      <c r="F94" s="40" t="s">
        <v>1853</v>
      </c>
      <c r="G94" s="78">
        <v>3171.71527</v>
      </c>
      <c r="H94" s="78">
        <v>1691419.7090268605</v>
      </c>
      <c r="I94" s="80">
        <v>45137.0</v>
      </c>
      <c r="J94" s="80">
        <v>45151.0</v>
      </c>
      <c r="K94" s="79">
        <v>1.7118068050563812E7</v>
      </c>
      <c r="L94" s="81" t="s">
        <v>90</v>
      </c>
      <c r="M94" s="81" t="s">
        <v>90</v>
      </c>
      <c r="N94" s="61"/>
      <c r="O94" s="61"/>
      <c r="P94" s="61"/>
      <c r="Q94" s="61"/>
      <c r="R94" s="61" t="str">
        <f t="shared" si="1"/>
        <v>2023</v>
      </c>
      <c r="S94" s="62">
        <f t="shared" si="2"/>
        <v>8</v>
      </c>
      <c r="T94" s="61" t="str">
        <f t="shared" si="3"/>
        <v>2023-Q3</v>
      </c>
      <c r="U94" s="63" t="str">
        <f t="shared" si="4"/>
        <v>2023-08</v>
      </c>
      <c r="V94" s="64" t="str">
        <f t="shared" si="5"/>
        <v>2023-H2</v>
      </c>
      <c r="W94" s="32"/>
      <c r="X94" s="32"/>
    </row>
    <row r="95">
      <c r="A95" s="77">
        <f>HYPERLINK("https://polkadot.subsquare.io/referenda/93", 93)</f>
        <v>93</v>
      </c>
      <c r="B95" s="40" t="s">
        <v>986</v>
      </c>
      <c r="C95" s="40" t="s">
        <v>1851</v>
      </c>
      <c r="D95" s="78">
        <v>36686.0</v>
      </c>
      <c r="E95" s="79">
        <v>185540.94522094727</v>
      </c>
      <c r="F95" s="40" t="s">
        <v>1853</v>
      </c>
      <c r="G95" s="78">
        <v>7725902.403130105</v>
      </c>
      <c r="H95" s="78">
        <v>1202432.7064286622</v>
      </c>
      <c r="I95" s="80">
        <v>45137.0</v>
      </c>
      <c r="J95" s="80">
        <v>45163.0</v>
      </c>
      <c r="K95" s="79">
        <v>168976.15137195587</v>
      </c>
      <c r="L95" s="70" t="s">
        <v>49</v>
      </c>
      <c r="M95" s="70" t="s">
        <v>119</v>
      </c>
      <c r="N95" s="61"/>
      <c r="O95" s="86"/>
      <c r="P95" s="86"/>
      <c r="Q95" s="86"/>
      <c r="R95" s="61" t="str">
        <f t="shared" si="1"/>
        <v>2023</v>
      </c>
      <c r="S95" s="62">
        <f t="shared" si="2"/>
        <v>8</v>
      </c>
      <c r="T95" s="61" t="str">
        <f t="shared" si="3"/>
        <v>2023-Q3</v>
      </c>
      <c r="U95" s="63" t="str">
        <f t="shared" si="4"/>
        <v>2023-08</v>
      </c>
      <c r="V95" s="64" t="str">
        <f t="shared" si="5"/>
        <v>2023-H2</v>
      </c>
      <c r="W95" s="32"/>
      <c r="X95" s="32"/>
    </row>
    <row r="96">
      <c r="A96" s="77">
        <f>HYPERLINK("https://polkadot.subsquare.io/referenda/94", 94)</f>
        <v>94</v>
      </c>
      <c r="B96" s="40" t="s">
        <v>982</v>
      </c>
      <c r="C96" s="40" t="s">
        <v>1851</v>
      </c>
      <c r="D96" s="78">
        <v>80.0</v>
      </c>
      <c r="E96" s="79">
        <v>404.603271484375</v>
      </c>
      <c r="F96" s="40" t="s">
        <v>982</v>
      </c>
      <c r="G96" s="78">
        <v>2374640.5356330145</v>
      </c>
      <c r="H96" s="78">
        <v>6537.2608</v>
      </c>
      <c r="I96" s="80">
        <v>45138.0</v>
      </c>
      <c r="J96" s="80">
        <v>45143.0</v>
      </c>
      <c r="K96" s="79">
        <v>396.84497833251953</v>
      </c>
      <c r="L96" s="81" t="s">
        <v>46</v>
      </c>
      <c r="M96" s="81" t="s">
        <v>102</v>
      </c>
      <c r="N96" s="61"/>
      <c r="O96" s="61"/>
      <c r="P96" s="61"/>
      <c r="Q96" s="61"/>
      <c r="R96" s="61" t="str">
        <f t="shared" si="1"/>
        <v>2023</v>
      </c>
      <c r="S96" s="62">
        <f t="shared" si="2"/>
        <v>8</v>
      </c>
      <c r="T96" s="61" t="str">
        <f t="shared" si="3"/>
        <v>2023-Q3</v>
      </c>
      <c r="U96" s="63" t="str">
        <f t="shared" si="4"/>
        <v>2023-08</v>
      </c>
      <c r="V96" s="64" t="str">
        <f t="shared" si="5"/>
        <v>2023-H2</v>
      </c>
      <c r="W96" s="32"/>
      <c r="X96" s="32"/>
    </row>
    <row r="97">
      <c r="A97" s="77">
        <f>HYPERLINK("https://polkadot.subsquare.io/referenda/95", 95)</f>
        <v>95</v>
      </c>
      <c r="B97" s="40" t="s">
        <v>987</v>
      </c>
      <c r="C97" s="40" t="s">
        <v>1851</v>
      </c>
      <c r="D97" s="78">
        <v>50.0</v>
      </c>
      <c r="E97" s="79">
        <v>248.95095825195312</v>
      </c>
      <c r="F97" s="40" t="s">
        <v>982</v>
      </c>
      <c r="G97" s="78">
        <v>2280748.43645582</v>
      </c>
      <c r="H97" s="78">
        <v>223637.52072</v>
      </c>
      <c r="I97" s="80">
        <v>45138.0</v>
      </c>
      <c r="J97" s="80">
        <v>45143.0</v>
      </c>
      <c r="K97" s="79">
        <v>248.0281114578247</v>
      </c>
      <c r="L97" s="71" t="s">
        <v>81</v>
      </c>
      <c r="M97" s="71" t="s">
        <v>93</v>
      </c>
      <c r="N97" s="61"/>
      <c r="O97" s="86"/>
      <c r="P97" s="86"/>
      <c r="Q97" s="86"/>
      <c r="R97" s="61" t="str">
        <f t="shared" si="1"/>
        <v>2023</v>
      </c>
      <c r="S97" s="62">
        <f t="shared" si="2"/>
        <v>8</v>
      </c>
      <c r="T97" s="61" t="str">
        <f t="shared" si="3"/>
        <v>2023-Q3</v>
      </c>
      <c r="U97" s="63" t="str">
        <f t="shared" si="4"/>
        <v>2023-08</v>
      </c>
      <c r="V97" s="64" t="str">
        <f t="shared" si="5"/>
        <v>2023-H2</v>
      </c>
      <c r="W97" s="32"/>
      <c r="X97" s="32"/>
    </row>
    <row r="98">
      <c r="A98" s="77">
        <f>HYPERLINK("https://polkadot.subsquare.io/referenda/96", 96)</f>
        <v>96</v>
      </c>
      <c r="B98" s="40" t="str">
        <f>Artificial Intelligence for security monitoring on a network level </f>
        <v>#ERROR!</v>
      </c>
      <c r="C98" s="40" t="s">
        <v>1846</v>
      </c>
      <c r="D98" s="78">
        <v>6686.0</v>
      </c>
      <c r="E98" s="79">
        <v>33289.72213745117</v>
      </c>
      <c r="F98" s="40" t="s">
        <v>1848</v>
      </c>
      <c r="G98" s="78">
        <v>241778.9867892313</v>
      </c>
      <c r="H98" s="78">
        <v>8564453.579265747</v>
      </c>
      <c r="I98" s="80">
        <v>45138.0</v>
      </c>
      <c r="J98" s="80">
        <v>45166.0</v>
      </c>
      <c r="K98" s="79">
        <v>28545.543954849243</v>
      </c>
      <c r="L98" s="81" t="s">
        <v>90</v>
      </c>
      <c r="M98" s="81" t="s">
        <v>90</v>
      </c>
      <c r="N98" s="61"/>
      <c r="O98" s="61"/>
      <c r="P98" s="61"/>
      <c r="Q98" s="61"/>
      <c r="R98" s="61" t="str">
        <f t="shared" si="1"/>
        <v>2023</v>
      </c>
      <c r="S98" s="62">
        <f t="shared" si="2"/>
        <v>8</v>
      </c>
      <c r="T98" s="61" t="str">
        <f t="shared" si="3"/>
        <v>2023-Q3</v>
      </c>
      <c r="U98" s="63" t="str">
        <f t="shared" si="4"/>
        <v>2023-08</v>
      </c>
      <c r="V98" s="64" t="str">
        <f t="shared" si="5"/>
        <v>2023-H2</v>
      </c>
      <c r="W98" s="32"/>
      <c r="X98" s="32"/>
    </row>
    <row r="99">
      <c r="A99" s="77">
        <f>HYPERLINK("https://polkadot.subsquare.io/referenda/97", 97)</f>
        <v>97</v>
      </c>
      <c r="B99" s="40" t="s">
        <v>988</v>
      </c>
      <c r="C99" s="40" t="s">
        <v>1851</v>
      </c>
      <c r="D99" s="78">
        <v>15375.745</v>
      </c>
      <c r="E99" s="79">
        <v>76697.32342167378</v>
      </c>
      <c r="F99" s="40" t="s">
        <v>1853</v>
      </c>
      <c r="G99" s="78">
        <v>4039651.941887917</v>
      </c>
      <c r="H99" s="78">
        <v>2420972.0955897355</v>
      </c>
      <c r="I99" s="80">
        <v>45139.0</v>
      </c>
      <c r="J99" s="80">
        <v>45169.0</v>
      </c>
      <c r="K99" s="79">
        <v>65529.43958248854</v>
      </c>
      <c r="L99" s="70" t="s">
        <v>46</v>
      </c>
      <c r="M99" s="70" t="s">
        <v>955</v>
      </c>
      <c r="N99" s="61"/>
      <c r="O99" s="86"/>
      <c r="P99" s="86"/>
      <c r="Q99" s="86"/>
      <c r="R99" s="61" t="str">
        <f t="shared" si="1"/>
        <v>2023</v>
      </c>
      <c r="S99" s="62">
        <f t="shared" si="2"/>
        <v>8</v>
      </c>
      <c r="T99" s="61" t="str">
        <f t="shared" si="3"/>
        <v>2023-Q3</v>
      </c>
      <c r="U99" s="63" t="str">
        <f t="shared" si="4"/>
        <v>2023-08</v>
      </c>
      <c r="V99" s="64" t="str">
        <f t="shared" si="5"/>
        <v>2023-H2</v>
      </c>
      <c r="W99" s="32"/>
      <c r="X99" s="32"/>
    </row>
    <row r="100">
      <c r="A100" s="77">
        <f>HYPERLINK("https://polkadot.subsquare.io/referenda/98", 98)</f>
        <v>98</v>
      </c>
      <c r="B100" s="40" t="s">
        <v>989</v>
      </c>
      <c r="C100" s="40" t="s">
        <v>1851</v>
      </c>
      <c r="D100" s="78">
        <v>14257.0</v>
      </c>
      <c r="E100" s="79">
        <v>71116.79726886749</v>
      </c>
      <c r="F100" s="40" t="s">
        <v>1853</v>
      </c>
      <c r="G100" s="78">
        <v>8401407.083628017</v>
      </c>
      <c r="H100" s="78">
        <v>7075387.569513494</v>
      </c>
      <c r="I100" s="80">
        <v>45140.0</v>
      </c>
      <c r="J100" s="80">
        <v>45164.0</v>
      </c>
      <c r="K100" s="79">
        <v>66620.98069190979</v>
      </c>
      <c r="L100" s="81" t="s">
        <v>81</v>
      </c>
      <c r="M100" s="81" t="s">
        <v>89</v>
      </c>
      <c r="N100" s="61"/>
      <c r="O100" s="61"/>
      <c r="P100" s="61"/>
      <c r="Q100" s="61"/>
      <c r="R100" s="61" t="str">
        <f t="shared" si="1"/>
        <v>2023</v>
      </c>
      <c r="S100" s="62">
        <f t="shared" si="2"/>
        <v>8</v>
      </c>
      <c r="T100" s="61" t="str">
        <f t="shared" si="3"/>
        <v>2023-Q3</v>
      </c>
      <c r="U100" s="63" t="str">
        <f t="shared" si="4"/>
        <v>2023-08</v>
      </c>
      <c r="V100" s="64" t="str">
        <f t="shared" si="5"/>
        <v>2023-H2</v>
      </c>
      <c r="W100" s="32"/>
      <c r="X100" s="32"/>
    </row>
    <row r="101">
      <c r="A101" s="77">
        <f>HYPERLINK("https://polkadot.subsquare.io/referenda/99", 99)</f>
        <v>99</v>
      </c>
      <c r="B101" s="40" t="s">
        <v>1914</v>
      </c>
      <c r="C101" s="40" t="s">
        <v>1846</v>
      </c>
      <c r="D101" s="78">
        <v>18391.596</v>
      </c>
      <c r="E101" s="79">
        <v>91740.99769817735</v>
      </c>
      <c r="F101" s="40" t="s">
        <v>1853</v>
      </c>
      <c r="G101" s="78">
        <v>1139247.9246899975</v>
      </c>
      <c r="H101" s="78">
        <v>7767062.625196724</v>
      </c>
      <c r="I101" s="80">
        <v>45140.0</v>
      </c>
      <c r="J101" s="80">
        <v>45168.0</v>
      </c>
      <c r="K101" s="79">
        <v>78382.6070806675</v>
      </c>
      <c r="L101" s="70" t="s">
        <v>90</v>
      </c>
      <c r="M101" s="70" t="s">
        <v>90</v>
      </c>
      <c r="N101" s="61"/>
      <c r="O101" s="86"/>
      <c r="P101" s="86"/>
      <c r="Q101" s="86"/>
      <c r="R101" s="61" t="str">
        <f t="shared" si="1"/>
        <v>2023</v>
      </c>
      <c r="S101" s="62">
        <f t="shared" si="2"/>
        <v>8</v>
      </c>
      <c r="T101" s="61" t="str">
        <f t="shared" si="3"/>
        <v>2023-Q3</v>
      </c>
      <c r="U101" s="63" t="str">
        <f t="shared" si="4"/>
        <v>2023-08</v>
      </c>
      <c r="V101" s="64" t="str">
        <f t="shared" si="5"/>
        <v>2023-H2</v>
      </c>
      <c r="W101" s="32"/>
      <c r="X101" s="32"/>
    </row>
    <row r="102">
      <c r="A102" s="77">
        <f>HYPERLINK("https://polkadot.subsquare.io/referenda/601", 601)</f>
        <v>601</v>
      </c>
      <c r="B102" s="40" t="s">
        <v>1210</v>
      </c>
      <c r="C102" s="40" t="s">
        <v>1851</v>
      </c>
      <c r="D102" s="78">
        <v>50817.27</v>
      </c>
      <c r="E102" s="79">
        <v>456445.24404507637</v>
      </c>
      <c r="F102" s="40" t="s">
        <v>1853</v>
      </c>
      <c r="G102" s="78">
        <v>3.308373006945709E7</v>
      </c>
      <c r="H102" s="78">
        <v>1.4113955204292133E7</v>
      </c>
      <c r="I102" s="80">
        <v>45371.0</v>
      </c>
      <c r="J102" s="80">
        <v>45401.0</v>
      </c>
      <c r="K102" s="79">
        <v>362582.6869749069</v>
      </c>
      <c r="L102" s="81" t="s">
        <v>48</v>
      </c>
      <c r="M102" s="81" t="s">
        <v>116</v>
      </c>
      <c r="N102" s="61"/>
      <c r="O102" s="86"/>
      <c r="P102" s="86" t="s">
        <v>1881</v>
      </c>
      <c r="Q102" s="86"/>
      <c r="R102" s="61" t="str">
        <f t="shared" si="1"/>
        <v>2024</v>
      </c>
      <c r="S102" s="62">
        <f t="shared" si="2"/>
        <v>4</v>
      </c>
      <c r="T102" s="61" t="str">
        <f t="shared" si="3"/>
        <v>2024-Q2</v>
      </c>
      <c r="U102" s="63" t="str">
        <f t="shared" si="4"/>
        <v>2024-04</v>
      </c>
      <c r="V102" s="64" t="str">
        <f t="shared" si="5"/>
        <v>2024-H1</v>
      </c>
      <c r="W102" s="32"/>
      <c r="X102" s="32"/>
    </row>
    <row r="103">
      <c r="A103" s="77">
        <f>HYPERLINK("https://polkadot.subsquare.io/referenda/101", 101)</f>
        <v>101</v>
      </c>
      <c r="B103" s="40" t="s">
        <v>1048</v>
      </c>
      <c r="C103" s="40" t="s">
        <v>1846</v>
      </c>
      <c r="D103" s="78">
        <v>43920.94</v>
      </c>
      <c r="E103" s="79">
        <v>222265.37885418892</v>
      </c>
      <c r="F103" s="40" t="s">
        <v>1853</v>
      </c>
      <c r="G103" s="78">
        <v>1454747.933590664</v>
      </c>
      <c r="H103" s="78">
        <v>7607059.260747373</v>
      </c>
      <c r="I103" s="80">
        <v>45144.0</v>
      </c>
      <c r="J103" s="80">
        <v>45172.0</v>
      </c>
      <c r="K103" s="79">
        <v>187515.58480478288</v>
      </c>
      <c r="L103" s="70" t="s">
        <v>90</v>
      </c>
      <c r="M103" s="70" t="s">
        <v>90</v>
      </c>
      <c r="N103" s="61"/>
      <c r="O103" s="86"/>
      <c r="P103" s="86"/>
      <c r="Q103" s="86"/>
      <c r="R103" s="61" t="str">
        <f t="shared" si="1"/>
        <v>2023</v>
      </c>
      <c r="S103" s="62">
        <f t="shared" si="2"/>
        <v>9</v>
      </c>
      <c r="T103" s="61" t="str">
        <f t="shared" si="3"/>
        <v>2023-Q3</v>
      </c>
      <c r="U103" s="63" t="str">
        <f t="shared" si="4"/>
        <v>2023-09</v>
      </c>
      <c r="V103" s="64" t="str">
        <f t="shared" si="5"/>
        <v>2023-H2</v>
      </c>
      <c r="W103" s="32"/>
      <c r="X103" s="32"/>
    </row>
    <row r="104">
      <c r="A104" s="77">
        <f>HYPERLINK("https://polkadot.subsquare.io/referenda/102", 102)</f>
        <v>102</v>
      </c>
      <c r="B104" s="40" t="s">
        <v>1915</v>
      </c>
      <c r="C104" s="40" t="s">
        <v>1846</v>
      </c>
      <c r="D104" s="78">
        <v>99520.0</v>
      </c>
      <c r="E104" s="79">
        <v>503628.80447387695</v>
      </c>
      <c r="F104" s="40" t="s">
        <v>1853</v>
      </c>
      <c r="G104" s="78">
        <v>4201378.731518984</v>
      </c>
      <c r="H104" s="78">
        <v>1.2751935100499835E7</v>
      </c>
      <c r="I104" s="80">
        <v>45144.0</v>
      </c>
      <c r="J104" s="80">
        <v>45172.0</v>
      </c>
      <c r="K104" s="79">
        <v>424889.60845947266</v>
      </c>
      <c r="L104" s="81" t="s">
        <v>90</v>
      </c>
      <c r="M104" s="81" t="s">
        <v>90</v>
      </c>
      <c r="N104" s="86"/>
      <c r="O104" s="61"/>
      <c r="P104" s="61"/>
      <c r="Q104" s="61"/>
      <c r="R104" s="61" t="str">
        <f t="shared" si="1"/>
        <v>2023</v>
      </c>
      <c r="S104" s="62">
        <f t="shared" si="2"/>
        <v>9</v>
      </c>
      <c r="T104" s="61" t="str">
        <f t="shared" si="3"/>
        <v>2023-Q3</v>
      </c>
      <c r="U104" s="63" t="str">
        <f t="shared" si="4"/>
        <v>2023-09</v>
      </c>
      <c r="V104" s="64" t="str">
        <f t="shared" si="5"/>
        <v>2023-H2</v>
      </c>
      <c r="W104" s="32"/>
      <c r="X104" s="32"/>
    </row>
    <row r="105">
      <c r="A105" s="77">
        <f>HYPERLINK("https://polkadot.subsquare.io/referenda/103", 103)</f>
        <v>103</v>
      </c>
      <c r="B105" s="40" t="s">
        <v>991</v>
      </c>
      <c r="C105" s="40" t="s">
        <v>1851</v>
      </c>
      <c r="D105" s="78">
        <v>60246.888</v>
      </c>
      <c r="E105" s="79">
        <v>304504.62928609084</v>
      </c>
      <c r="F105" s="40" t="s">
        <v>1853</v>
      </c>
      <c r="G105" s="78">
        <v>2718300.389463449</v>
      </c>
      <c r="H105" s="78">
        <v>1205976.0773400085</v>
      </c>
      <c r="I105" s="80">
        <v>45144.0</v>
      </c>
      <c r="J105" s="80">
        <v>45172.0</v>
      </c>
      <c r="K105" s="79">
        <v>257217.41010070036</v>
      </c>
      <c r="L105" s="83" t="s">
        <v>48</v>
      </c>
      <c r="M105" s="70" t="s">
        <v>131</v>
      </c>
      <c r="N105" s="61"/>
      <c r="O105" s="86"/>
      <c r="P105" s="86"/>
      <c r="Q105" s="86"/>
      <c r="R105" s="61" t="str">
        <f t="shared" si="1"/>
        <v>2023</v>
      </c>
      <c r="S105" s="62">
        <f t="shared" si="2"/>
        <v>9</v>
      </c>
      <c r="T105" s="61" t="str">
        <f t="shared" si="3"/>
        <v>2023-Q3</v>
      </c>
      <c r="U105" s="63" t="str">
        <f t="shared" si="4"/>
        <v>2023-09</v>
      </c>
      <c r="V105" s="64" t="str">
        <f t="shared" si="5"/>
        <v>2023-H2</v>
      </c>
      <c r="W105" s="32"/>
      <c r="X105" s="32"/>
    </row>
    <row r="106">
      <c r="A106" s="77">
        <f>HYPERLINK("https://polkadot.subsquare.io/referenda/104", 104)</f>
        <v>104</v>
      </c>
      <c r="B106" s="40" t="s">
        <v>1916</v>
      </c>
      <c r="C106" s="40" t="s">
        <v>1846</v>
      </c>
      <c r="D106" s="78">
        <v>2441.0</v>
      </c>
      <c r="E106" s="79">
        <v>12337.497002124786</v>
      </c>
      <c r="F106" s="40" t="s">
        <v>1848</v>
      </c>
      <c r="G106" s="78">
        <v>469.5001</v>
      </c>
      <c r="H106" s="78">
        <v>9666029.169369327</v>
      </c>
      <c r="I106" s="80">
        <v>45144.0</v>
      </c>
      <c r="J106" s="80">
        <v>45173.0</v>
      </c>
      <c r="K106" s="79">
        <v>10421.578921318054</v>
      </c>
      <c r="L106" s="81" t="s">
        <v>90</v>
      </c>
      <c r="M106" s="81" t="s">
        <v>90</v>
      </c>
      <c r="N106" s="86"/>
      <c r="O106" s="61"/>
      <c r="P106" s="61"/>
      <c r="Q106" s="61"/>
      <c r="R106" s="61" t="str">
        <f t="shared" si="1"/>
        <v>2023</v>
      </c>
      <c r="S106" s="62">
        <f t="shared" si="2"/>
        <v>9</v>
      </c>
      <c r="T106" s="61" t="str">
        <f t="shared" si="3"/>
        <v>2023-Q3</v>
      </c>
      <c r="U106" s="63" t="str">
        <f t="shared" si="4"/>
        <v>2023-09</v>
      </c>
      <c r="V106" s="64" t="str">
        <f t="shared" si="5"/>
        <v>2023-H2</v>
      </c>
      <c r="W106" s="32"/>
      <c r="X106" s="32"/>
    </row>
    <row r="107">
      <c r="A107" s="77">
        <f>HYPERLINK("https://polkadot.subsquare.io/referenda/105", 105)</f>
        <v>105</v>
      </c>
      <c r="B107" s="40" t="s">
        <v>992</v>
      </c>
      <c r="C107" s="40" t="s">
        <v>1851</v>
      </c>
      <c r="D107" s="78">
        <v>43877.1439</v>
      </c>
      <c r="E107" s="79">
        <v>221767.362281052</v>
      </c>
      <c r="F107" s="40" t="s">
        <v>1853</v>
      </c>
      <c r="G107" s="78">
        <v>1.3428261636466892E7</v>
      </c>
      <c r="H107" s="78">
        <v>490200.5592823739</v>
      </c>
      <c r="I107" s="80">
        <v>45144.0</v>
      </c>
      <c r="J107" s="80">
        <v>45165.0</v>
      </c>
      <c r="K107" s="79">
        <v>199041.0256758802</v>
      </c>
      <c r="L107" s="70" t="s">
        <v>46</v>
      </c>
      <c r="M107" s="70" t="s">
        <v>102</v>
      </c>
      <c r="N107" s="61"/>
      <c r="O107" s="86"/>
      <c r="P107" s="86"/>
      <c r="Q107" s="86"/>
      <c r="R107" s="61" t="str">
        <f t="shared" si="1"/>
        <v>2023</v>
      </c>
      <c r="S107" s="62">
        <f t="shared" si="2"/>
        <v>8</v>
      </c>
      <c r="T107" s="61" t="str">
        <f t="shared" si="3"/>
        <v>2023-Q3</v>
      </c>
      <c r="U107" s="63" t="str">
        <f t="shared" si="4"/>
        <v>2023-08</v>
      </c>
      <c r="V107" s="64" t="str">
        <f t="shared" si="5"/>
        <v>2023-H2</v>
      </c>
      <c r="W107" s="32"/>
      <c r="X107" s="32"/>
    </row>
    <row r="108">
      <c r="A108" s="77">
        <f>HYPERLINK("https://polkadot.subsquare.io/referenda/106", 106)</f>
        <v>106</v>
      </c>
      <c r="B108" s="40" t="s">
        <v>1917</v>
      </c>
      <c r="C108" s="40" t="s">
        <v>1846</v>
      </c>
      <c r="D108" s="78">
        <v>10400.0</v>
      </c>
      <c r="E108" s="79">
        <v>52363.85459899902</v>
      </c>
      <c r="F108" s="40" t="s">
        <v>1853</v>
      </c>
      <c r="G108" s="78">
        <v>46.5606</v>
      </c>
      <c r="H108" s="78">
        <v>1.0376856235622648E7</v>
      </c>
      <c r="I108" s="80">
        <v>45147.0</v>
      </c>
      <c r="J108" s="80">
        <v>45175.0</v>
      </c>
      <c r="K108" s="79">
        <v>44092.83866882324</v>
      </c>
      <c r="L108" s="81" t="s">
        <v>90</v>
      </c>
      <c r="M108" s="81" t="s">
        <v>90</v>
      </c>
      <c r="N108" s="86"/>
      <c r="O108" s="61"/>
      <c r="P108" s="61"/>
      <c r="Q108" s="61"/>
      <c r="R108" s="61" t="str">
        <f t="shared" si="1"/>
        <v>2023</v>
      </c>
      <c r="S108" s="62">
        <f t="shared" si="2"/>
        <v>9</v>
      </c>
      <c r="T108" s="61" t="str">
        <f t="shared" si="3"/>
        <v>2023-Q3</v>
      </c>
      <c r="U108" s="63" t="str">
        <f t="shared" si="4"/>
        <v>2023-09</v>
      </c>
      <c r="V108" s="64" t="str">
        <f t="shared" si="5"/>
        <v>2023-H2</v>
      </c>
      <c r="W108" s="32"/>
      <c r="X108" s="32"/>
    </row>
    <row r="109">
      <c r="A109" s="77">
        <f>HYPERLINK("https://polkadot.subsquare.io/referenda/107", 107)</f>
        <v>107</v>
      </c>
      <c r="B109" s="40" t="s">
        <v>1918</v>
      </c>
      <c r="C109" s="40" t="s">
        <v>1846</v>
      </c>
      <c r="D109" s="78">
        <v>81300.0</v>
      </c>
      <c r="E109" s="79">
        <v>405386.421918869</v>
      </c>
      <c r="F109" s="40" t="s">
        <v>1853</v>
      </c>
      <c r="G109" s="78">
        <v>349300.0235388797</v>
      </c>
      <c r="H109" s="78">
        <v>2.4637372195392903E7</v>
      </c>
      <c r="I109" s="80">
        <v>45148.0</v>
      </c>
      <c r="J109" s="80">
        <v>45177.0</v>
      </c>
      <c r="K109" s="79">
        <v>337553.6029815674</v>
      </c>
      <c r="L109" s="70" t="s">
        <v>90</v>
      </c>
      <c r="M109" s="70" t="s">
        <v>90</v>
      </c>
      <c r="N109" s="61"/>
      <c r="O109" s="86"/>
      <c r="P109" s="86"/>
      <c r="Q109" s="86"/>
      <c r="R109" s="61" t="str">
        <f t="shared" si="1"/>
        <v>2023</v>
      </c>
      <c r="S109" s="62">
        <f t="shared" si="2"/>
        <v>9</v>
      </c>
      <c r="T109" s="61" t="str">
        <f t="shared" si="3"/>
        <v>2023-Q3</v>
      </c>
      <c r="U109" s="63" t="str">
        <f t="shared" si="4"/>
        <v>2023-09</v>
      </c>
      <c r="V109" s="64" t="str">
        <f t="shared" si="5"/>
        <v>2023-H2</v>
      </c>
      <c r="W109" s="32"/>
      <c r="X109" s="32"/>
    </row>
    <row r="110">
      <c r="A110" s="77">
        <f>HYPERLINK("https://polkadot.subsquare.io/referenda/108", 108)</f>
        <v>108</v>
      </c>
      <c r="B110" s="40" t="s">
        <v>982</v>
      </c>
      <c r="C110" s="40" t="s">
        <v>1851</v>
      </c>
      <c r="D110" s="78">
        <v>80.0</v>
      </c>
      <c r="E110" s="79">
        <v>399.0641784667969</v>
      </c>
      <c r="F110" s="40" t="s">
        <v>982</v>
      </c>
      <c r="G110" s="78">
        <v>1110896.6022407254</v>
      </c>
      <c r="H110" s="78">
        <v>96196.205521818</v>
      </c>
      <c r="I110" s="80">
        <v>45150.0</v>
      </c>
      <c r="J110" s="80">
        <v>45156.0</v>
      </c>
      <c r="K110" s="79">
        <v>361.59793853759766</v>
      </c>
      <c r="L110" s="81" t="s">
        <v>46</v>
      </c>
      <c r="M110" s="81" t="s">
        <v>102</v>
      </c>
      <c r="N110" s="86"/>
      <c r="O110" s="61"/>
      <c r="P110" s="61"/>
      <c r="Q110" s="61"/>
      <c r="R110" s="61" t="str">
        <f t="shared" si="1"/>
        <v>2023</v>
      </c>
      <c r="S110" s="62">
        <f t="shared" si="2"/>
        <v>8</v>
      </c>
      <c r="T110" s="61" t="str">
        <f t="shared" si="3"/>
        <v>2023-Q3</v>
      </c>
      <c r="U110" s="63" t="str">
        <f t="shared" si="4"/>
        <v>2023-08</v>
      </c>
      <c r="V110" s="64" t="str">
        <f t="shared" si="5"/>
        <v>2023-H2</v>
      </c>
      <c r="W110" s="32"/>
      <c r="X110" s="32"/>
    </row>
    <row r="111">
      <c r="A111" s="77">
        <f>HYPERLINK("https://polkadot.subsquare.io/referenda/109", 109)</f>
        <v>109</v>
      </c>
      <c r="B111" s="40" t="s">
        <v>1919</v>
      </c>
      <c r="C111" s="40" t="s">
        <v>1846</v>
      </c>
      <c r="D111" s="78">
        <v>41936.15</v>
      </c>
      <c r="E111" s="79">
        <v>195674.3712114811</v>
      </c>
      <c r="F111" s="40" t="s">
        <v>1853</v>
      </c>
      <c r="G111" s="78">
        <v>1607072.6209056086</v>
      </c>
      <c r="H111" s="78">
        <v>9897751.71654564</v>
      </c>
      <c r="I111" s="80">
        <v>45151.0</v>
      </c>
      <c r="J111" s="80">
        <v>45179.0</v>
      </c>
      <c r="K111" s="79">
        <v>167864.8402448416</v>
      </c>
      <c r="L111" s="70" t="s">
        <v>90</v>
      </c>
      <c r="M111" s="70" t="s">
        <v>90</v>
      </c>
      <c r="N111" s="61"/>
      <c r="O111" s="86"/>
      <c r="P111" s="86"/>
      <c r="Q111" s="86"/>
      <c r="R111" s="61" t="str">
        <f t="shared" si="1"/>
        <v>2023</v>
      </c>
      <c r="S111" s="62">
        <f t="shared" si="2"/>
        <v>9</v>
      </c>
      <c r="T111" s="61" t="str">
        <f t="shared" si="3"/>
        <v>2023-Q3</v>
      </c>
      <c r="U111" s="63" t="str">
        <f t="shared" si="4"/>
        <v>2023-09</v>
      </c>
      <c r="V111" s="64" t="str">
        <f t="shared" si="5"/>
        <v>2023-H2</v>
      </c>
      <c r="W111" s="32"/>
      <c r="X111" s="32"/>
    </row>
    <row r="112">
      <c r="A112" s="77">
        <f>HYPERLINK("https://polkadot.subsquare.io/referenda/110", 110)</f>
        <v>110</v>
      </c>
      <c r="B112" s="40" t="s">
        <v>1920</v>
      </c>
      <c r="C112" s="40" t="s">
        <v>1851</v>
      </c>
      <c r="D112" s="78">
        <v>0.0</v>
      </c>
      <c r="E112" s="79">
        <v>0.0</v>
      </c>
      <c r="F112" s="40" t="s">
        <v>1852</v>
      </c>
      <c r="G112" s="78">
        <v>6.832810810186908E7</v>
      </c>
      <c r="H112" s="78">
        <v>10.0</v>
      </c>
      <c r="I112" s="80">
        <v>45151.0</v>
      </c>
      <c r="J112" s="80">
        <v>45168.0</v>
      </c>
      <c r="K112" s="79">
        <v>0.0</v>
      </c>
      <c r="L112" s="81" t="s">
        <v>90</v>
      </c>
      <c r="M112" s="81" t="s">
        <v>90</v>
      </c>
      <c r="N112" s="86"/>
      <c r="O112" s="61"/>
      <c r="P112" s="61"/>
      <c r="Q112" s="61"/>
      <c r="R112" s="61" t="str">
        <f t="shared" si="1"/>
        <v>2023</v>
      </c>
      <c r="S112" s="62">
        <f t="shared" si="2"/>
        <v>8</v>
      </c>
      <c r="T112" s="61" t="str">
        <f t="shared" si="3"/>
        <v>2023-Q3</v>
      </c>
      <c r="U112" s="63" t="str">
        <f t="shared" si="4"/>
        <v>2023-08</v>
      </c>
      <c r="V112" s="64" t="str">
        <f t="shared" si="5"/>
        <v>2023-H2</v>
      </c>
      <c r="W112" s="32"/>
      <c r="X112" s="32"/>
    </row>
    <row r="113">
      <c r="A113" s="77">
        <f>HYPERLINK("https://polkadot.subsquare.io/referenda/111", 111)</f>
        <v>111</v>
      </c>
      <c r="B113" s="40" t="s">
        <v>1921</v>
      </c>
      <c r="C113" s="40" t="s">
        <v>1851</v>
      </c>
      <c r="D113" s="78">
        <v>0.0</v>
      </c>
      <c r="E113" s="79">
        <v>0.0</v>
      </c>
      <c r="F113" s="40" t="s">
        <v>1855</v>
      </c>
      <c r="G113" s="78">
        <v>9549371.48081784</v>
      </c>
      <c r="H113" s="78">
        <v>1777789.0804504848</v>
      </c>
      <c r="I113" s="80">
        <v>45152.0</v>
      </c>
      <c r="J113" s="80">
        <v>45180.0</v>
      </c>
      <c r="K113" s="79">
        <v>0.0</v>
      </c>
      <c r="L113" s="70" t="s">
        <v>90</v>
      </c>
      <c r="M113" s="70" t="s">
        <v>90</v>
      </c>
      <c r="N113" s="61"/>
      <c r="O113" s="86"/>
      <c r="P113" s="86"/>
      <c r="Q113" s="86"/>
      <c r="R113" s="61" t="str">
        <f t="shared" si="1"/>
        <v>2023</v>
      </c>
      <c r="S113" s="62">
        <f t="shared" si="2"/>
        <v>9</v>
      </c>
      <c r="T113" s="61" t="str">
        <f t="shared" si="3"/>
        <v>2023-Q3</v>
      </c>
      <c r="U113" s="63" t="str">
        <f t="shared" si="4"/>
        <v>2023-09</v>
      </c>
      <c r="V113" s="64" t="str">
        <f t="shared" si="5"/>
        <v>2023-H2</v>
      </c>
      <c r="W113" s="32"/>
      <c r="X113" s="32"/>
    </row>
    <row r="114">
      <c r="A114" s="77">
        <f>HYPERLINK("https://polkadot.subsquare.io/referenda/112", 112)</f>
        <v>112</v>
      </c>
      <c r="B114" s="40" t="s">
        <v>993</v>
      </c>
      <c r="C114" s="40" t="s">
        <v>1851</v>
      </c>
      <c r="D114" s="78">
        <v>172.387</v>
      </c>
      <c r="E114" s="79">
        <v>804.3589559373855</v>
      </c>
      <c r="F114" s="40" t="s">
        <v>982</v>
      </c>
      <c r="G114" s="78">
        <v>6915202.110300566</v>
      </c>
      <c r="H114" s="78">
        <v>32741.1</v>
      </c>
      <c r="I114" s="80">
        <v>45152.0</v>
      </c>
      <c r="J114" s="80">
        <v>45155.0</v>
      </c>
      <c r="K114" s="79">
        <v>778.7728910417557</v>
      </c>
      <c r="L114" s="81" t="s">
        <v>49</v>
      </c>
      <c r="M114" s="81" t="s">
        <v>108</v>
      </c>
      <c r="N114" s="86"/>
      <c r="O114" s="61"/>
      <c r="P114" s="61"/>
      <c r="Q114" s="61"/>
      <c r="R114" s="61" t="str">
        <f t="shared" si="1"/>
        <v>2023</v>
      </c>
      <c r="S114" s="62">
        <f t="shared" si="2"/>
        <v>8</v>
      </c>
      <c r="T114" s="61" t="str">
        <f t="shared" si="3"/>
        <v>2023-Q3</v>
      </c>
      <c r="U114" s="63" t="str">
        <f t="shared" si="4"/>
        <v>2023-08</v>
      </c>
      <c r="V114" s="64" t="str">
        <f t="shared" si="5"/>
        <v>2023-H2</v>
      </c>
      <c r="W114" s="32"/>
      <c r="X114" s="32"/>
    </row>
    <row r="115">
      <c r="A115" s="77">
        <f>HYPERLINK("https://polkadot.subsquare.io/referenda/113", 113)</f>
        <v>113</v>
      </c>
      <c r="B115" s="40" t="s">
        <v>994</v>
      </c>
      <c r="C115" s="40" t="s">
        <v>1851</v>
      </c>
      <c r="D115" s="78">
        <v>212.8825</v>
      </c>
      <c r="E115" s="79">
        <v>993.3112441039085</v>
      </c>
      <c r="F115" s="40" t="s">
        <v>982</v>
      </c>
      <c r="G115" s="78">
        <v>6935202.312304886</v>
      </c>
      <c r="H115" s="78">
        <v>12741.0</v>
      </c>
      <c r="I115" s="80">
        <v>45152.0</v>
      </c>
      <c r="J115" s="80">
        <v>45155.0</v>
      </c>
      <c r="K115" s="79">
        <v>961.7147463393211</v>
      </c>
      <c r="L115" s="70" t="s">
        <v>49</v>
      </c>
      <c r="M115" s="70" t="s">
        <v>108</v>
      </c>
      <c r="N115" s="61"/>
      <c r="O115" s="86"/>
      <c r="P115" s="86"/>
      <c r="Q115" s="86"/>
      <c r="R115" s="61" t="str">
        <f t="shared" si="1"/>
        <v>2023</v>
      </c>
      <c r="S115" s="62">
        <f t="shared" si="2"/>
        <v>8</v>
      </c>
      <c r="T115" s="61" t="str">
        <f t="shared" si="3"/>
        <v>2023-Q3</v>
      </c>
      <c r="U115" s="63" t="str">
        <f t="shared" si="4"/>
        <v>2023-08</v>
      </c>
      <c r="V115" s="64" t="str">
        <f t="shared" si="5"/>
        <v>2023-H2</v>
      </c>
      <c r="W115" s="32"/>
      <c r="X115" s="32"/>
    </row>
    <row r="116">
      <c r="A116" s="77">
        <f>HYPERLINK("https://polkadot.subsquare.io/referenda/114", 114)</f>
        <v>114</v>
      </c>
      <c r="B116" s="40" t="s">
        <v>995</v>
      </c>
      <c r="C116" s="40" t="s">
        <v>1851</v>
      </c>
      <c r="D116" s="78">
        <v>500.0</v>
      </c>
      <c r="E116" s="79">
        <v>2333.003520965576</v>
      </c>
      <c r="F116" s="40" t="s">
        <v>1869</v>
      </c>
      <c r="G116" s="78">
        <v>6964815.49971053</v>
      </c>
      <c r="H116" s="78">
        <v>27741.1</v>
      </c>
      <c r="I116" s="80">
        <v>45152.0</v>
      </c>
      <c r="J116" s="80">
        <v>45156.0</v>
      </c>
      <c r="K116" s="79">
        <v>2216.8214321136475</v>
      </c>
      <c r="L116" s="81" t="s">
        <v>49</v>
      </c>
      <c r="M116" s="81" t="s">
        <v>108</v>
      </c>
      <c r="N116" s="86"/>
      <c r="O116" s="61"/>
      <c r="P116" s="61"/>
      <c r="Q116" s="61"/>
      <c r="R116" s="61" t="str">
        <f t="shared" si="1"/>
        <v>2023</v>
      </c>
      <c r="S116" s="62">
        <f t="shared" si="2"/>
        <v>8</v>
      </c>
      <c r="T116" s="61" t="str">
        <f t="shared" si="3"/>
        <v>2023-Q3</v>
      </c>
      <c r="U116" s="63" t="str">
        <f t="shared" si="4"/>
        <v>2023-08</v>
      </c>
      <c r="V116" s="64" t="str">
        <f t="shared" si="5"/>
        <v>2023-H2</v>
      </c>
      <c r="W116" s="32"/>
      <c r="X116" s="32"/>
    </row>
    <row r="117">
      <c r="A117" s="77">
        <f>HYPERLINK("https://polkadot.subsquare.io/referenda/115", 115)</f>
        <v>115</v>
      </c>
      <c r="B117" s="40" t="s">
        <v>996</v>
      </c>
      <c r="C117" s="40" t="s">
        <v>1851</v>
      </c>
      <c r="D117" s="78">
        <v>360.2</v>
      </c>
      <c r="E117" s="79">
        <v>1680.695736503601</v>
      </c>
      <c r="F117" s="40" t="s">
        <v>1869</v>
      </c>
      <c r="G117" s="78">
        <v>6459460.543195448</v>
      </c>
      <c r="H117" s="78">
        <v>27741.1</v>
      </c>
      <c r="I117" s="80">
        <v>45152.0</v>
      </c>
      <c r="J117" s="80">
        <v>45157.0</v>
      </c>
      <c r="K117" s="79">
        <v>1596.9981596946716</v>
      </c>
      <c r="L117" s="70" t="s">
        <v>49</v>
      </c>
      <c r="M117" s="70" t="s">
        <v>108</v>
      </c>
      <c r="N117" s="61"/>
      <c r="O117" s="86"/>
      <c r="P117" s="86"/>
      <c r="Q117" s="86"/>
      <c r="R117" s="61" t="str">
        <f t="shared" si="1"/>
        <v>2023</v>
      </c>
      <c r="S117" s="62">
        <f t="shared" si="2"/>
        <v>8</v>
      </c>
      <c r="T117" s="61" t="str">
        <f t="shared" si="3"/>
        <v>2023-Q3</v>
      </c>
      <c r="U117" s="63" t="str">
        <f t="shared" si="4"/>
        <v>2023-08</v>
      </c>
      <c r="V117" s="64" t="str">
        <f t="shared" si="5"/>
        <v>2023-H2</v>
      </c>
      <c r="W117" s="32"/>
      <c r="X117" s="32"/>
    </row>
    <row r="118">
      <c r="A118" s="77">
        <f>HYPERLINK("https://polkadot.subsquare.io/referenda/116", 116)</f>
        <v>116</v>
      </c>
      <c r="B118" s="40" t="s">
        <v>1922</v>
      </c>
      <c r="C118" s="40" t="s">
        <v>1846</v>
      </c>
      <c r="D118" s="78">
        <v>16842.0</v>
      </c>
      <c r="E118" s="79">
        <v>78584.89060020447</v>
      </c>
      <c r="F118" s="40" t="s">
        <v>1853</v>
      </c>
      <c r="G118" s="78">
        <v>552334.3568617809</v>
      </c>
      <c r="H118" s="78">
        <v>7669622.991030213</v>
      </c>
      <c r="I118" s="80">
        <v>45152.0</v>
      </c>
      <c r="J118" s="80">
        <v>45180.0</v>
      </c>
      <c r="K118" s="79">
        <v>68357.06049442291</v>
      </c>
      <c r="L118" s="81" t="s">
        <v>90</v>
      </c>
      <c r="M118" s="81" t="s">
        <v>90</v>
      </c>
      <c r="N118" s="86"/>
      <c r="O118" s="61"/>
      <c r="P118" s="61"/>
      <c r="Q118" s="61"/>
      <c r="R118" s="61" t="str">
        <f t="shared" si="1"/>
        <v>2023</v>
      </c>
      <c r="S118" s="62">
        <f t="shared" si="2"/>
        <v>9</v>
      </c>
      <c r="T118" s="61" t="str">
        <f t="shared" si="3"/>
        <v>2023-Q3</v>
      </c>
      <c r="U118" s="63" t="str">
        <f t="shared" si="4"/>
        <v>2023-09</v>
      </c>
      <c r="V118" s="64" t="str">
        <f t="shared" si="5"/>
        <v>2023-H2</v>
      </c>
      <c r="W118" s="32"/>
      <c r="X118" s="32"/>
    </row>
    <row r="119">
      <c r="A119" s="77">
        <f>HYPERLINK("https://polkadot.subsquare.io/referenda/117", 117)</f>
        <v>117</v>
      </c>
      <c r="B119" s="40" t="s">
        <v>1923</v>
      </c>
      <c r="C119" s="40" t="s">
        <v>1846</v>
      </c>
      <c r="D119" s="78">
        <v>26616.0</v>
      </c>
      <c r="E119" s="79">
        <v>118120.84882736206</v>
      </c>
      <c r="F119" s="40" t="s">
        <v>1853</v>
      </c>
      <c r="G119" s="78">
        <v>2416625.7260041023</v>
      </c>
      <c r="H119" s="78">
        <v>1.7394431087814342E7</v>
      </c>
      <c r="I119" s="80">
        <v>45152.0</v>
      </c>
      <c r="J119" s="80">
        <v>45180.0</v>
      </c>
      <c r="K119" s="79">
        <v>108027.04679489136</v>
      </c>
      <c r="L119" s="70" t="s">
        <v>90</v>
      </c>
      <c r="M119" s="70" t="s">
        <v>90</v>
      </c>
      <c r="N119" s="61"/>
      <c r="O119" s="86"/>
      <c r="P119" s="86"/>
      <c r="Q119" s="86"/>
      <c r="R119" s="61" t="str">
        <f t="shared" si="1"/>
        <v>2023</v>
      </c>
      <c r="S119" s="62">
        <f t="shared" si="2"/>
        <v>9</v>
      </c>
      <c r="T119" s="61" t="str">
        <f t="shared" si="3"/>
        <v>2023-Q3</v>
      </c>
      <c r="U119" s="63" t="str">
        <f t="shared" si="4"/>
        <v>2023-09</v>
      </c>
      <c r="V119" s="64" t="str">
        <f t="shared" si="5"/>
        <v>2023-H2</v>
      </c>
      <c r="W119" s="32"/>
      <c r="X119" s="32"/>
    </row>
    <row r="120">
      <c r="A120" s="77">
        <f>HYPERLINK("https://polkadot.subsquare.io/referenda/118", 118)</f>
        <v>118</v>
      </c>
      <c r="B120" s="40" t="s">
        <v>997</v>
      </c>
      <c r="C120" s="40" t="s">
        <v>1851</v>
      </c>
      <c r="D120" s="78">
        <v>4100.0</v>
      </c>
      <c r="E120" s="79">
        <v>18498.44570159912</v>
      </c>
      <c r="F120" s="40" t="s">
        <v>1848</v>
      </c>
      <c r="G120" s="78">
        <v>1.0393061010226985E7</v>
      </c>
      <c r="H120" s="78">
        <v>1462553.2046127678</v>
      </c>
      <c r="I120" s="80">
        <v>45153.0</v>
      </c>
      <c r="J120" s="80">
        <v>45176.0</v>
      </c>
      <c r="K120" s="79">
        <v>17382.753705978394</v>
      </c>
      <c r="L120" s="81" t="s">
        <v>46</v>
      </c>
      <c r="M120" s="81" t="s">
        <v>110</v>
      </c>
      <c r="N120" s="86"/>
      <c r="O120" s="61"/>
      <c r="P120" s="61"/>
      <c r="Q120" s="61"/>
      <c r="R120" s="61" t="str">
        <f t="shared" si="1"/>
        <v>2023</v>
      </c>
      <c r="S120" s="62">
        <f t="shared" si="2"/>
        <v>9</v>
      </c>
      <c r="T120" s="61" t="str">
        <f t="shared" si="3"/>
        <v>2023-Q3</v>
      </c>
      <c r="U120" s="63" t="str">
        <f t="shared" si="4"/>
        <v>2023-09</v>
      </c>
      <c r="V120" s="64" t="str">
        <f t="shared" si="5"/>
        <v>2023-H2</v>
      </c>
      <c r="W120" s="32"/>
      <c r="X120" s="32"/>
    </row>
    <row r="121">
      <c r="A121" s="77">
        <f>HYPERLINK("https://polkadot.subsquare.io/referenda/119", 119)</f>
        <v>119</v>
      </c>
      <c r="B121" s="40" t="s">
        <v>998</v>
      </c>
      <c r="C121" s="40" t="s">
        <v>1851</v>
      </c>
      <c r="D121" s="78">
        <v>27259.0</v>
      </c>
      <c r="E121" s="79">
        <v>122987.59301948547</v>
      </c>
      <c r="F121" s="40" t="s">
        <v>1853</v>
      </c>
      <c r="G121" s="78">
        <v>9881167.304925859</v>
      </c>
      <c r="H121" s="78">
        <v>1774058.2108842062</v>
      </c>
      <c r="I121" s="80">
        <v>45153.0</v>
      </c>
      <c r="J121" s="80">
        <v>45182.0</v>
      </c>
      <c r="K121" s="79">
        <v>114095.51201915741</v>
      </c>
      <c r="L121" s="70" t="s">
        <v>46</v>
      </c>
      <c r="M121" s="70" t="s">
        <v>119</v>
      </c>
      <c r="N121" s="61"/>
      <c r="O121" s="86"/>
      <c r="P121" s="86"/>
      <c r="Q121" s="86"/>
      <c r="R121" s="61" t="str">
        <f t="shared" si="1"/>
        <v>2023</v>
      </c>
      <c r="S121" s="62">
        <f t="shared" si="2"/>
        <v>9</v>
      </c>
      <c r="T121" s="61" t="str">
        <f t="shared" si="3"/>
        <v>2023-Q3</v>
      </c>
      <c r="U121" s="63" t="str">
        <f t="shared" si="4"/>
        <v>2023-09</v>
      </c>
      <c r="V121" s="64" t="str">
        <f t="shared" si="5"/>
        <v>2023-H2</v>
      </c>
      <c r="W121" s="32"/>
      <c r="X121" s="32"/>
    </row>
    <row r="122">
      <c r="A122" s="77">
        <f>HYPERLINK("https://polkadot.subsquare.io/referenda/120", 120)</f>
        <v>120</v>
      </c>
      <c r="B122" s="40" t="s">
        <v>999</v>
      </c>
      <c r="C122" s="40" t="s">
        <v>1851</v>
      </c>
      <c r="D122" s="78">
        <v>42820.0</v>
      </c>
      <c r="E122" s="79">
        <v>193442.9811668396</v>
      </c>
      <c r="F122" s="40" t="s">
        <v>1853</v>
      </c>
      <c r="G122" s="78">
        <v>1.3377423438059485E7</v>
      </c>
      <c r="H122" s="78">
        <v>741684.2711678819</v>
      </c>
      <c r="I122" s="80">
        <v>45154.0</v>
      </c>
      <c r="J122" s="80">
        <v>45179.0</v>
      </c>
      <c r="K122" s="79">
        <v>170720.25636672974</v>
      </c>
      <c r="L122" s="81" t="s">
        <v>46</v>
      </c>
      <c r="M122" s="81" t="s">
        <v>124</v>
      </c>
      <c r="N122" s="86"/>
      <c r="O122" s="61"/>
      <c r="P122" s="61"/>
      <c r="Q122" s="61"/>
      <c r="R122" s="61" t="str">
        <f t="shared" si="1"/>
        <v>2023</v>
      </c>
      <c r="S122" s="62">
        <f t="shared" si="2"/>
        <v>9</v>
      </c>
      <c r="T122" s="61" t="str">
        <f t="shared" si="3"/>
        <v>2023-Q3</v>
      </c>
      <c r="U122" s="63" t="str">
        <f t="shared" si="4"/>
        <v>2023-09</v>
      </c>
      <c r="V122" s="64" t="str">
        <f t="shared" si="5"/>
        <v>2023-H2</v>
      </c>
      <c r="W122" s="32"/>
      <c r="X122" s="32"/>
    </row>
    <row r="123">
      <c r="A123" s="77">
        <f>HYPERLINK("https://polkadot.subsquare.io/referenda/121", 121)</f>
        <v>121</v>
      </c>
      <c r="B123" s="40" t="s">
        <v>1924</v>
      </c>
      <c r="C123" s="40" t="s">
        <v>1846</v>
      </c>
      <c r="D123" s="78">
        <v>20359.6878</v>
      </c>
      <c r="E123" s="79">
        <v>90004.46167887497</v>
      </c>
      <c r="F123" s="40" t="s">
        <v>1853</v>
      </c>
      <c r="G123" s="78">
        <v>1639770.42252777</v>
      </c>
      <c r="H123" s="78">
        <v>9528437.06765272</v>
      </c>
      <c r="I123" s="80">
        <v>45158.0</v>
      </c>
      <c r="J123" s="80">
        <v>45186.0</v>
      </c>
      <c r="K123" s="79">
        <v>84619.78737840356</v>
      </c>
      <c r="L123" s="70" t="s">
        <v>90</v>
      </c>
      <c r="M123" s="70" t="s">
        <v>90</v>
      </c>
      <c r="N123" s="61"/>
      <c r="O123" s="86"/>
      <c r="P123" s="86"/>
      <c r="Q123" s="86"/>
      <c r="R123" s="61" t="str">
        <f t="shared" si="1"/>
        <v>2023</v>
      </c>
      <c r="S123" s="62">
        <f t="shared" si="2"/>
        <v>9</v>
      </c>
      <c r="T123" s="61" t="str">
        <f t="shared" si="3"/>
        <v>2023-Q3</v>
      </c>
      <c r="U123" s="63" t="str">
        <f t="shared" si="4"/>
        <v>2023-09</v>
      </c>
      <c r="V123" s="64" t="str">
        <f t="shared" si="5"/>
        <v>2023-H2</v>
      </c>
      <c r="W123" s="32"/>
      <c r="X123" s="32"/>
    </row>
    <row r="124">
      <c r="A124" s="77">
        <f>HYPERLINK("https://polkadot.subsquare.io/referenda/122", 122)</f>
        <v>122</v>
      </c>
      <c r="B124" s="40" t="s">
        <v>1925</v>
      </c>
      <c r="C124" s="40" t="s">
        <v>1851</v>
      </c>
      <c r="D124" s="78">
        <v>0.0</v>
      </c>
      <c r="E124" s="79">
        <v>0.0</v>
      </c>
      <c r="F124" s="40" t="s">
        <v>1852</v>
      </c>
      <c r="G124" s="78">
        <v>8.206835035509123E7</v>
      </c>
      <c r="H124" s="78">
        <v>5000.0</v>
      </c>
      <c r="I124" s="80">
        <v>45158.0</v>
      </c>
      <c r="J124" s="80">
        <v>45168.0</v>
      </c>
      <c r="K124" s="79">
        <v>0.0</v>
      </c>
      <c r="L124" s="81" t="s">
        <v>90</v>
      </c>
      <c r="M124" s="81" t="s">
        <v>90</v>
      </c>
      <c r="N124" s="86"/>
      <c r="O124" s="61"/>
      <c r="P124" s="61"/>
      <c r="Q124" s="61"/>
      <c r="R124" s="61" t="str">
        <f t="shared" si="1"/>
        <v>2023</v>
      </c>
      <c r="S124" s="62">
        <f t="shared" si="2"/>
        <v>8</v>
      </c>
      <c r="T124" s="61" t="str">
        <f t="shared" si="3"/>
        <v>2023-Q3</v>
      </c>
      <c r="U124" s="63" t="str">
        <f t="shared" si="4"/>
        <v>2023-08</v>
      </c>
      <c r="V124" s="64" t="str">
        <f t="shared" si="5"/>
        <v>2023-H2</v>
      </c>
      <c r="W124" s="32"/>
      <c r="X124" s="32"/>
    </row>
    <row r="125">
      <c r="A125" s="77">
        <f>HYPERLINK("https://polkadot.subsquare.io/referenda/123", 123)</f>
        <v>123</v>
      </c>
      <c r="B125" s="40" t="s">
        <v>1000</v>
      </c>
      <c r="C125" s="40" t="s">
        <v>1851</v>
      </c>
      <c r="D125" s="78">
        <v>300.0</v>
      </c>
      <c r="E125" s="79">
        <v>1326.2157440185547</v>
      </c>
      <c r="F125" s="40" t="s">
        <v>1869</v>
      </c>
      <c r="G125" s="78">
        <v>6510028.820878574</v>
      </c>
      <c r="H125" s="78">
        <v>20708.8341525147</v>
      </c>
      <c r="I125" s="80">
        <v>45158.0</v>
      </c>
      <c r="J125" s="80">
        <v>45162.0</v>
      </c>
      <c r="K125" s="79">
        <v>1347.7179050445557</v>
      </c>
      <c r="L125" s="70" t="s">
        <v>49</v>
      </c>
      <c r="M125" s="70" t="s">
        <v>108</v>
      </c>
      <c r="N125" s="61"/>
      <c r="O125" s="86"/>
      <c r="P125" s="86"/>
      <c r="Q125" s="86"/>
      <c r="R125" s="61" t="str">
        <f t="shared" si="1"/>
        <v>2023</v>
      </c>
      <c r="S125" s="62">
        <f t="shared" si="2"/>
        <v>8</v>
      </c>
      <c r="T125" s="61" t="str">
        <f t="shared" si="3"/>
        <v>2023-Q3</v>
      </c>
      <c r="U125" s="63" t="str">
        <f t="shared" si="4"/>
        <v>2023-08</v>
      </c>
      <c r="V125" s="64" t="str">
        <f t="shared" si="5"/>
        <v>2023-H2</v>
      </c>
      <c r="W125" s="32"/>
      <c r="X125" s="32"/>
    </row>
    <row r="126">
      <c r="A126" s="77">
        <f>HYPERLINK("https://polkadot.subsquare.io/referenda/124", 124)</f>
        <v>124</v>
      </c>
      <c r="B126" s="40" t="s">
        <v>1001</v>
      </c>
      <c r="C126" s="40" t="s">
        <v>1851</v>
      </c>
      <c r="D126" s="78">
        <v>40105.193</v>
      </c>
      <c r="E126" s="79">
        <v>177293.79457834244</v>
      </c>
      <c r="F126" s="40" t="s">
        <v>1853</v>
      </c>
      <c r="G126" s="78">
        <v>8838877.482657176</v>
      </c>
      <c r="H126" s="78">
        <v>2405004.184851485</v>
      </c>
      <c r="I126" s="80">
        <v>45158.0</v>
      </c>
      <c r="J126" s="80">
        <v>45183.0</v>
      </c>
      <c r="K126" s="79">
        <v>163412.5325917449</v>
      </c>
      <c r="L126" s="81" t="s">
        <v>46</v>
      </c>
      <c r="M126" s="81" t="s">
        <v>114</v>
      </c>
      <c r="N126" s="86"/>
      <c r="O126" s="61"/>
      <c r="P126" s="61"/>
      <c r="Q126" s="61"/>
      <c r="R126" s="61" t="str">
        <f t="shared" si="1"/>
        <v>2023</v>
      </c>
      <c r="S126" s="62">
        <f t="shared" si="2"/>
        <v>9</v>
      </c>
      <c r="T126" s="61" t="str">
        <f t="shared" si="3"/>
        <v>2023-Q3</v>
      </c>
      <c r="U126" s="63" t="str">
        <f t="shared" si="4"/>
        <v>2023-09</v>
      </c>
      <c r="V126" s="64" t="str">
        <f t="shared" si="5"/>
        <v>2023-H2</v>
      </c>
      <c r="W126" s="32"/>
      <c r="X126" s="32"/>
    </row>
    <row r="127">
      <c r="A127" s="77">
        <f>HYPERLINK("https://polkadot.subsquare.io/referenda/125", 125)</f>
        <v>125</v>
      </c>
      <c r="B127" s="40" t="s">
        <v>1002</v>
      </c>
      <c r="C127" s="40" t="s">
        <v>1851</v>
      </c>
      <c r="D127" s="78">
        <v>129145.0</v>
      </c>
      <c r="E127" s="79">
        <v>570913.7742042542</v>
      </c>
      <c r="F127" s="40" t="s">
        <v>1855</v>
      </c>
      <c r="G127" s="78">
        <v>2.5778966219183177E7</v>
      </c>
      <c r="H127" s="78">
        <v>8589727.942633545</v>
      </c>
      <c r="I127" s="80">
        <v>45158.0</v>
      </c>
      <c r="J127" s="80">
        <v>45183.0</v>
      </c>
      <c r="K127" s="79">
        <v>540550.4567193985</v>
      </c>
      <c r="L127" s="70" t="s">
        <v>46</v>
      </c>
      <c r="M127" s="70" t="s">
        <v>106</v>
      </c>
      <c r="N127" s="61"/>
      <c r="O127" s="86"/>
      <c r="P127" s="86"/>
      <c r="Q127" s="86"/>
      <c r="R127" s="61" t="str">
        <f t="shared" si="1"/>
        <v>2023</v>
      </c>
      <c r="S127" s="62">
        <f t="shared" si="2"/>
        <v>9</v>
      </c>
      <c r="T127" s="61" t="str">
        <f t="shared" si="3"/>
        <v>2023-Q3</v>
      </c>
      <c r="U127" s="63" t="str">
        <f t="shared" si="4"/>
        <v>2023-09</v>
      </c>
      <c r="V127" s="64" t="str">
        <f t="shared" si="5"/>
        <v>2023-H2</v>
      </c>
      <c r="W127" s="32"/>
      <c r="X127" s="32"/>
    </row>
    <row r="128">
      <c r="A128" s="77">
        <f>HYPERLINK("https://polkadot.subsquare.io/referenda/126", 126)</f>
        <v>126</v>
      </c>
      <c r="B128" s="40" t="s">
        <v>1926</v>
      </c>
      <c r="C128" s="40" t="s">
        <v>1846</v>
      </c>
      <c r="D128" s="78">
        <v>19401.45</v>
      </c>
      <c r="E128" s="79">
        <v>87075.59324355125</v>
      </c>
      <c r="F128" s="40" t="s">
        <v>1853</v>
      </c>
      <c r="G128" s="78">
        <v>477424.7660347505</v>
      </c>
      <c r="H128" s="78">
        <v>1.0469698783747932E7</v>
      </c>
      <c r="I128" s="80">
        <v>45158.0</v>
      </c>
      <c r="J128" s="80">
        <v>45186.0</v>
      </c>
      <c r="K128" s="79">
        <v>80320.12238917351</v>
      </c>
      <c r="L128" s="81" t="s">
        <v>90</v>
      </c>
      <c r="M128" s="81" t="s">
        <v>90</v>
      </c>
      <c r="N128" s="86"/>
      <c r="O128" s="61"/>
      <c r="P128" s="61"/>
      <c r="Q128" s="61"/>
      <c r="R128" s="61" t="str">
        <f t="shared" si="1"/>
        <v>2023</v>
      </c>
      <c r="S128" s="62">
        <f t="shared" si="2"/>
        <v>9</v>
      </c>
      <c r="T128" s="61" t="str">
        <f t="shared" si="3"/>
        <v>2023-Q3</v>
      </c>
      <c r="U128" s="63" t="str">
        <f t="shared" si="4"/>
        <v>2023-09</v>
      </c>
      <c r="V128" s="64" t="str">
        <f t="shared" si="5"/>
        <v>2023-H2</v>
      </c>
      <c r="W128" s="32"/>
      <c r="X128" s="32"/>
    </row>
    <row r="129">
      <c r="A129" s="77">
        <f>HYPERLINK("https://polkadot.subsquare.io/referenda/127", 127)</f>
        <v>127</v>
      </c>
      <c r="B129" s="40" t="s">
        <v>1927</v>
      </c>
      <c r="C129" s="40" t="s">
        <v>1846</v>
      </c>
      <c r="D129" s="78">
        <v>1.94779899E8</v>
      </c>
      <c r="E129" s="79">
        <v>8.741911175372972E8</v>
      </c>
      <c r="F129" s="40" t="s">
        <v>1855</v>
      </c>
      <c r="G129" s="78">
        <v>250564.3001</v>
      </c>
      <c r="H129" s="78">
        <v>1.1319202934961796E7</v>
      </c>
      <c r="I129" s="80">
        <v>45158.0</v>
      </c>
      <c r="J129" s="80">
        <v>45187.0</v>
      </c>
      <c r="K129" s="79">
        <v>8.063699015604944E8</v>
      </c>
      <c r="L129" s="70" t="s">
        <v>90</v>
      </c>
      <c r="M129" s="70" t="s">
        <v>90</v>
      </c>
      <c r="N129" s="61"/>
      <c r="O129" s="86"/>
      <c r="P129" s="86"/>
      <c r="Q129" s="86"/>
      <c r="R129" s="61" t="str">
        <f t="shared" si="1"/>
        <v>2023</v>
      </c>
      <c r="S129" s="62">
        <f t="shared" si="2"/>
        <v>9</v>
      </c>
      <c r="T129" s="61" t="str">
        <f t="shared" si="3"/>
        <v>2023-Q3</v>
      </c>
      <c r="U129" s="63" t="str">
        <f t="shared" si="4"/>
        <v>2023-09</v>
      </c>
      <c r="V129" s="64" t="str">
        <f t="shared" si="5"/>
        <v>2023-H2</v>
      </c>
      <c r="W129" s="32"/>
      <c r="X129" s="32"/>
    </row>
    <row r="130">
      <c r="A130" s="77">
        <f>HYPERLINK("https://polkadot.subsquare.io/referenda/128", 128)</f>
        <v>128</v>
      </c>
      <c r="B130" s="40" t="s">
        <v>1928</v>
      </c>
      <c r="C130" s="40" t="s">
        <v>1846</v>
      </c>
      <c r="D130" s="78">
        <v>194779.0</v>
      </c>
      <c r="E130" s="79">
        <v>874187.0827379227</v>
      </c>
      <c r="F130" s="40" t="s">
        <v>1855</v>
      </c>
      <c r="G130" s="78">
        <v>1532577.915722291</v>
      </c>
      <c r="H130" s="78">
        <v>1.0757500133491058E7</v>
      </c>
      <c r="I130" s="80">
        <v>45158.0</v>
      </c>
      <c r="J130" s="80">
        <v>45187.0</v>
      </c>
      <c r="K130" s="79">
        <v>806366.1797876358</v>
      </c>
      <c r="L130" s="81" t="s">
        <v>90</v>
      </c>
      <c r="M130" s="81" t="s">
        <v>90</v>
      </c>
      <c r="N130" s="86"/>
      <c r="O130" s="61"/>
      <c r="P130" s="61"/>
      <c r="Q130" s="61"/>
      <c r="R130" s="61" t="str">
        <f t="shared" si="1"/>
        <v>2023</v>
      </c>
      <c r="S130" s="62">
        <f t="shared" si="2"/>
        <v>9</v>
      </c>
      <c r="T130" s="61" t="str">
        <f t="shared" si="3"/>
        <v>2023-Q3</v>
      </c>
      <c r="U130" s="63" t="str">
        <f t="shared" si="4"/>
        <v>2023-09</v>
      </c>
      <c r="V130" s="64" t="str">
        <f t="shared" si="5"/>
        <v>2023-H2</v>
      </c>
      <c r="W130" s="32"/>
      <c r="X130" s="32"/>
    </row>
    <row r="131">
      <c r="A131" s="77">
        <f>HYPERLINK("https://polkadot.subsquare.io/referenda/129", 129)</f>
        <v>129</v>
      </c>
      <c r="B131" s="40" t="s">
        <v>1929</v>
      </c>
      <c r="C131" s="40" t="s">
        <v>1846</v>
      </c>
      <c r="D131" s="78">
        <v>59895.0</v>
      </c>
      <c r="E131" s="79">
        <v>268814.58124637604</v>
      </c>
      <c r="F131" s="40" t="s">
        <v>1853</v>
      </c>
      <c r="G131" s="78">
        <v>1053668.0843173577</v>
      </c>
      <c r="H131" s="78">
        <v>2.1799859680688288E7</v>
      </c>
      <c r="I131" s="80">
        <v>45159.0</v>
      </c>
      <c r="J131" s="80">
        <v>45187.0</v>
      </c>
      <c r="K131" s="79">
        <v>247959.49429035187</v>
      </c>
      <c r="L131" s="70" t="s">
        <v>90</v>
      </c>
      <c r="M131" s="70" t="s">
        <v>90</v>
      </c>
      <c r="N131" s="61"/>
      <c r="O131" s="86"/>
      <c r="P131" s="86"/>
      <c r="Q131" s="86"/>
      <c r="R131" s="61" t="str">
        <f t="shared" si="1"/>
        <v>2023</v>
      </c>
      <c r="S131" s="62">
        <f t="shared" si="2"/>
        <v>9</v>
      </c>
      <c r="T131" s="61" t="str">
        <f t="shared" si="3"/>
        <v>2023-Q3</v>
      </c>
      <c r="U131" s="63" t="str">
        <f t="shared" si="4"/>
        <v>2023-09</v>
      </c>
      <c r="V131" s="64" t="str">
        <f t="shared" si="5"/>
        <v>2023-H2</v>
      </c>
      <c r="W131" s="32"/>
      <c r="X131" s="32"/>
    </row>
    <row r="132">
      <c r="A132" s="77">
        <f>HYPERLINK("https://polkadot.subsquare.io/referenda/130", 130)</f>
        <v>130</v>
      </c>
      <c r="B132" s="40" t="s">
        <v>1930</v>
      </c>
      <c r="C132" s="40" t="s">
        <v>1851</v>
      </c>
      <c r="D132" s="78">
        <v>0.0</v>
      </c>
      <c r="E132" s="79">
        <v>0.0</v>
      </c>
      <c r="F132" s="40" t="s">
        <v>1852</v>
      </c>
      <c r="G132" s="78">
        <v>8.366270379160039E7</v>
      </c>
      <c r="H132" s="78">
        <v>5.1</v>
      </c>
      <c r="I132" s="80">
        <v>45159.0</v>
      </c>
      <c r="J132" s="80">
        <v>45169.0</v>
      </c>
      <c r="K132" s="79">
        <v>0.0</v>
      </c>
      <c r="L132" s="81" t="s">
        <v>90</v>
      </c>
      <c r="M132" s="81" t="s">
        <v>90</v>
      </c>
      <c r="N132" s="86"/>
      <c r="O132" s="61"/>
      <c r="P132" s="61"/>
      <c r="Q132" s="61"/>
      <c r="R132" s="61" t="str">
        <f t="shared" si="1"/>
        <v>2023</v>
      </c>
      <c r="S132" s="62">
        <f t="shared" si="2"/>
        <v>8</v>
      </c>
      <c r="T132" s="61" t="str">
        <f t="shared" si="3"/>
        <v>2023-Q3</v>
      </c>
      <c r="U132" s="63" t="str">
        <f t="shared" si="4"/>
        <v>2023-08</v>
      </c>
      <c r="V132" s="64" t="str">
        <f t="shared" si="5"/>
        <v>2023-H2</v>
      </c>
      <c r="W132" s="32"/>
      <c r="X132" s="32"/>
    </row>
    <row r="133">
      <c r="A133" s="77">
        <f>HYPERLINK("https://polkadot.subsquare.io/referenda/131", 131)</f>
        <v>131</v>
      </c>
      <c r="B133" s="40" t="s">
        <v>1931</v>
      </c>
      <c r="C133" s="40" t="s">
        <v>1846</v>
      </c>
      <c r="D133" s="78">
        <v>71068.0</v>
      </c>
      <c r="E133" s="79">
        <v>318843.313583374</v>
      </c>
      <c r="F133" s="40" t="s">
        <v>1853</v>
      </c>
      <c r="G133" s="78">
        <v>642061.6815548666</v>
      </c>
      <c r="H133" s="78">
        <v>1.0403065271781659E7</v>
      </c>
      <c r="I133" s="80">
        <v>45160.0</v>
      </c>
      <c r="J133" s="80">
        <v>45189.0</v>
      </c>
      <c r="K133" s="79">
        <v>285650.86326408386</v>
      </c>
      <c r="L133" s="70" t="s">
        <v>90</v>
      </c>
      <c r="M133" s="70" t="s">
        <v>90</v>
      </c>
      <c r="N133" s="61"/>
      <c r="O133" s="86"/>
      <c r="P133" s="86"/>
      <c r="Q133" s="86"/>
      <c r="R133" s="61" t="str">
        <f t="shared" si="1"/>
        <v>2023</v>
      </c>
      <c r="S133" s="62">
        <f t="shared" si="2"/>
        <v>9</v>
      </c>
      <c r="T133" s="61" t="str">
        <f t="shared" si="3"/>
        <v>2023-Q3</v>
      </c>
      <c r="U133" s="63" t="str">
        <f t="shared" si="4"/>
        <v>2023-09</v>
      </c>
      <c r="V133" s="64" t="str">
        <f t="shared" si="5"/>
        <v>2023-H2</v>
      </c>
      <c r="W133" s="32"/>
      <c r="X133" s="32"/>
    </row>
    <row r="134">
      <c r="A134" s="77">
        <f>HYPERLINK("https://polkadot.subsquare.io/referenda/132", 132)</f>
        <v>132</v>
      </c>
      <c r="B134" s="40" t="s">
        <v>1932</v>
      </c>
      <c r="C134" s="40" t="s">
        <v>1851</v>
      </c>
      <c r="D134" s="78">
        <v>0.0</v>
      </c>
      <c r="E134" s="79">
        <v>0.0</v>
      </c>
      <c r="F134" s="40" t="s">
        <v>1857</v>
      </c>
      <c r="G134" s="78">
        <v>1.2979680756598456E8</v>
      </c>
      <c r="H134" s="78">
        <v>10.0000001</v>
      </c>
      <c r="I134" s="80">
        <v>45160.0</v>
      </c>
      <c r="J134" s="80">
        <v>45183.0</v>
      </c>
      <c r="K134" s="79">
        <v>0.0</v>
      </c>
      <c r="L134" s="81" t="s">
        <v>90</v>
      </c>
      <c r="M134" s="81" t="s">
        <v>90</v>
      </c>
      <c r="N134" s="86"/>
      <c r="O134" s="61"/>
      <c r="P134" s="61"/>
      <c r="Q134" s="61"/>
      <c r="R134" s="61" t="str">
        <f t="shared" si="1"/>
        <v>2023</v>
      </c>
      <c r="S134" s="62">
        <f t="shared" si="2"/>
        <v>9</v>
      </c>
      <c r="T134" s="61" t="str">
        <f t="shared" si="3"/>
        <v>2023-Q3</v>
      </c>
      <c r="U134" s="63" t="str">
        <f t="shared" si="4"/>
        <v>2023-09</v>
      </c>
      <c r="V134" s="64" t="str">
        <f t="shared" si="5"/>
        <v>2023-H2</v>
      </c>
      <c r="W134" s="32"/>
      <c r="X134" s="32"/>
    </row>
    <row r="135">
      <c r="A135" s="77">
        <f>HYPERLINK("https://polkadot.subsquare.io/referenda/133", 133)</f>
        <v>133</v>
      </c>
      <c r="B135" s="40" t="s">
        <v>1933</v>
      </c>
      <c r="C135" s="40" t="s">
        <v>1851</v>
      </c>
      <c r="D135" s="78">
        <v>0.0</v>
      </c>
      <c r="E135" s="79">
        <v>0.0</v>
      </c>
      <c r="F135" s="40" t="s">
        <v>1855</v>
      </c>
      <c r="G135" s="78">
        <v>1.148536594206403E7</v>
      </c>
      <c r="H135" s="78">
        <v>591578.0769474191</v>
      </c>
      <c r="I135" s="80">
        <v>45161.0</v>
      </c>
      <c r="J135" s="80">
        <v>45190.0</v>
      </c>
      <c r="K135" s="79">
        <v>0.0</v>
      </c>
      <c r="L135" s="70" t="s">
        <v>90</v>
      </c>
      <c r="M135" s="70" t="s">
        <v>90</v>
      </c>
      <c r="N135" s="61"/>
      <c r="O135" s="86"/>
      <c r="P135" s="86"/>
      <c r="Q135" s="86"/>
      <c r="R135" s="61" t="str">
        <f t="shared" si="1"/>
        <v>2023</v>
      </c>
      <c r="S135" s="62">
        <f t="shared" si="2"/>
        <v>9</v>
      </c>
      <c r="T135" s="61" t="str">
        <f t="shared" si="3"/>
        <v>2023-Q3</v>
      </c>
      <c r="U135" s="63" t="str">
        <f t="shared" si="4"/>
        <v>2023-09</v>
      </c>
      <c r="V135" s="64" t="str">
        <f t="shared" si="5"/>
        <v>2023-H2</v>
      </c>
      <c r="W135" s="32"/>
      <c r="X135" s="32"/>
    </row>
    <row r="136">
      <c r="A136" s="77">
        <f>HYPERLINK("https://polkadot.subsquare.io/referenda/134", 134)</f>
        <v>134</v>
      </c>
      <c r="B136" s="40" t="s">
        <v>1003</v>
      </c>
      <c r="C136" s="40" t="s">
        <v>1851</v>
      </c>
      <c r="D136" s="78">
        <v>53938.013</v>
      </c>
      <c r="E136" s="79">
        <v>242960.53415033102</v>
      </c>
      <c r="F136" s="40" t="s">
        <v>1853</v>
      </c>
      <c r="G136" s="78">
        <v>2.260258761832344E7</v>
      </c>
      <c r="H136" s="78">
        <v>9282888.327112835</v>
      </c>
      <c r="I136" s="80">
        <v>45161.0</v>
      </c>
      <c r="J136" s="80">
        <v>45184.0</v>
      </c>
      <c r="K136" s="79">
        <v>219775.71102316998</v>
      </c>
      <c r="L136" s="81" t="s">
        <v>81</v>
      </c>
      <c r="M136" s="81" t="s">
        <v>89</v>
      </c>
      <c r="N136" s="86"/>
      <c r="O136" s="61"/>
      <c r="P136" s="61"/>
      <c r="Q136" s="61"/>
      <c r="R136" s="61" t="str">
        <f t="shared" si="1"/>
        <v>2023</v>
      </c>
      <c r="S136" s="62">
        <f t="shared" si="2"/>
        <v>9</v>
      </c>
      <c r="T136" s="61" t="str">
        <f t="shared" si="3"/>
        <v>2023-Q3</v>
      </c>
      <c r="U136" s="63" t="str">
        <f t="shared" si="4"/>
        <v>2023-09</v>
      </c>
      <c r="V136" s="64" t="str">
        <f t="shared" si="5"/>
        <v>2023-H2</v>
      </c>
      <c r="W136" s="32"/>
      <c r="X136" s="32"/>
    </row>
    <row r="137">
      <c r="A137" s="77">
        <f>HYPERLINK("https://polkadot.subsquare.io/referenda/135", 135)</f>
        <v>135</v>
      </c>
      <c r="B137" s="40" t="s">
        <v>168</v>
      </c>
      <c r="C137" s="40" t="s">
        <v>1851</v>
      </c>
      <c r="D137" s="78">
        <v>0.0</v>
      </c>
      <c r="E137" s="79">
        <v>0.0</v>
      </c>
      <c r="F137" s="40" t="s">
        <v>1853</v>
      </c>
      <c r="G137" s="78">
        <v>1.4190929773337824E7</v>
      </c>
      <c r="H137" s="78">
        <v>335416.1258053582</v>
      </c>
      <c r="I137" s="80">
        <v>45163.0</v>
      </c>
      <c r="J137" s="80">
        <v>45187.0</v>
      </c>
      <c r="K137" s="79">
        <v>0.0</v>
      </c>
      <c r="L137" s="70" t="s">
        <v>90</v>
      </c>
      <c r="M137" s="70" t="s">
        <v>90</v>
      </c>
      <c r="N137" s="61"/>
      <c r="O137" s="86" t="s">
        <v>1881</v>
      </c>
      <c r="P137" s="86" t="s">
        <v>1881</v>
      </c>
      <c r="Q137" s="86"/>
      <c r="R137" s="61" t="str">
        <f t="shared" si="1"/>
        <v>2023</v>
      </c>
      <c r="S137" s="62">
        <f t="shared" si="2"/>
        <v>9</v>
      </c>
      <c r="T137" s="61" t="str">
        <f t="shared" si="3"/>
        <v>2023-Q3</v>
      </c>
      <c r="U137" s="63" t="str">
        <f t="shared" si="4"/>
        <v>2023-09</v>
      </c>
      <c r="V137" s="64" t="str">
        <f t="shared" si="5"/>
        <v>2023-H2</v>
      </c>
      <c r="W137" s="32"/>
      <c r="X137" s="32"/>
    </row>
    <row r="138">
      <c r="A138" s="77">
        <f>HYPERLINK("https://polkadot.subsquare.io/referenda/136", 136)</f>
        <v>136</v>
      </c>
      <c r="B138" s="40" t="s">
        <v>1004</v>
      </c>
      <c r="C138" s="40" t="s">
        <v>1851</v>
      </c>
      <c r="D138" s="78">
        <v>950.0</v>
      </c>
      <c r="E138" s="79">
        <v>4309.509634971619</v>
      </c>
      <c r="F138" s="40" t="s">
        <v>1869</v>
      </c>
      <c r="G138" s="78">
        <v>1259065.6445507207</v>
      </c>
      <c r="H138" s="78">
        <v>49597.6707428057</v>
      </c>
      <c r="I138" s="80">
        <v>45166.0</v>
      </c>
      <c r="J138" s="80">
        <v>45172.0</v>
      </c>
      <c r="K138" s="79">
        <v>4043.890857696533</v>
      </c>
      <c r="L138" s="81" t="s">
        <v>46</v>
      </c>
      <c r="M138" s="81" t="s">
        <v>102</v>
      </c>
      <c r="N138" s="86"/>
      <c r="O138" s="61"/>
      <c r="P138" s="61"/>
      <c r="Q138" s="61"/>
      <c r="R138" s="61" t="str">
        <f t="shared" si="1"/>
        <v>2023</v>
      </c>
      <c r="S138" s="62">
        <f t="shared" si="2"/>
        <v>9</v>
      </c>
      <c r="T138" s="61" t="str">
        <f t="shared" si="3"/>
        <v>2023-Q3</v>
      </c>
      <c r="U138" s="63" t="str">
        <f t="shared" si="4"/>
        <v>2023-09</v>
      </c>
      <c r="V138" s="64" t="str">
        <f t="shared" si="5"/>
        <v>2023-H2</v>
      </c>
      <c r="W138" s="32"/>
      <c r="X138" s="32"/>
    </row>
    <row r="139">
      <c r="A139" s="77">
        <f>HYPERLINK("https://polkadot.subsquare.io/referenda/137", 137)</f>
        <v>137</v>
      </c>
      <c r="B139" s="40" t="s">
        <v>1005</v>
      </c>
      <c r="C139" s="40" t="s">
        <v>1851</v>
      </c>
      <c r="D139" s="78">
        <v>58018.0</v>
      </c>
      <c r="E139" s="79">
        <v>247704.9609889984</v>
      </c>
      <c r="F139" s="40" t="s">
        <v>1853</v>
      </c>
      <c r="G139" s="78">
        <v>1.1694379632907165E7</v>
      </c>
      <c r="H139" s="78">
        <v>7949509.53322787</v>
      </c>
      <c r="I139" s="80">
        <v>45167.0</v>
      </c>
      <c r="J139" s="80">
        <v>45188.0</v>
      </c>
      <c r="K139" s="79">
        <v>233197.6668100357</v>
      </c>
      <c r="L139" s="70" t="s">
        <v>46</v>
      </c>
      <c r="M139" s="70" t="s">
        <v>114</v>
      </c>
      <c r="N139" s="61"/>
      <c r="O139" s="86"/>
      <c r="P139" s="86"/>
      <c r="Q139" s="86"/>
      <c r="R139" s="61" t="str">
        <f t="shared" si="1"/>
        <v>2023</v>
      </c>
      <c r="S139" s="62">
        <f t="shared" si="2"/>
        <v>9</v>
      </c>
      <c r="T139" s="61" t="str">
        <f t="shared" si="3"/>
        <v>2023-Q3</v>
      </c>
      <c r="U139" s="63" t="str">
        <f t="shared" si="4"/>
        <v>2023-09</v>
      </c>
      <c r="V139" s="64" t="str">
        <f t="shared" si="5"/>
        <v>2023-H2</v>
      </c>
      <c r="W139" s="32"/>
      <c r="X139" s="32"/>
    </row>
    <row r="140">
      <c r="A140" s="77">
        <f>HYPERLINK("https://polkadot.subsquare.io/referenda/138", 138)</f>
        <v>138</v>
      </c>
      <c r="B140" s="40" t="s">
        <v>1934</v>
      </c>
      <c r="C140" s="40" t="s">
        <v>1846</v>
      </c>
      <c r="D140" s="78">
        <v>12153.7439</v>
      </c>
      <c r="E140" s="79">
        <v>51238.14529046054</v>
      </c>
      <c r="F140" s="40" t="s">
        <v>1853</v>
      </c>
      <c r="G140" s="78">
        <v>1620177.6132044385</v>
      </c>
      <c r="H140" s="78">
        <v>1.3912353415797839E7</v>
      </c>
      <c r="I140" s="80">
        <v>45167.0</v>
      </c>
      <c r="J140" s="80">
        <v>45196.0</v>
      </c>
      <c r="K140" s="79">
        <v>49553.997246555424</v>
      </c>
      <c r="L140" s="81" t="s">
        <v>90</v>
      </c>
      <c r="M140" s="81" t="s">
        <v>90</v>
      </c>
      <c r="N140" s="86"/>
      <c r="O140" s="61"/>
      <c r="P140" s="61"/>
      <c r="Q140" s="61"/>
      <c r="R140" s="61" t="str">
        <f t="shared" si="1"/>
        <v>2023</v>
      </c>
      <c r="S140" s="62">
        <f t="shared" si="2"/>
        <v>9</v>
      </c>
      <c r="T140" s="61" t="str">
        <f t="shared" si="3"/>
        <v>2023-Q3</v>
      </c>
      <c r="U140" s="63" t="str">
        <f t="shared" si="4"/>
        <v>2023-09</v>
      </c>
      <c r="V140" s="64" t="str">
        <f t="shared" si="5"/>
        <v>2023-H2</v>
      </c>
      <c r="W140" s="32"/>
      <c r="X140" s="32"/>
    </row>
    <row r="141">
      <c r="A141" s="77">
        <f>HYPERLINK("https://polkadot.subsquare.io/referenda/139", 139)</f>
        <v>139</v>
      </c>
      <c r="B141" s="40" t="s">
        <v>1935</v>
      </c>
      <c r="C141" s="40" t="s">
        <v>1851</v>
      </c>
      <c r="D141" s="78">
        <v>0.0</v>
      </c>
      <c r="E141" s="79">
        <v>0.0</v>
      </c>
      <c r="F141" s="40" t="s">
        <v>1857</v>
      </c>
      <c r="G141" s="78">
        <v>6.735201764582942E7</v>
      </c>
      <c r="H141" s="78">
        <v>574.3</v>
      </c>
      <c r="I141" s="80">
        <v>45171.0</v>
      </c>
      <c r="J141" s="80">
        <v>45209.0</v>
      </c>
      <c r="K141" s="79">
        <v>0.0</v>
      </c>
      <c r="L141" s="70" t="s">
        <v>90</v>
      </c>
      <c r="M141" s="70" t="s">
        <v>90</v>
      </c>
      <c r="N141" s="61"/>
      <c r="O141" s="86"/>
      <c r="P141" s="86"/>
      <c r="Q141" s="86"/>
      <c r="R141" s="61" t="str">
        <f t="shared" si="1"/>
        <v>2023</v>
      </c>
      <c r="S141" s="62">
        <f t="shared" si="2"/>
        <v>10</v>
      </c>
      <c r="T141" s="61" t="str">
        <f t="shared" si="3"/>
        <v>2023-Q4</v>
      </c>
      <c r="U141" s="63" t="str">
        <f t="shared" si="4"/>
        <v>2023-10</v>
      </c>
      <c r="V141" s="64" t="str">
        <f t="shared" si="5"/>
        <v>2023-H2</v>
      </c>
      <c r="W141" s="32"/>
      <c r="X141" s="32"/>
    </row>
    <row r="142">
      <c r="A142" s="77">
        <f>HYPERLINK("https://polkadot.subsquare.io/referenda/140", 140)</f>
        <v>140</v>
      </c>
      <c r="B142" s="40" t="s">
        <v>1006</v>
      </c>
      <c r="C142" s="40" t="s">
        <v>1851</v>
      </c>
      <c r="D142" s="78">
        <v>75600.0</v>
      </c>
      <c r="E142" s="79">
        <v>322765.8199310303</v>
      </c>
      <c r="F142" s="40" t="s">
        <v>1853</v>
      </c>
      <c r="G142" s="78">
        <v>1.500948115578165E7</v>
      </c>
      <c r="H142" s="78">
        <v>1.1836784393508028E7</v>
      </c>
      <c r="I142" s="80">
        <v>45172.0</v>
      </c>
      <c r="J142" s="80">
        <v>45198.0</v>
      </c>
      <c r="K142" s="79">
        <v>311756.41708374023</v>
      </c>
      <c r="L142" s="81" t="s">
        <v>46</v>
      </c>
      <c r="M142" s="81" t="s">
        <v>119</v>
      </c>
      <c r="N142" s="86"/>
      <c r="O142" s="61"/>
      <c r="P142" s="61"/>
      <c r="Q142" s="61"/>
      <c r="R142" s="61" t="str">
        <f t="shared" si="1"/>
        <v>2023</v>
      </c>
      <c r="S142" s="62">
        <f t="shared" si="2"/>
        <v>9</v>
      </c>
      <c r="T142" s="61" t="str">
        <f t="shared" si="3"/>
        <v>2023-Q3</v>
      </c>
      <c r="U142" s="63" t="str">
        <f t="shared" si="4"/>
        <v>2023-09</v>
      </c>
      <c r="V142" s="64" t="str">
        <f t="shared" si="5"/>
        <v>2023-H2</v>
      </c>
      <c r="W142" s="32"/>
      <c r="X142" s="32"/>
    </row>
    <row r="143">
      <c r="A143" s="77">
        <f>HYPERLINK("https://polkadot.subsquare.io/referenda/141", 141)</f>
        <v>141</v>
      </c>
      <c r="B143" s="40" t="s">
        <v>1008</v>
      </c>
      <c r="C143" s="40" t="s">
        <v>1851</v>
      </c>
      <c r="D143" s="78">
        <v>44196.0</v>
      </c>
      <c r="E143" s="79">
        <v>188689.9229850769</v>
      </c>
      <c r="F143" s="40" t="s">
        <v>1853</v>
      </c>
      <c r="G143" s="78">
        <v>9815523.715501022</v>
      </c>
      <c r="H143" s="78">
        <v>2164853.1242166907</v>
      </c>
      <c r="I143" s="80">
        <v>45173.0</v>
      </c>
      <c r="J143" s="80">
        <v>45202.0</v>
      </c>
      <c r="K143" s="79">
        <v>179972.68836021423</v>
      </c>
      <c r="L143" s="83" t="s">
        <v>48</v>
      </c>
      <c r="M143" s="70" t="s">
        <v>1007</v>
      </c>
      <c r="N143" s="61"/>
      <c r="O143" s="86"/>
      <c r="P143" s="86"/>
      <c r="Q143" s="86"/>
      <c r="R143" s="61" t="str">
        <f t="shared" si="1"/>
        <v>2023</v>
      </c>
      <c r="S143" s="62">
        <f t="shared" si="2"/>
        <v>10</v>
      </c>
      <c r="T143" s="61" t="str">
        <f t="shared" si="3"/>
        <v>2023-Q4</v>
      </c>
      <c r="U143" s="63" t="str">
        <f t="shared" si="4"/>
        <v>2023-10</v>
      </c>
      <c r="V143" s="64" t="str">
        <f t="shared" si="5"/>
        <v>2023-H2</v>
      </c>
      <c r="W143" s="32"/>
      <c r="X143" s="32"/>
    </row>
    <row r="144">
      <c r="A144" s="77">
        <f>HYPERLINK("https://polkadot.subsquare.io/referenda/142", 142)</f>
        <v>142</v>
      </c>
      <c r="B144" s="40" t="s">
        <v>1936</v>
      </c>
      <c r="C144" s="40" t="s">
        <v>1851</v>
      </c>
      <c r="D144" s="78">
        <v>0.0</v>
      </c>
      <c r="E144" s="79">
        <v>0.0</v>
      </c>
      <c r="F144" s="40" t="s">
        <v>1852</v>
      </c>
      <c r="G144" s="78">
        <v>7.962913429153393E7</v>
      </c>
      <c r="H144" s="78">
        <v>10.0</v>
      </c>
      <c r="I144" s="80">
        <v>45173.0</v>
      </c>
      <c r="J144" s="80">
        <v>45184.0</v>
      </c>
      <c r="K144" s="79">
        <v>0.0</v>
      </c>
      <c r="L144" s="81" t="s">
        <v>90</v>
      </c>
      <c r="M144" s="81" t="s">
        <v>90</v>
      </c>
      <c r="N144" s="86"/>
      <c r="O144" s="61"/>
      <c r="P144" s="61"/>
      <c r="Q144" s="61"/>
      <c r="R144" s="61" t="str">
        <f t="shared" si="1"/>
        <v>2023</v>
      </c>
      <c r="S144" s="62">
        <f t="shared" si="2"/>
        <v>9</v>
      </c>
      <c r="T144" s="61" t="str">
        <f t="shared" si="3"/>
        <v>2023-Q3</v>
      </c>
      <c r="U144" s="63" t="str">
        <f t="shared" si="4"/>
        <v>2023-09</v>
      </c>
      <c r="V144" s="64" t="str">
        <f t="shared" si="5"/>
        <v>2023-H2</v>
      </c>
      <c r="W144" s="32"/>
      <c r="X144" s="32"/>
    </row>
    <row r="145">
      <c r="A145" s="77">
        <f>HYPERLINK("https://polkadot.subsquare.io/referenda/143", 143)</f>
        <v>143</v>
      </c>
      <c r="B145" s="40" t="s">
        <v>1937</v>
      </c>
      <c r="C145" s="40" t="s">
        <v>1846</v>
      </c>
      <c r="D145" s="78">
        <v>100.0</v>
      </c>
      <c r="E145" s="79">
        <v>428.67398262023926</v>
      </c>
      <c r="F145" s="40" t="s">
        <v>982</v>
      </c>
      <c r="G145" s="78">
        <v>709765.1801915593</v>
      </c>
      <c r="H145" s="78">
        <v>8321085.380210415</v>
      </c>
      <c r="I145" s="80">
        <v>45173.0</v>
      </c>
      <c r="J145" s="80">
        <v>45180.0</v>
      </c>
      <c r="K145" s="79">
        <v>405.8725833892822</v>
      </c>
      <c r="L145" s="70" t="s">
        <v>90</v>
      </c>
      <c r="M145" s="70" t="s">
        <v>90</v>
      </c>
      <c r="N145" s="61"/>
      <c r="O145" s="86"/>
      <c r="P145" s="86"/>
      <c r="Q145" s="86"/>
      <c r="R145" s="61" t="str">
        <f t="shared" si="1"/>
        <v>2023</v>
      </c>
      <c r="S145" s="62">
        <f t="shared" si="2"/>
        <v>9</v>
      </c>
      <c r="T145" s="61" t="str">
        <f t="shared" si="3"/>
        <v>2023-Q3</v>
      </c>
      <c r="U145" s="63" t="str">
        <f t="shared" si="4"/>
        <v>2023-09</v>
      </c>
      <c r="V145" s="64" t="str">
        <f t="shared" si="5"/>
        <v>2023-H2</v>
      </c>
      <c r="W145" s="32"/>
      <c r="X145" s="32"/>
    </row>
    <row r="146">
      <c r="A146" s="77">
        <f>HYPERLINK("https://polkadot.subsquare.io/referenda/144", 144)</f>
        <v>144</v>
      </c>
      <c r="B146" s="40" t="s">
        <v>1938</v>
      </c>
      <c r="C146" s="40" t="s">
        <v>1846</v>
      </c>
      <c r="D146" s="78">
        <v>250.0</v>
      </c>
      <c r="E146" s="79">
        <v>1062.4747276306152</v>
      </c>
      <c r="F146" s="40" t="s">
        <v>982</v>
      </c>
      <c r="G146" s="78">
        <v>539671.9548509261</v>
      </c>
      <c r="H146" s="78">
        <v>8496668.073803283</v>
      </c>
      <c r="I146" s="80">
        <v>45174.0</v>
      </c>
      <c r="J146" s="80">
        <v>45181.0</v>
      </c>
      <c r="K146" s="79">
        <v>1035.489797592163</v>
      </c>
      <c r="L146" s="81" t="s">
        <v>90</v>
      </c>
      <c r="M146" s="81" t="s">
        <v>90</v>
      </c>
      <c r="N146" s="86"/>
      <c r="O146" s="61"/>
      <c r="P146" s="61"/>
      <c r="Q146" s="61"/>
      <c r="R146" s="61" t="str">
        <f t="shared" si="1"/>
        <v>2023</v>
      </c>
      <c r="S146" s="62">
        <f t="shared" si="2"/>
        <v>9</v>
      </c>
      <c r="T146" s="61" t="str">
        <f t="shared" si="3"/>
        <v>2023-Q3</v>
      </c>
      <c r="U146" s="63" t="str">
        <f t="shared" si="4"/>
        <v>2023-09</v>
      </c>
      <c r="V146" s="64" t="str">
        <f t="shared" si="5"/>
        <v>2023-H2</v>
      </c>
      <c r="W146" s="32"/>
      <c r="X146" s="32"/>
    </row>
    <row r="147">
      <c r="A147" s="77">
        <f>HYPERLINK("https://polkadot.subsquare.io/referenda/145", 145)</f>
        <v>145</v>
      </c>
      <c r="B147" s="40" t="s">
        <v>1009</v>
      </c>
      <c r="C147" s="40" t="s">
        <v>1851</v>
      </c>
      <c r="D147" s="78">
        <v>58253.66</v>
      </c>
      <c r="E147" s="79">
        <v>246977.81079312327</v>
      </c>
      <c r="F147" s="40" t="s">
        <v>1853</v>
      </c>
      <c r="G147" s="78">
        <v>1.0908977520959217E7</v>
      </c>
      <c r="H147" s="78">
        <v>2029197.8157342088</v>
      </c>
      <c r="I147" s="80">
        <v>45175.0</v>
      </c>
      <c r="J147" s="80">
        <v>45199.0</v>
      </c>
      <c r="K147" s="79">
        <v>237339.79270119668</v>
      </c>
      <c r="L147" s="70" t="s">
        <v>49</v>
      </c>
      <c r="M147" s="70" t="s">
        <v>104</v>
      </c>
      <c r="N147" s="61"/>
      <c r="O147" s="86"/>
      <c r="P147" s="86"/>
      <c r="Q147" s="86"/>
      <c r="R147" s="61" t="str">
        <f t="shared" si="1"/>
        <v>2023</v>
      </c>
      <c r="S147" s="62">
        <f t="shared" si="2"/>
        <v>9</v>
      </c>
      <c r="T147" s="61" t="str">
        <f t="shared" si="3"/>
        <v>2023-Q3</v>
      </c>
      <c r="U147" s="63" t="str">
        <f t="shared" si="4"/>
        <v>2023-09</v>
      </c>
      <c r="V147" s="64" t="str">
        <f t="shared" si="5"/>
        <v>2023-H2</v>
      </c>
      <c r="W147" s="32"/>
      <c r="X147" s="32"/>
    </row>
    <row r="148">
      <c r="A148" s="77">
        <f>HYPERLINK("https://polkadot.subsquare.io/referenda/146", 146)</f>
        <v>146</v>
      </c>
      <c r="B148" s="40" t="s">
        <v>1042</v>
      </c>
      <c r="C148" s="40" t="s">
        <v>1846</v>
      </c>
      <c r="D148" s="78">
        <v>253862.0</v>
      </c>
      <c r="E148" s="79">
        <v>1012129.512418747</v>
      </c>
      <c r="F148" s="40" t="s">
        <v>1855</v>
      </c>
      <c r="G148" s="78">
        <v>9073901.901891729</v>
      </c>
      <c r="H148" s="78">
        <v>1.3234063197890121E7</v>
      </c>
      <c r="I148" s="80">
        <v>45178.0</v>
      </c>
      <c r="J148" s="80">
        <v>45206.0</v>
      </c>
      <c r="K148" s="79">
        <v>967831.6252560616</v>
      </c>
      <c r="L148" s="81" t="s">
        <v>90</v>
      </c>
      <c r="M148" s="81" t="s">
        <v>90</v>
      </c>
      <c r="N148" s="86"/>
      <c r="O148" s="61"/>
      <c r="P148" s="61"/>
      <c r="Q148" s="61"/>
      <c r="R148" s="61" t="str">
        <f t="shared" si="1"/>
        <v>2023</v>
      </c>
      <c r="S148" s="62">
        <f t="shared" si="2"/>
        <v>10</v>
      </c>
      <c r="T148" s="61" t="str">
        <f t="shared" si="3"/>
        <v>2023-Q4</v>
      </c>
      <c r="U148" s="63" t="str">
        <f t="shared" si="4"/>
        <v>2023-10</v>
      </c>
      <c r="V148" s="64" t="str">
        <f t="shared" si="5"/>
        <v>2023-H2</v>
      </c>
      <c r="W148" s="32"/>
      <c r="X148" s="32"/>
    </row>
    <row r="149">
      <c r="A149" s="77">
        <f>HYPERLINK("https://polkadot.subsquare.io/referenda/147", 147)</f>
        <v>147</v>
      </c>
      <c r="B149" s="40" t="s">
        <v>1939</v>
      </c>
      <c r="C149" s="40" t="s">
        <v>1846</v>
      </c>
      <c r="D149" s="78">
        <v>0.0</v>
      </c>
      <c r="E149" s="79">
        <v>0.0</v>
      </c>
      <c r="F149" s="40" t="s">
        <v>1853</v>
      </c>
      <c r="G149" s="78">
        <v>263544.2916222079</v>
      </c>
      <c r="H149" s="78">
        <v>1.0866612314139314E7</v>
      </c>
      <c r="I149" s="80">
        <v>45179.0</v>
      </c>
      <c r="J149" s="80">
        <v>45208.0</v>
      </c>
      <c r="K149" s="79">
        <v>0.0</v>
      </c>
      <c r="L149" s="70" t="s">
        <v>90</v>
      </c>
      <c r="M149" s="70" t="s">
        <v>90</v>
      </c>
      <c r="N149" s="61"/>
      <c r="O149" s="86"/>
      <c r="P149" s="86"/>
      <c r="Q149" s="86"/>
      <c r="R149" s="61" t="str">
        <f t="shared" si="1"/>
        <v>2023</v>
      </c>
      <c r="S149" s="62">
        <f t="shared" si="2"/>
        <v>10</v>
      </c>
      <c r="T149" s="61" t="str">
        <f t="shared" si="3"/>
        <v>2023-Q4</v>
      </c>
      <c r="U149" s="63" t="str">
        <f t="shared" si="4"/>
        <v>2023-10</v>
      </c>
      <c r="V149" s="64" t="str">
        <f t="shared" si="5"/>
        <v>2023-H2</v>
      </c>
      <c r="W149" s="32"/>
      <c r="X149" s="32"/>
    </row>
    <row r="150">
      <c r="A150" s="77">
        <f>HYPERLINK("https://polkadot.subsquare.io/referenda/148", 148)</f>
        <v>148</v>
      </c>
      <c r="B150" s="40" t="s">
        <v>1940</v>
      </c>
      <c r="C150" s="40" t="s">
        <v>1846</v>
      </c>
      <c r="D150" s="78">
        <v>35008.393</v>
      </c>
      <c r="E150" s="79">
        <v>142089.46907217262</v>
      </c>
      <c r="F150" s="40" t="s">
        <v>1853</v>
      </c>
      <c r="G150" s="78">
        <v>1738801.961481443</v>
      </c>
      <c r="H150" s="78">
        <v>1.0902545250796333E7</v>
      </c>
      <c r="I150" s="80">
        <v>45181.0</v>
      </c>
      <c r="J150" s="80">
        <v>45209.0</v>
      </c>
      <c r="K150" s="79">
        <v>128606.73090932821</v>
      </c>
      <c r="L150" s="81" t="s">
        <v>90</v>
      </c>
      <c r="M150" s="81" t="s">
        <v>90</v>
      </c>
      <c r="N150" s="86"/>
      <c r="O150" s="61"/>
      <c r="P150" s="61"/>
      <c r="Q150" s="61"/>
      <c r="R150" s="61" t="str">
        <f t="shared" si="1"/>
        <v>2023</v>
      </c>
      <c r="S150" s="62">
        <f t="shared" si="2"/>
        <v>10</v>
      </c>
      <c r="T150" s="61" t="str">
        <f t="shared" si="3"/>
        <v>2023-Q4</v>
      </c>
      <c r="U150" s="63" t="str">
        <f t="shared" si="4"/>
        <v>2023-10</v>
      </c>
      <c r="V150" s="64" t="str">
        <f t="shared" si="5"/>
        <v>2023-H2</v>
      </c>
      <c r="W150" s="32"/>
      <c r="X150" s="32"/>
    </row>
    <row r="151">
      <c r="A151" s="77">
        <f>HYPERLINK("https://polkadot.subsquare.io/referenda/149", 149)</f>
        <v>149</v>
      </c>
      <c r="B151" s="40" t="s">
        <v>1289</v>
      </c>
      <c r="C151" s="40" t="s">
        <v>1861</v>
      </c>
      <c r="D151" s="78">
        <v>0.0</v>
      </c>
      <c r="E151" s="79">
        <v>0.0</v>
      </c>
      <c r="F151" s="40" t="s">
        <v>1857</v>
      </c>
      <c r="G151" s="78">
        <v>5500.2001</v>
      </c>
      <c r="H151" s="78">
        <v>1.1892506619330889E7</v>
      </c>
      <c r="I151" s="80">
        <v>45181.0</v>
      </c>
      <c r="J151" s="80">
        <v>45195.0</v>
      </c>
      <c r="K151" s="79">
        <v>0.0</v>
      </c>
      <c r="L151" s="70" t="s">
        <v>90</v>
      </c>
      <c r="M151" s="70" t="s">
        <v>90</v>
      </c>
      <c r="N151" s="61"/>
      <c r="O151" s="86"/>
      <c r="P151" s="86"/>
      <c r="Q151" s="86"/>
      <c r="R151" s="61" t="str">
        <f t="shared" si="1"/>
        <v>2023</v>
      </c>
      <c r="S151" s="62">
        <f t="shared" si="2"/>
        <v>9</v>
      </c>
      <c r="T151" s="61" t="str">
        <f t="shared" si="3"/>
        <v>2023-Q3</v>
      </c>
      <c r="U151" s="63" t="str">
        <f t="shared" si="4"/>
        <v>2023-09</v>
      </c>
      <c r="V151" s="64" t="str">
        <f t="shared" si="5"/>
        <v>2023-H2</v>
      </c>
      <c r="W151" s="32"/>
      <c r="X151" s="32"/>
    </row>
    <row r="152">
      <c r="A152" s="77">
        <f>HYPERLINK("https://polkadot.subsquare.io/referenda/150", 150)</f>
        <v>150</v>
      </c>
      <c r="B152" s="40" t="s">
        <v>1941</v>
      </c>
      <c r="C152" s="40" t="s">
        <v>1846</v>
      </c>
      <c r="D152" s="78">
        <v>0.0</v>
      </c>
      <c r="E152" s="79">
        <v>0.0</v>
      </c>
      <c r="F152" s="40" t="s">
        <v>1855</v>
      </c>
      <c r="G152" s="78">
        <v>8173838.924613327</v>
      </c>
      <c r="H152" s="78">
        <v>3.615602047384298E7</v>
      </c>
      <c r="I152" s="80">
        <v>45181.0</v>
      </c>
      <c r="J152" s="80">
        <v>45210.0</v>
      </c>
      <c r="K152" s="79">
        <v>0.0</v>
      </c>
      <c r="L152" s="81" t="s">
        <v>90</v>
      </c>
      <c r="M152" s="81" t="s">
        <v>90</v>
      </c>
      <c r="N152" s="86"/>
      <c r="O152" s="61"/>
      <c r="P152" s="61"/>
      <c r="Q152" s="61"/>
      <c r="R152" s="61" t="str">
        <f t="shared" si="1"/>
        <v>2023</v>
      </c>
      <c r="S152" s="62">
        <f t="shared" si="2"/>
        <v>10</v>
      </c>
      <c r="T152" s="61" t="str">
        <f t="shared" si="3"/>
        <v>2023-Q4</v>
      </c>
      <c r="U152" s="63" t="str">
        <f t="shared" si="4"/>
        <v>2023-10</v>
      </c>
      <c r="V152" s="64" t="str">
        <f t="shared" si="5"/>
        <v>2023-H2</v>
      </c>
      <c r="W152" s="32"/>
      <c r="X152" s="32"/>
    </row>
    <row r="153">
      <c r="A153" s="77">
        <f>HYPERLINK("https://polkadot.subsquare.io/referenda/151", 151)</f>
        <v>151</v>
      </c>
      <c r="B153" s="40" t="s">
        <v>1942</v>
      </c>
      <c r="C153" s="40" t="s">
        <v>1943</v>
      </c>
      <c r="D153" s="78">
        <v>6075.79</v>
      </c>
      <c r="E153" s="79">
        <v>25165.674229249955</v>
      </c>
      <c r="F153" s="40" t="s">
        <v>1869</v>
      </c>
      <c r="G153" s="78">
        <v>1.0935687746352661E7</v>
      </c>
      <c r="H153" s="78">
        <v>1035357.3614992728</v>
      </c>
      <c r="I153" s="80">
        <v>45182.0</v>
      </c>
      <c r="J153" s="80">
        <v>45186.0</v>
      </c>
      <c r="K153" s="79">
        <v>25153.181664819716</v>
      </c>
      <c r="L153" s="70" t="s">
        <v>90</v>
      </c>
      <c r="M153" s="70" t="s">
        <v>90</v>
      </c>
      <c r="N153" s="61"/>
      <c r="O153" s="86"/>
      <c r="P153" s="86"/>
      <c r="Q153" s="86"/>
      <c r="R153" s="61" t="str">
        <f t="shared" si="1"/>
        <v>2023</v>
      </c>
      <c r="S153" s="62">
        <f t="shared" si="2"/>
        <v>9</v>
      </c>
      <c r="T153" s="61" t="str">
        <f t="shared" si="3"/>
        <v>2023-Q3</v>
      </c>
      <c r="U153" s="63" t="str">
        <f t="shared" si="4"/>
        <v>2023-09</v>
      </c>
      <c r="V153" s="64" t="str">
        <f t="shared" si="5"/>
        <v>2023-H2</v>
      </c>
      <c r="W153" s="32"/>
      <c r="X153" s="32"/>
    </row>
    <row r="154">
      <c r="A154" s="77">
        <f>HYPERLINK("https://polkadot.subsquare.io/referenda/152", 152)</f>
        <v>152</v>
      </c>
      <c r="B154" s="40" t="s">
        <v>1010</v>
      </c>
      <c r="C154" s="40" t="s">
        <v>1851</v>
      </c>
      <c r="D154" s="78">
        <v>841.34</v>
      </c>
      <c r="E154" s="79">
        <v>3521.520161495209</v>
      </c>
      <c r="F154" s="40" t="s">
        <v>1869</v>
      </c>
      <c r="G154" s="78">
        <v>1.1550445501611734E7</v>
      </c>
      <c r="H154" s="78">
        <v>2360329.5508997575</v>
      </c>
      <c r="I154" s="80">
        <v>45183.0</v>
      </c>
      <c r="J154" s="80">
        <v>45185.0</v>
      </c>
      <c r="K154" s="79">
        <v>3496.8125549030306</v>
      </c>
      <c r="L154" s="81" t="s">
        <v>81</v>
      </c>
      <c r="M154" s="81" t="s">
        <v>89</v>
      </c>
      <c r="N154" s="86"/>
      <c r="O154" s="61"/>
      <c r="P154" s="61"/>
      <c r="Q154" s="61"/>
      <c r="R154" s="61" t="str">
        <f t="shared" si="1"/>
        <v>2023</v>
      </c>
      <c r="S154" s="62">
        <f t="shared" si="2"/>
        <v>9</v>
      </c>
      <c r="T154" s="61" t="str">
        <f t="shared" si="3"/>
        <v>2023-Q3</v>
      </c>
      <c r="U154" s="63" t="str">
        <f t="shared" si="4"/>
        <v>2023-09</v>
      </c>
      <c r="V154" s="64" t="str">
        <f t="shared" si="5"/>
        <v>2023-H2</v>
      </c>
      <c r="W154" s="32"/>
      <c r="X154" s="32"/>
    </row>
    <row r="155">
      <c r="A155" s="77">
        <f>HYPERLINK("https://polkadot.subsquare.io/referenda/153", 153)</f>
        <v>153</v>
      </c>
      <c r="B155" s="40" t="s">
        <v>1011</v>
      </c>
      <c r="C155" s="40" t="s">
        <v>1851</v>
      </c>
      <c r="D155" s="78">
        <v>14833.623</v>
      </c>
      <c r="E155" s="79">
        <v>60441.0481690278</v>
      </c>
      <c r="F155" s="40" t="s">
        <v>1853</v>
      </c>
      <c r="G155" s="78">
        <v>1.5145558668774566E7</v>
      </c>
      <c r="H155" s="78">
        <v>1.30392772102238E7</v>
      </c>
      <c r="I155" s="80">
        <v>45183.0</v>
      </c>
      <c r="J155" s="80">
        <v>45207.0</v>
      </c>
      <c r="K155" s="79">
        <v>55448.94446227455</v>
      </c>
      <c r="L155" s="70" t="s">
        <v>46</v>
      </c>
      <c r="M155" s="70" t="s">
        <v>114</v>
      </c>
      <c r="N155" s="61"/>
      <c r="O155" s="86"/>
      <c r="P155" s="86"/>
      <c r="Q155" s="86"/>
      <c r="R155" s="61" t="str">
        <f t="shared" si="1"/>
        <v>2023</v>
      </c>
      <c r="S155" s="62">
        <f t="shared" si="2"/>
        <v>10</v>
      </c>
      <c r="T155" s="61" t="str">
        <f t="shared" si="3"/>
        <v>2023-Q4</v>
      </c>
      <c r="U155" s="63" t="str">
        <f t="shared" si="4"/>
        <v>2023-10</v>
      </c>
      <c r="V155" s="64" t="str">
        <f t="shared" si="5"/>
        <v>2023-H2</v>
      </c>
      <c r="W155" s="32"/>
      <c r="X155" s="32"/>
    </row>
    <row r="156">
      <c r="A156" s="77">
        <f>HYPERLINK("https://polkadot.subsquare.io/referenda/154", 154)</f>
        <v>154</v>
      </c>
      <c r="B156" s="40" t="s">
        <v>1944</v>
      </c>
      <c r="C156" s="40" t="s">
        <v>1846</v>
      </c>
      <c r="D156" s="78">
        <v>22400.0</v>
      </c>
      <c r="E156" s="79">
        <v>92024.64294433594</v>
      </c>
      <c r="F156" s="40" t="s">
        <v>1853</v>
      </c>
      <c r="G156" s="78">
        <v>3072144.4368458968</v>
      </c>
      <c r="H156" s="78">
        <v>1.0707989811922401E7</v>
      </c>
      <c r="I156" s="80">
        <v>45185.0</v>
      </c>
      <c r="J156" s="80">
        <v>45213.0</v>
      </c>
      <c r="K156" s="79">
        <v>82321.27532958984</v>
      </c>
      <c r="L156" s="81" t="s">
        <v>90</v>
      </c>
      <c r="M156" s="81" t="s">
        <v>90</v>
      </c>
      <c r="N156" s="86"/>
      <c r="O156" s="61"/>
      <c r="P156" s="61"/>
      <c r="Q156" s="61"/>
      <c r="R156" s="61" t="str">
        <f t="shared" si="1"/>
        <v>2023</v>
      </c>
      <c r="S156" s="62">
        <f t="shared" si="2"/>
        <v>10</v>
      </c>
      <c r="T156" s="61" t="str">
        <f t="shared" si="3"/>
        <v>2023-Q4</v>
      </c>
      <c r="U156" s="63" t="str">
        <f t="shared" si="4"/>
        <v>2023-10</v>
      </c>
      <c r="V156" s="64" t="str">
        <f t="shared" si="5"/>
        <v>2023-H2</v>
      </c>
      <c r="W156" s="32"/>
      <c r="X156" s="32"/>
    </row>
    <row r="157">
      <c r="A157" s="77">
        <f>HYPERLINK("https://polkadot.subsquare.io/referenda/155", 155)</f>
        <v>155</v>
      </c>
      <c r="B157" s="40" t="s">
        <v>1012</v>
      </c>
      <c r="C157" s="40" t="s">
        <v>1851</v>
      </c>
      <c r="D157" s="78">
        <v>45074.0</v>
      </c>
      <c r="E157" s="79">
        <v>187338.44711971283</v>
      </c>
      <c r="F157" s="40" t="s">
        <v>1853</v>
      </c>
      <c r="G157" s="78">
        <v>2.1296002802137867E7</v>
      </c>
      <c r="H157" s="78">
        <v>1441880.29251313</v>
      </c>
      <c r="I157" s="80">
        <v>45185.0</v>
      </c>
      <c r="J157" s="80">
        <v>45203.0</v>
      </c>
      <c r="K157" s="79">
        <v>183548.03500652313</v>
      </c>
      <c r="L157" s="70" t="s">
        <v>81</v>
      </c>
      <c r="M157" s="70" t="s">
        <v>93</v>
      </c>
      <c r="N157" s="61"/>
      <c r="O157" s="86"/>
      <c r="P157" s="86"/>
      <c r="Q157" s="86"/>
      <c r="R157" s="61" t="str">
        <f t="shared" si="1"/>
        <v>2023</v>
      </c>
      <c r="S157" s="62">
        <f t="shared" si="2"/>
        <v>10</v>
      </c>
      <c r="T157" s="61" t="str">
        <f t="shared" si="3"/>
        <v>2023-Q4</v>
      </c>
      <c r="U157" s="63" t="str">
        <f t="shared" si="4"/>
        <v>2023-10</v>
      </c>
      <c r="V157" s="64" t="str">
        <f t="shared" si="5"/>
        <v>2023-H2</v>
      </c>
      <c r="W157" s="32"/>
      <c r="X157" s="32"/>
    </row>
    <row r="158">
      <c r="A158" s="77">
        <f>HYPERLINK("https://polkadot.subsquare.io/referenda/156", 156)</f>
        <v>156</v>
      </c>
      <c r="B158" s="40" t="s">
        <v>1013</v>
      </c>
      <c r="C158" s="40" t="s">
        <v>1851</v>
      </c>
      <c r="D158" s="78">
        <v>6075.79</v>
      </c>
      <c r="E158" s="79">
        <v>25153.181664819716</v>
      </c>
      <c r="F158" s="40" t="s">
        <v>1848</v>
      </c>
      <c r="G158" s="78">
        <v>1.415097775408714E7</v>
      </c>
      <c r="H158" s="78">
        <v>750254.5688472512</v>
      </c>
      <c r="I158" s="80">
        <v>45186.0</v>
      </c>
      <c r="J158" s="80">
        <v>45206.0</v>
      </c>
      <c r="K158" s="79">
        <v>23163.536529352667</v>
      </c>
      <c r="L158" s="81" t="s">
        <v>49</v>
      </c>
      <c r="M158" s="81" t="s">
        <v>140</v>
      </c>
      <c r="N158" s="86"/>
      <c r="O158" s="61"/>
      <c r="P158" s="61"/>
      <c r="Q158" s="61"/>
      <c r="R158" s="61" t="str">
        <f t="shared" si="1"/>
        <v>2023</v>
      </c>
      <c r="S158" s="62">
        <f t="shared" si="2"/>
        <v>10</v>
      </c>
      <c r="T158" s="61" t="str">
        <f t="shared" si="3"/>
        <v>2023-Q4</v>
      </c>
      <c r="U158" s="63" t="str">
        <f t="shared" si="4"/>
        <v>2023-10</v>
      </c>
      <c r="V158" s="64" t="str">
        <f t="shared" si="5"/>
        <v>2023-H2</v>
      </c>
      <c r="W158" s="32"/>
      <c r="X158" s="32"/>
    </row>
    <row r="159">
      <c r="A159" s="77">
        <f>HYPERLINK("https://polkadot.subsquare.io/referenda/157", 157)</f>
        <v>157</v>
      </c>
      <c r="B159" s="40" t="s">
        <v>1945</v>
      </c>
      <c r="C159" s="40" t="s">
        <v>1846</v>
      </c>
      <c r="D159" s="78">
        <v>247058.0</v>
      </c>
      <c r="E159" s="79">
        <v>1022796.1723079681</v>
      </c>
      <c r="F159" s="40" t="s">
        <v>1855</v>
      </c>
      <c r="G159" s="78">
        <v>2.900250996645172E7</v>
      </c>
      <c r="H159" s="78">
        <v>5.554697532729751E7</v>
      </c>
      <c r="I159" s="80">
        <v>45186.0</v>
      </c>
      <c r="J159" s="80">
        <v>45215.0</v>
      </c>
      <c r="K159" s="79">
        <v>903379.6771345139</v>
      </c>
      <c r="L159" s="70" t="s">
        <v>90</v>
      </c>
      <c r="M159" s="70" t="s">
        <v>90</v>
      </c>
      <c r="N159" s="61"/>
      <c r="O159" s="86"/>
      <c r="P159" s="86"/>
      <c r="Q159" s="86"/>
      <c r="R159" s="61" t="str">
        <f t="shared" si="1"/>
        <v>2023</v>
      </c>
      <c r="S159" s="62">
        <f t="shared" si="2"/>
        <v>10</v>
      </c>
      <c r="T159" s="61" t="str">
        <f t="shared" si="3"/>
        <v>2023-Q4</v>
      </c>
      <c r="U159" s="63" t="str">
        <f t="shared" si="4"/>
        <v>2023-10</v>
      </c>
      <c r="V159" s="64" t="str">
        <f t="shared" si="5"/>
        <v>2023-H2</v>
      </c>
      <c r="W159" s="32"/>
      <c r="X159" s="32"/>
    </row>
    <row r="160">
      <c r="A160" s="77">
        <f>HYPERLINK("https://polkadot.subsquare.io/referenda/158", 158)</f>
        <v>158</v>
      </c>
      <c r="B160" s="40" t="s">
        <v>1014</v>
      </c>
      <c r="C160" s="40" t="s">
        <v>1851</v>
      </c>
      <c r="D160" s="78">
        <v>32420.0</v>
      </c>
      <c r="E160" s="79">
        <v>134215.65748214722</v>
      </c>
      <c r="F160" s="40" t="s">
        <v>1853</v>
      </c>
      <c r="G160" s="78">
        <v>2.853342736191947E7</v>
      </c>
      <c r="H160" s="78">
        <v>4214708.456740625</v>
      </c>
      <c r="I160" s="80">
        <v>45187.0</v>
      </c>
      <c r="J160" s="80">
        <v>45205.0</v>
      </c>
      <c r="K160" s="79">
        <v>130143.1534576416</v>
      </c>
      <c r="L160" s="81" t="s">
        <v>81</v>
      </c>
      <c r="M160" s="81" t="s">
        <v>93</v>
      </c>
      <c r="N160" s="86"/>
      <c r="O160" s="61"/>
      <c r="P160" s="61"/>
      <c r="Q160" s="61"/>
      <c r="R160" s="61" t="str">
        <f t="shared" si="1"/>
        <v>2023</v>
      </c>
      <c r="S160" s="62">
        <f t="shared" si="2"/>
        <v>10</v>
      </c>
      <c r="T160" s="61" t="str">
        <f t="shared" si="3"/>
        <v>2023-Q4</v>
      </c>
      <c r="U160" s="63" t="str">
        <f t="shared" si="4"/>
        <v>2023-10</v>
      </c>
      <c r="V160" s="64" t="str">
        <f t="shared" si="5"/>
        <v>2023-H2</v>
      </c>
      <c r="W160" s="32"/>
      <c r="X160" s="32"/>
    </row>
    <row r="161">
      <c r="A161" s="77">
        <f>HYPERLINK("https://polkadot.subsquare.io/referenda/159", 159)</f>
        <v>159</v>
      </c>
      <c r="B161" s="40" t="s">
        <v>1946</v>
      </c>
      <c r="C161" s="40" t="s">
        <v>1851</v>
      </c>
      <c r="D161" s="78">
        <v>0.0</v>
      </c>
      <c r="E161" s="79">
        <v>0.0</v>
      </c>
      <c r="F161" s="40" t="s">
        <v>1853</v>
      </c>
      <c r="G161" s="78">
        <v>6714486.932214823</v>
      </c>
      <c r="H161" s="78">
        <v>1573255.404904616</v>
      </c>
      <c r="I161" s="80">
        <v>45188.0</v>
      </c>
      <c r="J161" s="80">
        <v>45213.0</v>
      </c>
      <c r="K161" s="79">
        <v>0.0</v>
      </c>
      <c r="L161" s="70" t="s">
        <v>90</v>
      </c>
      <c r="M161" s="70" t="s">
        <v>90</v>
      </c>
      <c r="N161" s="61"/>
      <c r="O161" s="86"/>
      <c r="P161" s="86"/>
      <c r="Q161" s="86"/>
      <c r="R161" s="61" t="str">
        <f t="shared" si="1"/>
        <v>2023</v>
      </c>
      <c r="S161" s="62">
        <f t="shared" si="2"/>
        <v>10</v>
      </c>
      <c r="T161" s="61" t="str">
        <f t="shared" si="3"/>
        <v>2023-Q4</v>
      </c>
      <c r="U161" s="63" t="str">
        <f t="shared" si="4"/>
        <v>2023-10</v>
      </c>
      <c r="V161" s="64" t="str">
        <f t="shared" si="5"/>
        <v>2023-H2</v>
      </c>
      <c r="W161" s="32"/>
      <c r="X161" s="32"/>
    </row>
    <row r="162">
      <c r="A162" s="77">
        <f>HYPERLINK("https://polkadot.subsquare.io/referenda/160", 160)</f>
        <v>160</v>
      </c>
      <c r="B162" s="40" t="s">
        <v>1015</v>
      </c>
      <c r="C162" s="40" t="s">
        <v>1851</v>
      </c>
      <c r="D162" s="78">
        <v>16231.0</v>
      </c>
      <c r="E162" s="79">
        <v>65452.15421628952</v>
      </c>
      <c r="F162" s="40" t="s">
        <v>1853</v>
      </c>
      <c r="G162" s="78">
        <v>3.2922393783723775E7</v>
      </c>
      <c r="H162" s="78">
        <v>1.192526170680949E7</v>
      </c>
      <c r="I162" s="80">
        <v>45190.0</v>
      </c>
      <c r="J162" s="80">
        <v>45211.0</v>
      </c>
      <c r="K162" s="79">
        <v>60947.0469686985</v>
      </c>
      <c r="L162" s="81" t="s">
        <v>81</v>
      </c>
      <c r="M162" s="81" t="s">
        <v>89</v>
      </c>
      <c r="N162" s="86"/>
      <c r="O162" s="61"/>
      <c r="P162" s="61"/>
      <c r="Q162" s="61"/>
      <c r="R162" s="61" t="str">
        <f t="shared" si="1"/>
        <v>2023</v>
      </c>
      <c r="S162" s="62">
        <f t="shared" si="2"/>
        <v>10</v>
      </c>
      <c r="T162" s="61" t="str">
        <f t="shared" si="3"/>
        <v>2023-Q4</v>
      </c>
      <c r="U162" s="63" t="str">
        <f t="shared" si="4"/>
        <v>2023-10</v>
      </c>
      <c r="V162" s="64" t="str">
        <f t="shared" si="5"/>
        <v>2023-H2</v>
      </c>
      <c r="W162" s="32"/>
      <c r="X162" s="32"/>
    </row>
    <row r="163">
      <c r="A163" s="77">
        <f>HYPERLINK("https://polkadot.subsquare.io/referenda/161", 161)</f>
        <v>161</v>
      </c>
      <c r="B163" s="40" t="s">
        <v>1016</v>
      </c>
      <c r="C163" s="40" t="s">
        <v>1851</v>
      </c>
      <c r="D163" s="78">
        <v>171454.05</v>
      </c>
      <c r="E163" s="79">
        <v>684226.2976417779</v>
      </c>
      <c r="F163" s="40" t="s">
        <v>1855</v>
      </c>
      <c r="G163" s="78">
        <v>4.0992246510089815E7</v>
      </c>
      <c r="H163" s="78">
        <v>3120749.43144537</v>
      </c>
      <c r="I163" s="80">
        <v>45193.0</v>
      </c>
      <c r="J163" s="80">
        <v>45220.0</v>
      </c>
      <c r="K163" s="79">
        <v>745528.9821412325</v>
      </c>
      <c r="L163" s="70" t="s">
        <v>46</v>
      </c>
      <c r="M163" s="70" t="s">
        <v>110</v>
      </c>
      <c r="N163" s="61"/>
      <c r="O163" s="86"/>
      <c r="P163" s="86"/>
      <c r="Q163" s="86"/>
      <c r="R163" s="61" t="str">
        <f t="shared" si="1"/>
        <v>2023</v>
      </c>
      <c r="S163" s="62">
        <f t="shared" si="2"/>
        <v>10</v>
      </c>
      <c r="T163" s="61" t="str">
        <f t="shared" si="3"/>
        <v>2023-Q4</v>
      </c>
      <c r="U163" s="63" t="str">
        <f t="shared" si="4"/>
        <v>2023-10</v>
      </c>
      <c r="V163" s="64" t="str">
        <f t="shared" si="5"/>
        <v>2023-H2</v>
      </c>
      <c r="W163" s="32"/>
      <c r="X163" s="32"/>
    </row>
    <row r="164">
      <c r="A164" s="77">
        <f>HYPERLINK("https://polkadot.subsquare.io/referenda/599", 599)</f>
        <v>599</v>
      </c>
      <c r="B164" s="40" t="s">
        <v>1208</v>
      </c>
      <c r="C164" s="40" t="s">
        <v>1851</v>
      </c>
      <c r="D164" s="78">
        <v>5600.0</v>
      </c>
      <c r="E164" s="79">
        <v>50299.698638916016</v>
      </c>
      <c r="F164" s="40" t="s">
        <v>1848</v>
      </c>
      <c r="G164" s="78">
        <v>2.4138423605158653E7</v>
      </c>
      <c r="H164" s="78">
        <v>1.6356422065604853E7</v>
      </c>
      <c r="I164" s="80">
        <v>45371.0</v>
      </c>
      <c r="J164" s="80">
        <v>45407.0</v>
      </c>
      <c r="K164" s="79">
        <v>37652.19421386719</v>
      </c>
      <c r="L164" s="81" t="s">
        <v>50</v>
      </c>
      <c r="M164" s="81" t="s">
        <v>121</v>
      </c>
      <c r="N164" s="61"/>
      <c r="O164" s="86"/>
      <c r="P164" s="86"/>
      <c r="Q164" s="86"/>
      <c r="R164" s="61" t="str">
        <f t="shared" si="1"/>
        <v>2024</v>
      </c>
      <c r="S164" s="62">
        <f t="shared" si="2"/>
        <v>4</v>
      </c>
      <c r="T164" s="61" t="str">
        <f t="shared" si="3"/>
        <v>2024-Q2</v>
      </c>
      <c r="U164" s="63" t="str">
        <f t="shared" si="4"/>
        <v>2024-04</v>
      </c>
      <c r="V164" s="64" t="str">
        <f t="shared" si="5"/>
        <v>2024-H1</v>
      </c>
      <c r="W164" s="32"/>
      <c r="X164" s="32"/>
    </row>
    <row r="165">
      <c r="A165" s="77">
        <f>HYPERLINK("https://polkadot.subsquare.io/referenda/163", 163)</f>
        <v>163</v>
      </c>
      <c r="B165" s="40" t="s">
        <v>1947</v>
      </c>
      <c r="C165" s="40" t="s">
        <v>1851</v>
      </c>
      <c r="D165" s="78">
        <v>0.0</v>
      </c>
      <c r="E165" s="79">
        <v>0.0</v>
      </c>
      <c r="F165" s="40" t="s">
        <v>1853</v>
      </c>
      <c r="G165" s="78">
        <v>1.3862980444431776E7</v>
      </c>
      <c r="H165" s="78">
        <v>2560151.2917201086</v>
      </c>
      <c r="I165" s="80">
        <v>45194.0</v>
      </c>
      <c r="J165" s="80">
        <v>45224.0</v>
      </c>
      <c r="K165" s="79">
        <v>0.0</v>
      </c>
      <c r="L165" s="70" t="s">
        <v>90</v>
      </c>
      <c r="M165" s="70" t="s">
        <v>90</v>
      </c>
      <c r="N165" s="61"/>
      <c r="O165" s="86" t="s">
        <v>1881</v>
      </c>
      <c r="P165" s="86"/>
      <c r="Q165" s="86"/>
      <c r="R165" s="61" t="str">
        <f t="shared" si="1"/>
        <v>2023</v>
      </c>
      <c r="S165" s="62">
        <f t="shared" si="2"/>
        <v>10</v>
      </c>
      <c r="T165" s="61" t="str">
        <f t="shared" si="3"/>
        <v>2023-Q4</v>
      </c>
      <c r="U165" s="63" t="str">
        <f t="shared" si="4"/>
        <v>2023-10</v>
      </c>
      <c r="V165" s="64" t="str">
        <f t="shared" si="5"/>
        <v>2023-H2</v>
      </c>
      <c r="W165" s="32"/>
      <c r="X165" s="32"/>
    </row>
    <row r="166">
      <c r="A166" s="77">
        <f>HYPERLINK("https://polkadot.subsquare.io/referenda/164", 164)</f>
        <v>164</v>
      </c>
      <c r="B166" s="40" t="s">
        <v>982</v>
      </c>
      <c r="C166" s="40" t="s">
        <v>1851</v>
      </c>
      <c r="D166" s="78">
        <v>20.0</v>
      </c>
      <c r="E166" s="79">
        <v>81.49321556091309</v>
      </c>
      <c r="F166" s="40" t="s">
        <v>982</v>
      </c>
      <c r="G166" s="78">
        <v>1124068.261025354</v>
      </c>
      <c r="H166" s="78">
        <v>10.0</v>
      </c>
      <c r="I166" s="80">
        <v>45194.0</v>
      </c>
      <c r="J166" s="80">
        <v>45199.0</v>
      </c>
      <c r="K166" s="79">
        <v>81.48493766784668</v>
      </c>
      <c r="L166" s="81" t="s">
        <v>46</v>
      </c>
      <c r="M166" s="81" t="s">
        <v>102</v>
      </c>
      <c r="N166" s="86"/>
      <c r="O166" s="61"/>
      <c r="P166" s="61"/>
      <c r="Q166" s="61"/>
      <c r="R166" s="61" t="str">
        <f t="shared" si="1"/>
        <v>2023</v>
      </c>
      <c r="S166" s="62">
        <f t="shared" si="2"/>
        <v>9</v>
      </c>
      <c r="T166" s="61" t="str">
        <f t="shared" si="3"/>
        <v>2023-Q3</v>
      </c>
      <c r="U166" s="63" t="str">
        <f t="shared" si="4"/>
        <v>2023-09</v>
      </c>
      <c r="V166" s="64" t="str">
        <f t="shared" si="5"/>
        <v>2023-H2</v>
      </c>
      <c r="W166" s="32"/>
      <c r="X166" s="32"/>
    </row>
    <row r="167">
      <c r="A167" s="77">
        <f>HYPERLINK("https://polkadot.subsquare.io/referenda/165", 165)</f>
        <v>165</v>
      </c>
      <c r="B167" s="40" t="s">
        <v>1018</v>
      </c>
      <c r="C167" s="40" t="s">
        <v>1851</v>
      </c>
      <c r="D167" s="78">
        <v>32480.0</v>
      </c>
      <c r="E167" s="79">
        <v>132429.46731567383</v>
      </c>
      <c r="F167" s="40" t="s">
        <v>1853</v>
      </c>
      <c r="G167" s="78">
        <v>1.5885988959660273E7</v>
      </c>
      <c r="H167" s="78">
        <v>1.4215047154586323E7</v>
      </c>
      <c r="I167" s="80">
        <v>45195.0</v>
      </c>
      <c r="J167" s="80">
        <v>45219.0</v>
      </c>
      <c r="K167" s="79">
        <v>141231.90055847168</v>
      </c>
      <c r="L167" s="70" t="s">
        <v>46</v>
      </c>
      <c r="M167" s="70" t="s">
        <v>955</v>
      </c>
      <c r="N167" s="61"/>
      <c r="O167" s="86"/>
      <c r="P167" s="86"/>
      <c r="Q167" s="86"/>
      <c r="R167" s="61" t="str">
        <f t="shared" si="1"/>
        <v>2023</v>
      </c>
      <c r="S167" s="62">
        <f t="shared" si="2"/>
        <v>10</v>
      </c>
      <c r="T167" s="61" t="str">
        <f t="shared" si="3"/>
        <v>2023-Q4</v>
      </c>
      <c r="U167" s="63" t="str">
        <f t="shared" si="4"/>
        <v>2023-10</v>
      </c>
      <c r="V167" s="64" t="str">
        <f t="shared" si="5"/>
        <v>2023-H2</v>
      </c>
      <c r="W167" s="32"/>
      <c r="X167" s="32"/>
    </row>
    <row r="168">
      <c r="A168" s="77">
        <f>HYPERLINK("https://polkadot.subsquare.io/referenda/166", 166)</f>
        <v>166</v>
      </c>
      <c r="B168" s="40" t="s">
        <v>1948</v>
      </c>
      <c r="C168" s="40" t="s">
        <v>1851</v>
      </c>
      <c r="D168" s="78">
        <v>0.0</v>
      </c>
      <c r="E168" s="79">
        <v>0.0</v>
      </c>
      <c r="F168" s="40" t="s">
        <v>1852</v>
      </c>
      <c r="G168" s="78">
        <v>7.987862777888377E7</v>
      </c>
      <c r="H168" s="78">
        <v>469179.9508784957</v>
      </c>
      <c r="I168" s="80">
        <v>45196.0</v>
      </c>
      <c r="J168" s="80">
        <v>45219.0</v>
      </c>
      <c r="K168" s="79">
        <v>0.0</v>
      </c>
      <c r="L168" s="81" t="s">
        <v>90</v>
      </c>
      <c r="M168" s="81" t="s">
        <v>90</v>
      </c>
      <c r="N168" s="86"/>
      <c r="O168" s="61"/>
      <c r="P168" s="61"/>
      <c r="Q168" s="61"/>
      <c r="R168" s="61" t="str">
        <f t="shared" si="1"/>
        <v>2023</v>
      </c>
      <c r="S168" s="62">
        <f t="shared" si="2"/>
        <v>10</v>
      </c>
      <c r="T168" s="61" t="str">
        <f t="shared" si="3"/>
        <v>2023-Q4</v>
      </c>
      <c r="U168" s="63" t="str">
        <f t="shared" si="4"/>
        <v>2023-10</v>
      </c>
      <c r="V168" s="64" t="str">
        <f t="shared" si="5"/>
        <v>2023-H2</v>
      </c>
      <c r="W168" s="32"/>
      <c r="X168" s="32"/>
    </row>
    <row r="169">
      <c r="A169" s="77">
        <f>HYPERLINK("https://polkadot.subsquare.io/referenda/167", 167)</f>
        <v>167</v>
      </c>
      <c r="B169" s="40" t="s">
        <v>1019</v>
      </c>
      <c r="C169" s="40" t="s">
        <v>1851</v>
      </c>
      <c r="D169" s="78">
        <v>6444.7</v>
      </c>
      <c r="E169" s="79">
        <v>26276.729926395416</v>
      </c>
      <c r="F169" s="40" t="s">
        <v>1848</v>
      </c>
      <c r="G169" s="78">
        <v>3.459635421283184E7</v>
      </c>
      <c r="H169" s="78">
        <v>1.054669198594188E7</v>
      </c>
      <c r="I169" s="80">
        <v>45196.0</v>
      </c>
      <c r="J169" s="80">
        <v>45218.0</v>
      </c>
      <c r="K169" s="79">
        <v>25551.40493221283</v>
      </c>
      <c r="L169" s="70" t="s">
        <v>46</v>
      </c>
      <c r="M169" s="70" t="s">
        <v>110</v>
      </c>
      <c r="N169" s="61"/>
      <c r="O169" s="86"/>
      <c r="P169" s="86"/>
      <c r="Q169" s="86"/>
      <c r="R169" s="61" t="str">
        <f t="shared" si="1"/>
        <v>2023</v>
      </c>
      <c r="S169" s="62">
        <f t="shared" si="2"/>
        <v>10</v>
      </c>
      <c r="T169" s="61" t="str">
        <f t="shared" si="3"/>
        <v>2023-Q4</v>
      </c>
      <c r="U169" s="63" t="str">
        <f t="shared" si="4"/>
        <v>2023-10</v>
      </c>
      <c r="V169" s="64" t="str">
        <f t="shared" si="5"/>
        <v>2023-H2</v>
      </c>
      <c r="W169" s="32"/>
      <c r="X169" s="32"/>
    </row>
    <row r="170">
      <c r="A170" s="77">
        <f>HYPERLINK("https://polkadot.subsquare.io/referenda/168", 168)</f>
        <v>168</v>
      </c>
      <c r="B170" s="40" t="s">
        <v>1020</v>
      </c>
      <c r="C170" s="40" t="s">
        <v>1851</v>
      </c>
      <c r="D170" s="78">
        <v>5233.0</v>
      </c>
      <c r="E170" s="79">
        <v>21484.6989941597</v>
      </c>
      <c r="F170" s="40" t="s">
        <v>1848</v>
      </c>
      <c r="G170" s="78">
        <v>1.664284886018637E7</v>
      </c>
      <c r="H170" s="78">
        <v>1.0902778199072879E7</v>
      </c>
      <c r="I170" s="80">
        <v>45196.0</v>
      </c>
      <c r="J170" s="80">
        <v>45215.0</v>
      </c>
      <c r="K170" s="79">
        <v>19094.579084396362</v>
      </c>
      <c r="L170" s="81" t="s">
        <v>81</v>
      </c>
      <c r="M170" s="81" t="s">
        <v>89</v>
      </c>
      <c r="N170" s="86"/>
      <c r="O170" s="61"/>
      <c r="P170" s="61"/>
      <c r="Q170" s="61"/>
      <c r="R170" s="61" t="str">
        <f t="shared" si="1"/>
        <v>2023</v>
      </c>
      <c r="S170" s="62">
        <f t="shared" si="2"/>
        <v>10</v>
      </c>
      <c r="T170" s="61" t="str">
        <f t="shared" si="3"/>
        <v>2023-Q4</v>
      </c>
      <c r="U170" s="63" t="str">
        <f t="shared" si="4"/>
        <v>2023-10</v>
      </c>
      <c r="V170" s="64" t="str">
        <f t="shared" si="5"/>
        <v>2023-H2</v>
      </c>
      <c r="W170" s="32"/>
      <c r="X170" s="32"/>
    </row>
    <row r="171">
      <c r="A171" s="77">
        <f>HYPERLINK("https://polkadot.subsquare.io/referenda/169", 169)</f>
        <v>169</v>
      </c>
      <c r="B171" s="40" t="s">
        <v>1949</v>
      </c>
      <c r="C171" s="40" t="s">
        <v>1846</v>
      </c>
      <c r="D171" s="78">
        <v>15.0</v>
      </c>
      <c r="E171" s="79">
        <v>61.584270000457764</v>
      </c>
      <c r="F171" s="40" t="s">
        <v>982</v>
      </c>
      <c r="G171" s="78">
        <v>239659.293476854</v>
      </c>
      <c r="H171" s="78">
        <v>7506281.359547438</v>
      </c>
      <c r="I171" s="80">
        <v>45197.0</v>
      </c>
      <c r="J171" s="80">
        <v>45204.0</v>
      </c>
      <c r="K171" s="79">
        <v>60.84670543670654</v>
      </c>
      <c r="L171" s="70" t="s">
        <v>90</v>
      </c>
      <c r="M171" s="70" t="s">
        <v>90</v>
      </c>
      <c r="N171" s="61"/>
      <c r="O171" s="86"/>
      <c r="P171" s="86"/>
      <c r="Q171" s="86"/>
      <c r="R171" s="61" t="str">
        <f t="shared" si="1"/>
        <v>2023</v>
      </c>
      <c r="S171" s="62">
        <f t="shared" si="2"/>
        <v>10</v>
      </c>
      <c r="T171" s="61" t="str">
        <f t="shared" si="3"/>
        <v>2023-Q4</v>
      </c>
      <c r="U171" s="63" t="str">
        <f t="shared" si="4"/>
        <v>2023-10</v>
      </c>
      <c r="V171" s="64" t="str">
        <f t="shared" si="5"/>
        <v>2023-H2</v>
      </c>
      <c r="W171" s="32"/>
      <c r="X171" s="32"/>
    </row>
    <row r="172">
      <c r="A172" s="77">
        <f>HYPERLINK("https://polkadot.subsquare.io/referenda/170", 170)</f>
        <v>170</v>
      </c>
      <c r="B172" s="40" t="s">
        <v>1021</v>
      </c>
      <c r="C172" s="40" t="s">
        <v>1851</v>
      </c>
      <c r="D172" s="78">
        <v>5000.0</v>
      </c>
      <c r="E172" s="79">
        <v>21305.04608154297</v>
      </c>
      <c r="F172" s="40" t="s">
        <v>1848</v>
      </c>
      <c r="G172" s="78">
        <v>3.0182311032798253E7</v>
      </c>
      <c r="H172" s="78">
        <v>1.0517214324763149E7</v>
      </c>
      <c r="I172" s="80">
        <v>45197.0</v>
      </c>
      <c r="J172" s="80">
        <v>45212.0</v>
      </c>
      <c r="K172" s="79">
        <v>18774.889707565308</v>
      </c>
      <c r="L172" s="81" t="s">
        <v>81</v>
      </c>
      <c r="M172" s="81" t="s">
        <v>89</v>
      </c>
      <c r="N172" s="86"/>
      <c r="O172" s="61"/>
      <c r="P172" s="61"/>
      <c r="Q172" s="61"/>
      <c r="R172" s="61" t="str">
        <f t="shared" si="1"/>
        <v>2023</v>
      </c>
      <c r="S172" s="62">
        <f t="shared" si="2"/>
        <v>10</v>
      </c>
      <c r="T172" s="61" t="str">
        <f t="shared" si="3"/>
        <v>2023-Q4</v>
      </c>
      <c r="U172" s="63" t="str">
        <f t="shared" si="4"/>
        <v>2023-10</v>
      </c>
      <c r="V172" s="64" t="str">
        <f t="shared" si="5"/>
        <v>2023-H2</v>
      </c>
      <c r="W172" s="32"/>
      <c r="X172" s="32"/>
    </row>
    <row r="173">
      <c r="A173" s="77">
        <f>HYPERLINK("https://polkadot.subsquare.io/referenda/171", 171)</f>
        <v>171</v>
      </c>
      <c r="B173" s="40" t="s">
        <v>1022</v>
      </c>
      <c r="C173" s="40" t="s">
        <v>1851</v>
      </c>
      <c r="D173" s="78">
        <v>15.0</v>
      </c>
      <c r="E173" s="79">
        <v>63.915138244628906</v>
      </c>
      <c r="F173" s="40" t="s">
        <v>982</v>
      </c>
      <c r="G173" s="78">
        <v>7838951.480903813</v>
      </c>
      <c r="H173" s="78">
        <v>78191.1</v>
      </c>
      <c r="I173" s="80">
        <v>45198.0</v>
      </c>
      <c r="J173" s="80">
        <v>45201.0</v>
      </c>
      <c r="K173" s="79">
        <v>60.70974111557007</v>
      </c>
      <c r="L173" s="70" t="s">
        <v>46</v>
      </c>
      <c r="M173" s="70" t="s">
        <v>102</v>
      </c>
      <c r="N173" s="61"/>
      <c r="O173" s="86"/>
      <c r="P173" s="86"/>
      <c r="Q173" s="86"/>
      <c r="R173" s="61" t="str">
        <f t="shared" si="1"/>
        <v>2023</v>
      </c>
      <c r="S173" s="62">
        <f t="shared" si="2"/>
        <v>10</v>
      </c>
      <c r="T173" s="61" t="str">
        <f t="shared" si="3"/>
        <v>2023-Q4</v>
      </c>
      <c r="U173" s="63" t="str">
        <f t="shared" si="4"/>
        <v>2023-10</v>
      </c>
      <c r="V173" s="64" t="str">
        <f t="shared" si="5"/>
        <v>2023-H2</v>
      </c>
      <c r="W173" s="32"/>
      <c r="X173" s="32"/>
    </row>
    <row r="174">
      <c r="A174" s="77">
        <f>HYPERLINK("https://polkadot.subsquare.io/referenda/172", 172)</f>
        <v>172</v>
      </c>
      <c r="B174" s="40" t="s">
        <v>1023</v>
      </c>
      <c r="C174" s="40" t="s">
        <v>1851</v>
      </c>
      <c r="D174" s="78">
        <v>67438.0</v>
      </c>
      <c r="E174" s="79">
        <v>278098.27057266235</v>
      </c>
      <c r="F174" s="40" t="s">
        <v>1853</v>
      </c>
      <c r="G174" s="78">
        <v>1.5974743506895315E7</v>
      </c>
      <c r="H174" s="78">
        <v>1.3259460570952611E7</v>
      </c>
      <c r="I174" s="80">
        <v>45199.0</v>
      </c>
      <c r="J174" s="80">
        <v>45222.0</v>
      </c>
      <c r="K174" s="79">
        <v>288975.4856014252</v>
      </c>
      <c r="L174" s="81" t="s">
        <v>46</v>
      </c>
      <c r="M174" s="81" t="s">
        <v>108</v>
      </c>
      <c r="N174" s="86"/>
      <c r="O174" s="61"/>
      <c r="P174" s="61"/>
      <c r="Q174" s="61"/>
      <c r="R174" s="61" t="str">
        <f t="shared" si="1"/>
        <v>2023</v>
      </c>
      <c r="S174" s="62">
        <f t="shared" si="2"/>
        <v>10</v>
      </c>
      <c r="T174" s="61" t="str">
        <f t="shared" si="3"/>
        <v>2023-Q4</v>
      </c>
      <c r="U174" s="63" t="str">
        <f t="shared" si="4"/>
        <v>2023-10</v>
      </c>
      <c r="V174" s="64" t="str">
        <f t="shared" si="5"/>
        <v>2023-H2</v>
      </c>
      <c r="W174" s="32"/>
      <c r="X174" s="32"/>
    </row>
    <row r="175">
      <c r="A175" s="77">
        <f>HYPERLINK("https://polkadot.subsquare.io/referenda/173", 173)</f>
        <v>173</v>
      </c>
      <c r="B175" s="40" t="s">
        <v>1950</v>
      </c>
      <c r="C175" s="40" t="s">
        <v>1846</v>
      </c>
      <c r="D175" s="78">
        <v>130.227</v>
      </c>
      <c r="E175" s="79">
        <v>537.025170999527</v>
      </c>
      <c r="F175" s="40" t="s">
        <v>982</v>
      </c>
      <c r="G175" s="78">
        <v>453451.1</v>
      </c>
      <c r="H175" s="78">
        <v>9617022.639728453</v>
      </c>
      <c r="I175" s="80">
        <v>45199.0</v>
      </c>
      <c r="J175" s="80">
        <v>45206.0</v>
      </c>
      <c r="K175" s="79">
        <v>504.91859372735024</v>
      </c>
      <c r="L175" s="70" t="s">
        <v>90</v>
      </c>
      <c r="M175" s="70" t="s">
        <v>90</v>
      </c>
      <c r="N175" s="61"/>
      <c r="O175" s="86"/>
      <c r="P175" s="86"/>
      <c r="Q175" s="86"/>
      <c r="R175" s="61" t="str">
        <f t="shared" si="1"/>
        <v>2023</v>
      </c>
      <c r="S175" s="62">
        <f t="shared" si="2"/>
        <v>10</v>
      </c>
      <c r="T175" s="61" t="str">
        <f t="shared" si="3"/>
        <v>2023-Q4</v>
      </c>
      <c r="U175" s="63" t="str">
        <f t="shared" si="4"/>
        <v>2023-10</v>
      </c>
      <c r="V175" s="64" t="str">
        <f t="shared" si="5"/>
        <v>2023-H2</v>
      </c>
      <c r="W175" s="32"/>
      <c r="X175" s="32"/>
    </row>
    <row r="176">
      <c r="A176" s="77">
        <f>HYPERLINK("https://polkadot.subsquare.io/referenda/174", 174)</f>
        <v>174</v>
      </c>
      <c r="B176" s="40" t="s">
        <v>1951</v>
      </c>
      <c r="C176" s="40" t="s">
        <v>1851</v>
      </c>
      <c r="D176" s="78">
        <v>0.0</v>
      </c>
      <c r="E176" s="79">
        <v>0.0</v>
      </c>
      <c r="F176" s="40" t="s">
        <v>1857</v>
      </c>
      <c r="G176" s="78">
        <v>1.1359224421684125E8</v>
      </c>
      <c r="H176" s="78">
        <v>10.0</v>
      </c>
      <c r="I176" s="80">
        <v>45199.0</v>
      </c>
      <c r="J176" s="80">
        <v>45234.0</v>
      </c>
      <c r="K176" s="79">
        <v>0.0</v>
      </c>
      <c r="L176" s="81" t="s">
        <v>90</v>
      </c>
      <c r="M176" s="81" t="s">
        <v>90</v>
      </c>
      <c r="N176" s="86"/>
      <c r="O176" s="61"/>
      <c r="P176" s="61"/>
      <c r="Q176" s="61"/>
      <c r="R176" s="61" t="str">
        <f t="shared" si="1"/>
        <v>2023</v>
      </c>
      <c r="S176" s="62">
        <f t="shared" si="2"/>
        <v>11</v>
      </c>
      <c r="T176" s="61" t="str">
        <f t="shared" si="3"/>
        <v>2023-Q4</v>
      </c>
      <c r="U176" s="63" t="str">
        <f t="shared" si="4"/>
        <v>2023-11</v>
      </c>
      <c r="V176" s="64" t="str">
        <f t="shared" si="5"/>
        <v>2023-H2</v>
      </c>
      <c r="W176" s="32"/>
      <c r="X176" s="32"/>
    </row>
    <row r="177">
      <c r="A177" s="77">
        <f>HYPERLINK("https://polkadot.subsquare.io/referenda/175", 175)</f>
        <v>175</v>
      </c>
      <c r="B177" s="40" t="s">
        <v>1024</v>
      </c>
      <c r="C177" s="40" t="s">
        <v>1851</v>
      </c>
      <c r="D177" s="78">
        <v>11183.81</v>
      </c>
      <c r="E177" s="79">
        <v>45565.603036952016</v>
      </c>
      <c r="F177" s="40" t="s">
        <v>1853</v>
      </c>
      <c r="G177" s="78">
        <v>1.940517177411935E7</v>
      </c>
      <c r="H177" s="78">
        <v>1.1687126732700344E7</v>
      </c>
      <c r="I177" s="80">
        <v>45199.0</v>
      </c>
      <c r="J177" s="80">
        <v>45228.0</v>
      </c>
      <c r="K177" s="79">
        <v>52909.59660290241</v>
      </c>
      <c r="L177" s="70" t="s">
        <v>46</v>
      </c>
      <c r="M177" s="70" t="s">
        <v>104</v>
      </c>
      <c r="N177" s="61"/>
      <c r="O177" s="86"/>
      <c r="P177" s="86"/>
      <c r="Q177" s="86"/>
      <c r="R177" s="61" t="str">
        <f t="shared" si="1"/>
        <v>2023</v>
      </c>
      <c r="S177" s="62">
        <f t="shared" si="2"/>
        <v>10</v>
      </c>
      <c r="T177" s="61" t="str">
        <f t="shared" si="3"/>
        <v>2023-Q4</v>
      </c>
      <c r="U177" s="63" t="str">
        <f t="shared" si="4"/>
        <v>2023-10</v>
      </c>
      <c r="V177" s="64" t="str">
        <f t="shared" si="5"/>
        <v>2023-H2</v>
      </c>
      <c r="W177" s="32"/>
      <c r="X177" s="32"/>
    </row>
    <row r="178">
      <c r="A178" s="77">
        <f>HYPERLINK("https://polkadot.subsquare.io/referenda/176", 176)</f>
        <v>176</v>
      </c>
      <c r="B178" s="40" t="s">
        <v>982</v>
      </c>
      <c r="C178" s="40" t="s">
        <v>1851</v>
      </c>
      <c r="D178" s="78">
        <v>80.0</v>
      </c>
      <c r="E178" s="79">
        <v>325.9397506713867</v>
      </c>
      <c r="F178" s="40" t="s">
        <v>982</v>
      </c>
      <c r="G178" s="78">
        <v>9618419.74893157</v>
      </c>
      <c r="H178" s="78">
        <v>7010.0</v>
      </c>
      <c r="I178" s="80">
        <v>45200.0</v>
      </c>
      <c r="J178" s="80">
        <v>45203.0</v>
      </c>
      <c r="K178" s="79">
        <v>324.51576232910156</v>
      </c>
      <c r="L178" s="81" t="s">
        <v>46</v>
      </c>
      <c r="M178" s="81" t="s">
        <v>102</v>
      </c>
      <c r="N178" s="86"/>
      <c r="O178" s="61"/>
      <c r="P178" s="61"/>
      <c r="Q178" s="61"/>
      <c r="R178" s="61" t="str">
        <f t="shared" si="1"/>
        <v>2023</v>
      </c>
      <c r="S178" s="62">
        <f t="shared" si="2"/>
        <v>10</v>
      </c>
      <c r="T178" s="61" t="str">
        <f t="shared" si="3"/>
        <v>2023-Q4</v>
      </c>
      <c r="U178" s="63" t="str">
        <f t="shared" si="4"/>
        <v>2023-10</v>
      </c>
      <c r="V178" s="64" t="str">
        <f t="shared" si="5"/>
        <v>2023-H2</v>
      </c>
      <c r="W178" s="32"/>
      <c r="X178" s="32"/>
    </row>
    <row r="179">
      <c r="A179" s="77">
        <f>HYPERLINK("https://polkadot.subsquare.io/referenda/177", 177)</f>
        <v>177</v>
      </c>
      <c r="B179" s="40" t="s">
        <v>1025</v>
      </c>
      <c r="C179" s="40" t="s">
        <v>1851</v>
      </c>
      <c r="D179" s="78">
        <v>42685.0</v>
      </c>
      <c r="E179" s="79">
        <v>172759.68663454056</v>
      </c>
      <c r="F179" s="40" t="s">
        <v>1853</v>
      </c>
      <c r="G179" s="78">
        <v>4.183694146930335E7</v>
      </c>
      <c r="H179" s="78">
        <v>1508814.1225582366</v>
      </c>
      <c r="I179" s="80">
        <v>45200.0</v>
      </c>
      <c r="J179" s="80">
        <v>45217.0</v>
      </c>
      <c r="K179" s="79">
        <v>166659.53242063522</v>
      </c>
      <c r="L179" s="70" t="s">
        <v>49</v>
      </c>
      <c r="M179" s="70" t="s">
        <v>126</v>
      </c>
      <c r="N179" s="61"/>
      <c r="O179" s="86"/>
      <c r="P179" s="86"/>
      <c r="Q179" s="86"/>
      <c r="R179" s="61" t="str">
        <f t="shared" si="1"/>
        <v>2023</v>
      </c>
      <c r="S179" s="62">
        <f t="shared" si="2"/>
        <v>10</v>
      </c>
      <c r="T179" s="61" t="str">
        <f t="shared" si="3"/>
        <v>2023-Q4</v>
      </c>
      <c r="U179" s="63" t="str">
        <f t="shared" si="4"/>
        <v>2023-10</v>
      </c>
      <c r="V179" s="64" t="str">
        <f t="shared" si="5"/>
        <v>2023-H2</v>
      </c>
      <c r="W179" s="32"/>
      <c r="X179" s="32"/>
    </row>
    <row r="180">
      <c r="A180" s="77">
        <f>HYPERLINK("https://polkadot.subsquare.io/referenda/178", 178)</f>
        <v>178</v>
      </c>
      <c r="B180" s="40" t="s">
        <v>1026</v>
      </c>
      <c r="C180" s="40" t="s">
        <v>1851</v>
      </c>
      <c r="D180" s="78">
        <v>37851.0</v>
      </c>
      <c r="E180" s="79">
        <v>153194.9607310295</v>
      </c>
      <c r="F180" s="40" t="s">
        <v>1853</v>
      </c>
      <c r="G180" s="78">
        <v>1.560995924957572E7</v>
      </c>
      <c r="H180" s="78">
        <v>1.3069205742926199E7</v>
      </c>
      <c r="I180" s="80">
        <v>45201.0</v>
      </c>
      <c r="J180" s="80">
        <v>45224.0</v>
      </c>
      <c r="K180" s="79">
        <v>158221.27057170868</v>
      </c>
      <c r="L180" s="81" t="s">
        <v>81</v>
      </c>
      <c r="M180" s="81" t="s">
        <v>89</v>
      </c>
      <c r="N180" s="86"/>
      <c r="O180" s="61"/>
      <c r="P180" s="61"/>
      <c r="Q180" s="61"/>
      <c r="R180" s="61" t="str">
        <f t="shared" si="1"/>
        <v>2023</v>
      </c>
      <c r="S180" s="62">
        <f t="shared" si="2"/>
        <v>10</v>
      </c>
      <c r="T180" s="61" t="str">
        <f t="shared" si="3"/>
        <v>2023-Q4</v>
      </c>
      <c r="U180" s="63" t="str">
        <f t="shared" si="4"/>
        <v>2023-10</v>
      </c>
      <c r="V180" s="64" t="str">
        <f t="shared" si="5"/>
        <v>2023-H2</v>
      </c>
      <c r="W180" s="32"/>
      <c r="X180" s="32"/>
    </row>
    <row r="181">
      <c r="A181" s="77">
        <f>HYPERLINK("https://polkadot.subsquare.io/referenda/179", 179)</f>
        <v>179</v>
      </c>
      <c r="B181" s="40" t="s">
        <v>1027</v>
      </c>
      <c r="C181" s="40" t="s">
        <v>1851</v>
      </c>
      <c r="D181" s="78">
        <v>255835.014</v>
      </c>
      <c r="E181" s="79">
        <v>1029157.2274032126</v>
      </c>
      <c r="F181" s="40" t="s">
        <v>1855</v>
      </c>
      <c r="G181" s="78">
        <v>4.729266341660337E7</v>
      </c>
      <c r="H181" s="78">
        <v>1759274.7082190136</v>
      </c>
      <c r="I181" s="80">
        <v>45201.0</v>
      </c>
      <c r="J181" s="80">
        <v>45224.0</v>
      </c>
      <c r="K181" s="79">
        <v>1069418.0067055263</v>
      </c>
      <c r="L181" s="83" t="s">
        <v>48</v>
      </c>
      <c r="M181" s="70" t="s">
        <v>131</v>
      </c>
      <c r="N181" s="61"/>
      <c r="O181" s="86"/>
      <c r="P181" s="86"/>
      <c r="Q181" s="86"/>
      <c r="R181" s="61" t="str">
        <f t="shared" si="1"/>
        <v>2023</v>
      </c>
      <c r="S181" s="62">
        <f t="shared" si="2"/>
        <v>10</v>
      </c>
      <c r="T181" s="61" t="str">
        <f t="shared" si="3"/>
        <v>2023-Q4</v>
      </c>
      <c r="U181" s="63" t="str">
        <f t="shared" si="4"/>
        <v>2023-10</v>
      </c>
      <c r="V181" s="64" t="str">
        <f t="shared" si="5"/>
        <v>2023-H2</v>
      </c>
      <c r="W181" s="32"/>
      <c r="X181" s="32"/>
    </row>
    <row r="182">
      <c r="A182" s="77">
        <f>HYPERLINK("https://polkadot.subsquare.io/referenda/180", 180)</f>
        <v>180</v>
      </c>
      <c r="B182" s="40" t="s">
        <v>1952</v>
      </c>
      <c r="C182" s="40" t="s">
        <v>1846</v>
      </c>
      <c r="D182" s="78">
        <v>16955.0</v>
      </c>
      <c r="E182" s="79">
        <v>68205.52244901657</v>
      </c>
      <c r="F182" s="40" t="s">
        <v>1853</v>
      </c>
      <c r="G182" s="78">
        <v>3492930.8145728265</v>
      </c>
      <c r="H182" s="78">
        <v>1.1707775346271059E7</v>
      </c>
      <c r="I182" s="80">
        <v>45202.0</v>
      </c>
      <c r="J182" s="80">
        <v>45230.0</v>
      </c>
      <c r="K182" s="79">
        <v>78255.69694519043</v>
      </c>
      <c r="L182" s="81" t="s">
        <v>90</v>
      </c>
      <c r="M182" s="81" t="s">
        <v>90</v>
      </c>
      <c r="N182" s="86"/>
      <c r="O182" s="61"/>
      <c r="P182" s="61"/>
      <c r="Q182" s="61"/>
      <c r="R182" s="61" t="str">
        <f t="shared" si="1"/>
        <v>2023</v>
      </c>
      <c r="S182" s="62">
        <f t="shared" si="2"/>
        <v>10</v>
      </c>
      <c r="T182" s="61" t="str">
        <f t="shared" si="3"/>
        <v>2023-Q4</v>
      </c>
      <c r="U182" s="63" t="str">
        <f t="shared" si="4"/>
        <v>2023-10</v>
      </c>
      <c r="V182" s="64" t="str">
        <f t="shared" si="5"/>
        <v>2023-H2</v>
      </c>
      <c r="W182" s="32"/>
      <c r="X182" s="32"/>
    </row>
    <row r="183">
      <c r="A183" s="77">
        <f>HYPERLINK("https://polkadot.subsquare.io/referenda/181", 181)</f>
        <v>181</v>
      </c>
      <c r="B183" s="40" t="s">
        <v>1028</v>
      </c>
      <c r="C183" s="40" t="s">
        <v>1851</v>
      </c>
      <c r="D183" s="78">
        <v>12115.0</v>
      </c>
      <c r="E183" s="79">
        <v>49334.08271074295</v>
      </c>
      <c r="F183" s="40" t="s">
        <v>1853</v>
      </c>
      <c r="G183" s="78">
        <v>3.1642966237652868E7</v>
      </c>
      <c r="H183" s="78">
        <v>1.1301172215252753E7</v>
      </c>
      <c r="I183" s="80">
        <v>45202.0</v>
      </c>
      <c r="J183" s="80">
        <v>45221.0</v>
      </c>
      <c r="K183" s="79">
        <v>50720.82905292511</v>
      </c>
      <c r="L183" s="70" t="s">
        <v>49</v>
      </c>
      <c r="M183" s="70" t="s">
        <v>955</v>
      </c>
      <c r="N183" s="61"/>
      <c r="O183" s="86"/>
      <c r="P183" s="86"/>
      <c r="Q183" s="86"/>
      <c r="R183" s="61" t="str">
        <f t="shared" si="1"/>
        <v>2023</v>
      </c>
      <c r="S183" s="62">
        <f t="shared" si="2"/>
        <v>10</v>
      </c>
      <c r="T183" s="61" t="str">
        <f t="shared" si="3"/>
        <v>2023-Q4</v>
      </c>
      <c r="U183" s="63" t="str">
        <f t="shared" si="4"/>
        <v>2023-10</v>
      </c>
      <c r="V183" s="64" t="str">
        <f t="shared" si="5"/>
        <v>2023-H2</v>
      </c>
      <c r="W183" s="32"/>
      <c r="X183" s="32"/>
    </row>
    <row r="184">
      <c r="A184" s="77">
        <f>HYPERLINK("https://polkadot.subsquare.io/referenda/182", 182)</f>
        <v>182</v>
      </c>
      <c r="B184" s="40" t="s">
        <v>1953</v>
      </c>
      <c r="C184" s="40" t="s">
        <v>1861</v>
      </c>
      <c r="D184" s="78">
        <v>5457.0</v>
      </c>
      <c r="E184" s="79">
        <v>22221.716001033783</v>
      </c>
      <c r="F184" s="40" t="s">
        <v>1857</v>
      </c>
      <c r="G184" s="78">
        <v>42262.7451</v>
      </c>
      <c r="H184" s="78">
        <v>1.0678793697015744E7</v>
      </c>
      <c r="I184" s="80">
        <v>45202.0</v>
      </c>
      <c r="J184" s="80">
        <v>45216.0</v>
      </c>
      <c r="K184" s="79">
        <v>20306.99817252159</v>
      </c>
      <c r="L184" s="81" t="s">
        <v>90</v>
      </c>
      <c r="M184" s="81" t="s">
        <v>90</v>
      </c>
      <c r="N184" s="86"/>
      <c r="O184" s="61"/>
      <c r="P184" s="61"/>
      <c r="Q184" s="61"/>
      <c r="R184" s="61" t="str">
        <f t="shared" si="1"/>
        <v>2023</v>
      </c>
      <c r="S184" s="62">
        <f t="shared" si="2"/>
        <v>10</v>
      </c>
      <c r="T184" s="61" t="str">
        <f t="shared" si="3"/>
        <v>2023-Q4</v>
      </c>
      <c r="U184" s="63" t="str">
        <f t="shared" si="4"/>
        <v>2023-10</v>
      </c>
      <c r="V184" s="64" t="str">
        <f t="shared" si="5"/>
        <v>2023-H2</v>
      </c>
      <c r="W184" s="32"/>
      <c r="X184" s="32"/>
    </row>
    <row r="185">
      <c r="A185" s="77">
        <f>HYPERLINK("https://polkadot.subsquare.io/referenda/183", 183)</f>
        <v>183</v>
      </c>
      <c r="B185" s="40" t="s">
        <v>1029</v>
      </c>
      <c r="C185" s="40" t="s">
        <v>1851</v>
      </c>
      <c r="D185" s="78">
        <v>43154.0</v>
      </c>
      <c r="E185" s="79">
        <v>175051.9150943756</v>
      </c>
      <c r="F185" s="40" t="s">
        <v>1853</v>
      </c>
      <c r="G185" s="78">
        <v>1.213702657335041E7</v>
      </c>
      <c r="H185" s="78">
        <v>2290402.5680582365</v>
      </c>
      <c r="I185" s="80">
        <v>45204.0</v>
      </c>
      <c r="J185" s="80">
        <v>45229.0</v>
      </c>
      <c r="K185" s="79">
        <v>204157.68256092072</v>
      </c>
      <c r="L185" s="70" t="s">
        <v>49</v>
      </c>
      <c r="M185" s="70" t="s">
        <v>108</v>
      </c>
      <c r="N185" s="61"/>
      <c r="O185" s="86"/>
      <c r="P185" s="86"/>
      <c r="Q185" s="86"/>
      <c r="R185" s="61" t="str">
        <f t="shared" si="1"/>
        <v>2023</v>
      </c>
      <c r="S185" s="62">
        <f t="shared" si="2"/>
        <v>10</v>
      </c>
      <c r="T185" s="61" t="str">
        <f t="shared" si="3"/>
        <v>2023-Q4</v>
      </c>
      <c r="U185" s="63" t="str">
        <f t="shared" si="4"/>
        <v>2023-10</v>
      </c>
      <c r="V185" s="64" t="str">
        <f t="shared" si="5"/>
        <v>2023-H2</v>
      </c>
      <c r="W185" s="32"/>
      <c r="X185" s="32"/>
    </row>
    <row r="186">
      <c r="A186" s="77">
        <f>HYPERLINK("https://polkadot.subsquare.io/referenda/184", 184)</f>
        <v>184</v>
      </c>
      <c r="B186" s="40" t="s">
        <v>1030</v>
      </c>
      <c r="C186" s="40" t="s">
        <v>1851</v>
      </c>
      <c r="D186" s="78">
        <v>980.0</v>
      </c>
      <c r="E186" s="79">
        <v>3934.0003204345703</v>
      </c>
      <c r="F186" s="40" t="s">
        <v>1869</v>
      </c>
      <c r="G186" s="78">
        <v>3.1090138862718776E7</v>
      </c>
      <c r="H186" s="78">
        <v>1139827.406690996</v>
      </c>
      <c r="I186" s="80">
        <v>45204.0</v>
      </c>
      <c r="J186" s="80">
        <v>45209.0</v>
      </c>
      <c r="K186" s="79">
        <v>3646.7741203308105</v>
      </c>
      <c r="L186" s="81" t="s">
        <v>81</v>
      </c>
      <c r="M186" s="81" t="s">
        <v>89</v>
      </c>
      <c r="N186" s="86"/>
      <c r="O186" s="61"/>
      <c r="P186" s="61"/>
      <c r="Q186" s="61"/>
      <c r="R186" s="61" t="str">
        <f t="shared" si="1"/>
        <v>2023</v>
      </c>
      <c r="S186" s="62">
        <f t="shared" si="2"/>
        <v>10</v>
      </c>
      <c r="T186" s="61" t="str">
        <f t="shared" si="3"/>
        <v>2023-Q4</v>
      </c>
      <c r="U186" s="63" t="str">
        <f t="shared" si="4"/>
        <v>2023-10</v>
      </c>
      <c r="V186" s="64" t="str">
        <f t="shared" si="5"/>
        <v>2023-H2</v>
      </c>
      <c r="W186" s="32"/>
      <c r="X186" s="32"/>
    </row>
    <row r="187">
      <c r="A187" s="77">
        <f>HYPERLINK("https://polkadot.subsquare.io/referenda/185", 185)</f>
        <v>185</v>
      </c>
      <c r="B187" s="40" t="s">
        <v>1031</v>
      </c>
      <c r="C187" s="40" t="s">
        <v>1851</v>
      </c>
      <c r="D187" s="78">
        <v>90540.0</v>
      </c>
      <c r="E187" s="79">
        <v>363453.4581756592</v>
      </c>
      <c r="F187" s="40" t="s">
        <v>1853</v>
      </c>
      <c r="G187" s="78">
        <v>3.0524674569029473E7</v>
      </c>
      <c r="H187" s="78">
        <v>1.4315844145121774E7</v>
      </c>
      <c r="I187" s="80">
        <v>45205.0</v>
      </c>
      <c r="J187" s="80">
        <v>45225.0</v>
      </c>
      <c r="K187" s="79">
        <v>378466.9846916199</v>
      </c>
      <c r="L187" s="83" t="s">
        <v>48</v>
      </c>
      <c r="M187" s="70" t="s">
        <v>131</v>
      </c>
      <c r="N187" s="61"/>
      <c r="O187" s="86"/>
      <c r="P187" s="86"/>
      <c r="Q187" s="86"/>
      <c r="R187" s="61" t="str">
        <f t="shared" si="1"/>
        <v>2023</v>
      </c>
      <c r="S187" s="62">
        <f t="shared" si="2"/>
        <v>10</v>
      </c>
      <c r="T187" s="61" t="str">
        <f t="shared" si="3"/>
        <v>2023-Q4</v>
      </c>
      <c r="U187" s="63" t="str">
        <f t="shared" si="4"/>
        <v>2023-10</v>
      </c>
      <c r="V187" s="64" t="str">
        <f t="shared" si="5"/>
        <v>2023-H2</v>
      </c>
      <c r="W187" s="32"/>
      <c r="X187" s="32"/>
    </row>
    <row r="188">
      <c r="A188" s="77">
        <f>HYPERLINK("https://polkadot.subsquare.io/referenda/186", 186)</f>
        <v>186</v>
      </c>
      <c r="B188" s="40" t="s">
        <v>1954</v>
      </c>
      <c r="C188" s="40" t="s">
        <v>1846</v>
      </c>
      <c r="D188" s="78">
        <v>1711.0</v>
      </c>
      <c r="E188" s="79">
        <v>6633.92164349556</v>
      </c>
      <c r="F188" s="40" t="s">
        <v>1848</v>
      </c>
      <c r="G188" s="78">
        <v>3424916.8906073472</v>
      </c>
      <c r="H188" s="78">
        <v>1.2446818670847822E7</v>
      </c>
      <c r="I188" s="80">
        <v>45205.0</v>
      </c>
      <c r="J188" s="80">
        <v>45233.0</v>
      </c>
      <c r="K188" s="79">
        <v>8500.88589811325</v>
      </c>
      <c r="L188" s="81" t="s">
        <v>90</v>
      </c>
      <c r="M188" s="81" t="s">
        <v>90</v>
      </c>
      <c r="N188" s="86"/>
      <c r="O188" s="61"/>
      <c r="P188" s="61"/>
      <c r="Q188" s="61"/>
      <c r="R188" s="61" t="str">
        <f t="shared" si="1"/>
        <v>2023</v>
      </c>
      <c r="S188" s="62">
        <f t="shared" si="2"/>
        <v>11</v>
      </c>
      <c r="T188" s="61" t="str">
        <f t="shared" si="3"/>
        <v>2023-Q4</v>
      </c>
      <c r="U188" s="63" t="str">
        <f t="shared" si="4"/>
        <v>2023-11</v>
      </c>
      <c r="V188" s="64" t="str">
        <f t="shared" si="5"/>
        <v>2023-H2</v>
      </c>
      <c r="W188" s="32"/>
      <c r="X188" s="32"/>
    </row>
    <row r="189">
      <c r="A189" s="77">
        <f>HYPERLINK("https://polkadot.subsquare.io/referenda/187", 187)</f>
        <v>187</v>
      </c>
      <c r="B189" s="40" t="s">
        <v>1032</v>
      </c>
      <c r="C189" s="40" t="s">
        <v>1851</v>
      </c>
      <c r="D189" s="78">
        <v>12091.65</v>
      </c>
      <c r="E189" s="79">
        <v>46098.59400590658</v>
      </c>
      <c r="F189" s="40" t="s">
        <v>1853</v>
      </c>
      <c r="G189" s="78">
        <v>3.0398607270912297E7</v>
      </c>
      <c r="H189" s="78">
        <v>4716779.223331273</v>
      </c>
      <c r="I189" s="80">
        <v>45206.0</v>
      </c>
      <c r="J189" s="80">
        <v>45229.0</v>
      </c>
      <c r="K189" s="79">
        <v>57204.50577785969</v>
      </c>
      <c r="L189" s="83" t="s">
        <v>48</v>
      </c>
      <c r="M189" s="70" t="s">
        <v>131</v>
      </c>
      <c r="N189" s="61"/>
      <c r="O189" s="86"/>
      <c r="P189" s="86"/>
      <c r="Q189" s="86"/>
      <c r="R189" s="61" t="str">
        <f t="shared" si="1"/>
        <v>2023</v>
      </c>
      <c r="S189" s="62">
        <f t="shared" si="2"/>
        <v>10</v>
      </c>
      <c r="T189" s="61" t="str">
        <f t="shared" si="3"/>
        <v>2023-Q4</v>
      </c>
      <c r="U189" s="63" t="str">
        <f t="shared" si="4"/>
        <v>2023-10</v>
      </c>
      <c r="V189" s="64" t="str">
        <f t="shared" si="5"/>
        <v>2023-H2</v>
      </c>
      <c r="W189" s="32"/>
      <c r="X189" s="32"/>
    </row>
    <row r="190">
      <c r="A190" s="77">
        <f>HYPERLINK("https://polkadot.subsquare.io/referenda/188", 188)</f>
        <v>188</v>
      </c>
      <c r="B190" s="40" t="s">
        <v>1955</v>
      </c>
      <c r="C190" s="40" t="s">
        <v>1846</v>
      </c>
      <c r="D190" s="78">
        <v>33943.0</v>
      </c>
      <c r="E190" s="79">
        <v>129405.38109707832</v>
      </c>
      <c r="F190" s="40" t="s">
        <v>1853</v>
      </c>
      <c r="G190" s="78">
        <v>305821.9566813823</v>
      </c>
      <c r="H190" s="78">
        <v>1.555904530397792E7</v>
      </c>
      <c r="I190" s="80">
        <v>45207.0</v>
      </c>
      <c r="J190" s="80">
        <v>45236.0</v>
      </c>
      <c r="K190" s="79">
        <v>171533.83743667603</v>
      </c>
      <c r="L190" s="81" t="s">
        <v>90</v>
      </c>
      <c r="M190" s="81" t="s">
        <v>90</v>
      </c>
      <c r="N190" s="86"/>
      <c r="O190" s="61"/>
      <c r="P190" s="61"/>
      <c r="Q190" s="61"/>
      <c r="R190" s="61" t="str">
        <f t="shared" si="1"/>
        <v>2023</v>
      </c>
      <c r="S190" s="62">
        <f t="shared" si="2"/>
        <v>11</v>
      </c>
      <c r="T190" s="61" t="str">
        <f t="shared" si="3"/>
        <v>2023-Q4</v>
      </c>
      <c r="U190" s="63" t="str">
        <f t="shared" si="4"/>
        <v>2023-11</v>
      </c>
      <c r="V190" s="64" t="str">
        <f t="shared" si="5"/>
        <v>2023-H2</v>
      </c>
      <c r="W190" s="32"/>
      <c r="X190" s="32"/>
    </row>
    <row r="191">
      <c r="A191" s="77">
        <f>HYPERLINK("https://polkadot.subsquare.io/referenda/189", 189)</f>
        <v>189</v>
      </c>
      <c r="B191" s="40" t="s">
        <v>1956</v>
      </c>
      <c r="C191" s="40" t="s">
        <v>1846</v>
      </c>
      <c r="D191" s="78">
        <v>9452.0</v>
      </c>
      <c r="E191" s="79">
        <v>35332.12506866455</v>
      </c>
      <c r="F191" s="40" t="s">
        <v>1848</v>
      </c>
      <c r="G191" s="78">
        <v>155746.3318779763</v>
      </c>
      <c r="H191" s="78">
        <v>1.5581247351948902E7</v>
      </c>
      <c r="I191" s="80">
        <v>45207.0</v>
      </c>
      <c r="J191" s="80">
        <v>45236.0</v>
      </c>
      <c r="K191" s="79">
        <v>48085.680753707886</v>
      </c>
      <c r="L191" s="70" t="s">
        <v>90</v>
      </c>
      <c r="M191" s="70" t="s">
        <v>90</v>
      </c>
      <c r="N191" s="61"/>
      <c r="O191" s="86"/>
      <c r="P191" s="86"/>
      <c r="Q191" s="86"/>
      <c r="R191" s="61" t="str">
        <f t="shared" si="1"/>
        <v>2023</v>
      </c>
      <c r="S191" s="62">
        <f t="shared" si="2"/>
        <v>11</v>
      </c>
      <c r="T191" s="61" t="str">
        <f t="shared" si="3"/>
        <v>2023-Q4</v>
      </c>
      <c r="U191" s="63" t="str">
        <f t="shared" si="4"/>
        <v>2023-11</v>
      </c>
      <c r="V191" s="64" t="str">
        <f t="shared" si="5"/>
        <v>2023-H2</v>
      </c>
      <c r="W191" s="32"/>
      <c r="X191" s="32"/>
    </row>
    <row r="192">
      <c r="A192" s="77">
        <f>HYPERLINK("https://polkadot.subsquare.io/referenda/190", 190)</f>
        <v>190</v>
      </c>
      <c r="B192" s="40" t="s">
        <v>1033</v>
      </c>
      <c r="C192" s="40" t="s">
        <v>1851</v>
      </c>
      <c r="D192" s="78">
        <v>250.0</v>
      </c>
      <c r="E192" s="79">
        <v>934.5145225524902</v>
      </c>
      <c r="F192" s="40" t="s">
        <v>982</v>
      </c>
      <c r="G192" s="78">
        <v>3.119588903066481E7</v>
      </c>
      <c r="H192" s="78">
        <v>45005.2</v>
      </c>
      <c r="I192" s="80">
        <v>45207.0</v>
      </c>
      <c r="J192" s="80">
        <v>45209.0</v>
      </c>
      <c r="K192" s="79">
        <v>930.2995204925537</v>
      </c>
      <c r="L192" s="81" t="s">
        <v>81</v>
      </c>
      <c r="M192" s="81" t="s">
        <v>93</v>
      </c>
      <c r="N192" s="86"/>
      <c r="O192" s="61"/>
      <c r="P192" s="61"/>
      <c r="Q192" s="61"/>
      <c r="R192" s="61" t="str">
        <f t="shared" si="1"/>
        <v>2023</v>
      </c>
      <c r="S192" s="62">
        <f t="shared" si="2"/>
        <v>10</v>
      </c>
      <c r="T192" s="61" t="str">
        <f t="shared" si="3"/>
        <v>2023-Q4</v>
      </c>
      <c r="U192" s="63" t="str">
        <f t="shared" si="4"/>
        <v>2023-10</v>
      </c>
      <c r="V192" s="64" t="str">
        <f t="shared" si="5"/>
        <v>2023-H2</v>
      </c>
      <c r="W192" s="32"/>
      <c r="X192" s="32"/>
    </row>
    <row r="193">
      <c r="A193" s="77">
        <f>HYPERLINK("https://polkadot.subsquare.io/referenda/191", 191)</f>
        <v>191</v>
      </c>
      <c r="B193" s="40" t="s">
        <v>1034</v>
      </c>
      <c r="C193" s="40" t="s">
        <v>1851</v>
      </c>
      <c r="D193" s="78">
        <v>4774.6</v>
      </c>
      <c r="E193" s="79">
        <v>17847.732157516482</v>
      </c>
      <c r="F193" s="40" t="s">
        <v>1848</v>
      </c>
      <c r="G193" s="78">
        <v>3.326273688073045E7</v>
      </c>
      <c r="H193" s="78">
        <v>1.078752271315139E7</v>
      </c>
      <c r="I193" s="80">
        <v>45208.0</v>
      </c>
      <c r="J193" s="80">
        <v>45226.0</v>
      </c>
      <c r="K193" s="79">
        <v>20590.681063842774</v>
      </c>
      <c r="L193" s="70" t="s">
        <v>49</v>
      </c>
      <c r="M193" s="70" t="s">
        <v>140</v>
      </c>
      <c r="N193" s="61"/>
      <c r="O193" s="86"/>
      <c r="P193" s="86"/>
      <c r="Q193" s="86"/>
      <c r="R193" s="61" t="str">
        <f t="shared" si="1"/>
        <v>2023</v>
      </c>
      <c r="S193" s="62">
        <f t="shared" si="2"/>
        <v>10</v>
      </c>
      <c r="T193" s="61" t="str">
        <f t="shared" si="3"/>
        <v>2023-Q4</v>
      </c>
      <c r="U193" s="63" t="str">
        <f t="shared" si="4"/>
        <v>2023-10</v>
      </c>
      <c r="V193" s="64" t="str">
        <f t="shared" si="5"/>
        <v>2023-H2</v>
      </c>
      <c r="W193" s="32"/>
      <c r="X193" s="32"/>
    </row>
    <row r="194">
      <c r="A194" s="77">
        <f>HYPERLINK("https://polkadot.subsquare.io/referenda/192", 192)</f>
        <v>192</v>
      </c>
      <c r="B194" s="40" t="s">
        <v>1957</v>
      </c>
      <c r="C194" s="40" t="s">
        <v>1846</v>
      </c>
      <c r="D194" s="78">
        <v>425660.0</v>
      </c>
      <c r="E194" s="79">
        <v>1563703.3404779434</v>
      </c>
      <c r="F194" s="40" t="s">
        <v>1855</v>
      </c>
      <c r="G194" s="78">
        <v>65021.755100001</v>
      </c>
      <c r="H194" s="78">
        <v>1.5562634646787075E7</v>
      </c>
      <c r="I194" s="80">
        <v>45208.0</v>
      </c>
      <c r="J194" s="80">
        <v>45237.0</v>
      </c>
      <c r="K194" s="79">
        <v>2165483.5875606537</v>
      </c>
      <c r="L194" s="81" t="s">
        <v>90</v>
      </c>
      <c r="M194" s="81" t="s">
        <v>90</v>
      </c>
      <c r="N194" s="86"/>
      <c r="O194" s="61"/>
      <c r="P194" s="61"/>
      <c r="Q194" s="61"/>
      <c r="R194" s="61" t="str">
        <f t="shared" si="1"/>
        <v>2023</v>
      </c>
      <c r="S194" s="62">
        <f t="shared" si="2"/>
        <v>11</v>
      </c>
      <c r="T194" s="61" t="str">
        <f t="shared" si="3"/>
        <v>2023-Q4</v>
      </c>
      <c r="U194" s="63" t="str">
        <f t="shared" si="4"/>
        <v>2023-11</v>
      </c>
      <c r="V194" s="64" t="str">
        <f t="shared" si="5"/>
        <v>2023-H2</v>
      </c>
      <c r="W194" s="32"/>
      <c r="X194" s="32"/>
    </row>
    <row r="195">
      <c r="A195" s="77">
        <f>HYPERLINK("https://polkadot.subsquare.io/referenda/193", 193)</f>
        <v>193</v>
      </c>
      <c r="B195" s="40" t="s">
        <v>1035</v>
      </c>
      <c r="C195" s="40" t="s">
        <v>1851</v>
      </c>
      <c r="D195" s="78">
        <v>4395.0</v>
      </c>
      <c r="E195" s="79">
        <v>16420.932630300522</v>
      </c>
      <c r="F195" s="40" t="s">
        <v>1848</v>
      </c>
      <c r="G195" s="78">
        <v>3.2315766331863116E7</v>
      </c>
      <c r="H195" s="78">
        <v>1.1182083817293655E7</v>
      </c>
      <c r="I195" s="80">
        <v>45210.0</v>
      </c>
      <c r="J195" s="80">
        <v>45225.0</v>
      </c>
      <c r="K195" s="79">
        <v>18371.574969291687</v>
      </c>
      <c r="L195" s="70" t="s">
        <v>81</v>
      </c>
      <c r="M195" s="70" t="s">
        <v>89</v>
      </c>
      <c r="N195" s="61"/>
      <c r="O195" s="86"/>
      <c r="P195" s="86"/>
      <c r="Q195" s="86"/>
      <c r="R195" s="61" t="str">
        <f t="shared" si="1"/>
        <v>2023</v>
      </c>
      <c r="S195" s="62">
        <f t="shared" si="2"/>
        <v>10</v>
      </c>
      <c r="T195" s="61" t="str">
        <f t="shared" si="3"/>
        <v>2023-Q4</v>
      </c>
      <c r="U195" s="63" t="str">
        <f t="shared" si="4"/>
        <v>2023-10</v>
      </c>
      <c r="V195" s="64" t="str">
        <f t="shared" si="5"/>
        <v>2023-H2</v>
      </c>
      <c r="W195" s="32"/>
      <c r="X195" s="32"/>
    </row>
    <row r="196">
      <c r="A196" s="77">
        <f>HYPERLINK("https://polkadot.subsquare.io/referenda/194", 194)</f>
        <v>194</v>
      </c>
      <c r="B196" s="40" t="s">
        <v>1036</v>
      </c>
      <c r="C196" s="40" t="s">
        <v>1851</v>
      </c>
      <c r="D196" s="78">
        <v>1000.0</v>
      </c>
      <c r="E196" s="79">
        <v>3736.2759113311768</v>
      </c>
      <c r="F196" s="40" t="s">
        <v>1869</v>
      </c>
      <c r="G196" s="78">
        <v>3.0376400769506324E7</v>
      </c>
      <c r="H196" s="78">
        <v>1079535.4249467973</v>
      </c>
      <c r="I196" s="80">
        <v>45211.0</v>
      </c>
      <c r="J196" s="80">
        <v>45217.0</v>
      </c>
      <c r="K196" s="79">
        <v>3721.2750911712646</v>
      </c>
      <c r="L196" s="81" t="s">
        <v>81</v>
      </c>
      <c r="M196" s="81" t="s">
        <v>88</v>
      </c>
      <c r="N196" s="86"/>
      <c r="O196" s="61"/>
      <c r="P196" s="61"/>
      <c r="Q196" s="61"/>
      <c r="R196" s="61" t="str">
        <f t="shared" si="1"/>
        <v>2023</v>
      </c>
      <c r="S196" s="62">
        <f t="shared" si="2"/>
        <v>10</v>
      </c>
      <c r="T196" s="61" t="str">
        <f t="shared" si="3"/>
        <v>2023-Q4</v>
      </c>
      <c r="U196" s="63" t="str">
        <f t="shared" si="4"/>
        <v>2023-10</v>
      </c>
      <c r="V196" s="64" t="str">
        <f t="shared" si="5"/>
        <v>2023-H2</v>
      </c>
      <c r="W196" s="32"/>
      <c r="X196" s="32"/>
    </row>
    <row r="197">
      <c r="A197" s="77">
        <f>HYPERLINK("https://polkadot.subsquare.io/referenda/195", 195)</f>
        <v>195</v>
      </c>
      <c r="B197" s="40" t="s">
        <v>1958</v>
      </c>
      <c r="C197" s="40" t="s">
        <v>1861</v>
      </c>
      <c r="D197" s="78">
        <v>925.0</v>
      </c>
      <c r="E197" s="79">
        <v>3502.2451877593994</v>
      </c>
      <c r="F197" s="40" t="s">
        <v>1857</v>
      </c>
      <c r="G197" s="78">
        <v>22322.9872152575</v>
      </c>
      <c r="H197" s="78">
        <v>1.2612869943638694E7</v>
      </c>
      <c r="I197" s="80">
        <v>45213.0</v>
      </c>
      <c r="J197" s="80">
        <v>45227.0</v>
      </c>
      <c r="K197" s="79">
        <v>4188.214194774628</v>
      </c>
      <c r="L197" s="70" t="s">
        <v>90</v>
      </c>
      <c r="M197" s="70" t="s">
        <v>90</v>
      </c>
      <c r="N197" s="61"/>
      <c r="O197" s="86"/>
      <c r="P197" s="86"/>
      <c r="Q197" s="86"/>
      <c r="R197" s="61" t="str">
        <f t="shared" si="1"/>
        <v>2023</v>
      </c>
      <c r="S197" s="62">
        <f t="shared" si="2"/>
        <v>10</v>
      </c>
      <c r="T197" s="61" t="str">
        <f t="shared" si="3"/>
        <v>2023-Q4</v>
      </c>
      <c r="U197" s="63" t="str">
        <f t="shared" si="4"/>
        <v>2023-10</v>
      </c>
      <c r="V197" s="64" t="str">
        <f t="shared" si="5"/>
        <v>2023-H2</v>
      </c>
      <c r="W197" s="32"/>
      <c r="X197" s="32"/>
    </row>
    <row r="198">
      <c r="A198" s="77">
        <f>HYPERLINK("https://polkadot.subsquare.io/referenda/196", 196)</f>
        <v>196</v>
      </c>
      <c r="B198" s="40" t="s">
        <v>1037</v>
      </c>
      <c r="C198" s="40" t="s">
        <v>1851</v>
      </c>
      <c r="D198" s="78">
        <v>925.0</v>
      </c>
      <c r="E198" s="79">
        <v>3502.2451877593994</v>
      </c>
      <c r="F198" s="40" t="s">
        <v>1869</v>
      </c>
      <c r="G198" s="78">
        <v>3.118663247414238E7</v>
      </c>
      <c r="H198" s="78">
        <v>343162.0886441372</v>
      </c>
      <c r="I198" s="80">
        <v>45213.0</v>
      </c>
      <c r="J198" s="80">
        <v>45217.0</v>
      </c>
      <c r="K198" s="79">
        <v>3442.17945933342</v>
      </c>
      <c r="L198" s="81" t="s">
        <v>81</v>
      </c>
      <c r="M198" s="81" t="s">
        <v>89</v>
      </c>
      <c r="N198" s="86"/>
      <c r="O198" s="61"/>
      <c r="P198" s="61"/>
      <c r="Q198" s="61"/>
      <c r="R198" s="61" t="str">
        <f t="shared" si="1"/>
        <v>2023</v>
      </c>
      <c r="S198" s="62">
        <f t="shared" si="2"/>
        <v>10</v>
      </c>
      <c r="T198" s="61" t="str">
        <f t="shared" si="3"/>
        <v>2023-Q4</v>
      </c>
      <c r="U198" s="63" t="str">
        <f t="shared" si="4"/>
        <v>2023-10</v>
      </c>
      <c r="V198" s="64" t="str">
        <f t="shared" si="5"/>
        <v>2023-H2</v>
      </c>
      <c r="W198" s="32"/>
      <c r="X198" s="32"/>
    </row>
    <row r="199">
      <c r="A199" s="77">
        <f>HYPERLINK("https://polkadot.subsquare.io/referenda/197", 197)</f>
        <v>197</v>
      </c>
      <c r="B199" s="40" t="s">
        <v>1038</v>
      </c>
      <c r="C199" s="40" t="s">
        <v>1851</v>
      </c>
      <c r="D199" s="78">
        <v>200.0</v>
      </c>
      <c r="E199" s="79">
        <v>731.3097953796387</v>
      </c>
      <c r="F199" s="40" t="s">
        <v>982</v>
      </c>
      <c r="G199" s="78">
        <v>7594055.146525093</v>
      </c>
      <c r="H199" s="78">
        <v>109018.2</v>
      </c>
      <c r="I199" s="80">
        <v>45214.0</v>
      </c>
      <c r="J199" s="80">
        <v>45219.0</v>
      </c>
      <c r="K199" s="79">
        <v>792.9431915283203</v>
      </c>
      <c r="L199" s="70" t="s">
        <v>46</v>
      </c>
      <c r="M199" s="70" t="s">
        <v>102</v>
      </c>
      <c r="N199" s="61"/>
      <c r="O199" s="86"/>
      <c r="P199" s="86"/>
      <c r="Q199" s="86"/>
      <c r="R199" s="61" t="str">
        <f t="shared" si="1"/>
        <v>2023</v>
      </c>
      <c r="S199" s="62">
        <f t="shared" si="2"/>
        <v>10</v>
      </c>
      <c r="T199" s="61" t="str">
        <f t="shared" si="3"/>
        <v>2023-Q4</v>
      </c>
      <c r="U199" s="63" t="str">
        <f t="shared" si="4"/>
        <v>2023-10</v>
      </c>
      <c r="V199" s="64" t="str">
        <f t="shared" si="5"/>
        <v>2023-H2</v>
      </c>
      <c r="W199" s="32"/>
      <c r="X199" s="32"/>
    </row>
    <row r="200">
      <c r="A200" s="77">
        <f>HYPERLINK("https://polkadot.subsquare.io/referenda/198", 198)</f>
        <v>198</v>
      </c>
      <c r="B200" s="40" t="s">
        <v>1039</v>
      </c>
      <c r="C200" s="40" t="s">
        <v>1851</v>
      </c>
      <c r="D200" s="78">
        <v>700.0</v>
      </c>
      <c r="E200" s="79">
        <v>2559.5842838287354</v>
      </c>
      <c r="F200" s="40" t="s">
        <v>1869</v>
      </c>
      <c r="G200" s="78">
        <v>7170544.101573456</v>
      </c>
      <c r="H200" s="78">
        <v>506801.5396327592</v>
      </c>
      <c r="I200" s="80">
        <v>45214.0</v>
      </c>
      <c r="J200" s="80">
        <v>45219.0</v>
      </c>
      <c r="K200" s="79">
        <v>3043.7909603118896</v>
      </c>
      <c r="L200" s="81" t="s">
        <v>81</v>
      </c>
      <c r="M200" s="81" t="s">
        <v>89</v>
      </c>
      <c r="N200" s="86"/>
      <c r="O200" s="61"/>
      <c r="P200" s="61"/>
      <c r="Q200" s="61"/>
      <c r="R200" s="61" t="str">
        <f t="shared" si="1"/>
        <v>2023</v>
      </c>
      <c r="S200" s="62">
        <f t="shared" si="2"/>
        <v>10</v>
      </c>
      <c r="T200" s="61" t="str">
        <f t="shared" si="3"/>
        <v>2023-Q4</v>
      </c>
      <c r="U200" s="63" t="str">
        <f t="shared" si="4"/>
        <v>2023-10</v>
      </c>
      <c r="V200" s="64" t="str">
        <f t="shared" si="5"/>
        <v>2023-H2</v>
      </c>
      <c r="W200" s="32"/>
      <c r="X200" s="32"/>
    </row>
    <row r="201">
      <c r="A201" s="77">
        <f>HYPERLINK("https://polkadot.subsquare.io/referenda/199", 199)</f>
        <v>199</v>
      </c>
      <c r="B201" s="40" t="s">
        <v>1959</v>
      </c>
      <c r="C201" s="40" t="s">
        <v>1861</v>
      </c>
      <c r="D201" s="78">
        <v>0.0</v>
      </c>
      <c r="E201" s="79">
        <v>0.0</v>
      </c>
      <c r="F201" s="40" t="s">
        <v>1848</v>
      </c>
      <c r="G201" s="78">
        <v>3.036573339115184E7</v>
      </c>
      <c r="H201" s="78">
        <v>1.3408950321774285E7</v>
      </c>
      <c r="I201" s="80">
        <v>45215.0</v>
      </c>
      <c r="J201" s="80">
        <v>45229.0</v>
      </c>
      <c r="K201" s="79">
        <v>0.0</v>
      </c>
      <c r="L201" s="70" t="s">
        <v>90</v>
      </c>
      <c r="M201" s="70" t="s">
        <v>90</v>
      </c>
      <c r="N201" s="61"/>
      <c r="O201" s="86"/>
      <c r="P201" s="86"/>
      <c r="Q201" s="86"/>
      <c r="R201" s="61" t="str">
        <f t="shared" si="1"/>
        <v>2023</v>
      </c>
      <c r="S201" s="62">
        <f t="shared" si="2"/>
        <v>10</v>
      </c>
      <c r="T201" s="61" t="str">
        <f t="shared" si="3"/>
        <v>2023-Q4</v>
      </c>
      <c r="U201" s="63" t="str">
        <f t="shared" si="4"/>
        <v>2023-10</v>
      </c>
      <c r="V201" s="64" t="str">
        <f t="shared" si="5"/>
        <v>2023-H2</v>
      </c>
      <c r="W201" s="32"/>
      <c r="X201" s="32"/>
    </row>
    <row r="202">
      <c r="A202" s="77">
        <f>HYPERLINK("https://polkadot.subsquare.io/referenda/200", 200)</f>
        <v>200</v>
      </c>
      <c r="B202" s="40" t="s">
        <v>1041</v>
      </c>
      <c r="C202" s="40" t="s">
        <v>1851</v>
      </c>
      <c r="D202" s="78">
        <v>26281.383</v>
      </c>
      <c r="E202" s="79">
        <v>96099.16412011957</v>
      </c>
      <c r="F202" s="40" t="s">
        <v>1853</v>
      </c>
      <c r="G202" s="78">
        <v>3.2575630328886285E7</v>
      </c>
      <c r="H202" s="78">
        <v>2073723.9689864835</v>
      </c>
      <c r="I202" s="80">
        <v>45215.0</v>
      </c>
      <c r="J202" s="80">
        <v>45234.0</v>
      </c>
      <c r="K202" s="79">
        <v>130575.70901672317</v>
      </c>
      <c r="L202" s="82" t="s">
        <v>48</v>
      </c>
      <c r="M202" s="81" t="s">
        <v>1040</v>
      </c>
      <c r="N202" s="86"/>
      <c r="O202" s="61"/>
      <c r="P202" s="61"/>
      <c r="Q202" s="61"/>
      <c r="R202" s="61" t="str">
        <f t="shared" si="1"/>
        <v>2023</v>
      </c>
      <c r="S202" s="62">
        <f t="shared" si="2"/>
        <v>11</v>
      </c>
      <c r="T202" s="61" t="str">
        <f t="shared" si="3"/>
        <v>2023-Q4</v>
      </c>
      <c r="U202" s="63" t="str">
        <f t="shared" si="4"/>
        <v>2023-11</v>
      </c>
      <c r="V202" s="64" t="str">
        <f t="shared" si="5"/>
        <v>2023-H2</v>
      </c>
      <c r="W202" s="32"/>
      <c r="X202" s="32"/>
    </row>
    <row r="203">
      <c r="A203" s="77">
        <f>HYPERLINK("https://polkadot.subsquare.io/referenda/201", 201)</f>
        <v>201</v>
      </c>
      <c r="B203" s="40" t="s">
        <v>1042</v>
      </c>
      <c r="C203" s="40" t="s">
        <v>1851</v>
      </c>
      <c r="D203" s="78">
        <v>168432.0</v>
      </c>
      <c r="E203" s="79">
        <v>615879.8572769165</v>
      </c>
      <c r="F203" s="40" t="s">
        <v>1855</v>
      </c>
      <c r="G203" s="78">
        <v>3.506008154796286E7</v>
      </c>
      <c r="H203" s="78">
        <v>1.1070011057488974E7</v>
      </c>
      <c r="I203" s="80">
        <v>45215.0</v>
      </c>
      <c r="J203" s="80">
        <v>45238.0</v>
      </c>
      <c r="K203" s="79">
        <v>935330.6803665161</v>
      </c>
      <c r="L203" s="70" t="s">
        <v>46</v>
      </c>
      <c r="M203" s="70" t="s">
        <v>102</v>
      </c>
      <c r="N203" s="61"/>
      <c r="O203" s="86"/>
      <c r="P203" s="86"/>
      <c r="Q203" s="86"/>
      <c r="R203" s="61" t="str">
        <f t="shared" si="1"/>
        <v>2023</v>
      </c>
      <c r="S203" s="62">
        <f t="shared" si="2"/>
        <v>11</v>
      </c>
      <c r="T203" s="61" t="str">
        <f t="shared" si="3"/>
        <v>2023-Q4</v>
      </c>
      <c r="U203" s="63" t="str">
        <f t="shared" si="4"/>
        <v>2023-11</v>
      </c>
      <c r="V203" s="64" t="str">
        <f t="shared" si="5"/>
        <v>2023-H2</v>
      </c>
      <c r="W203" s="32"/>
      <c r="X203" s="32"/>
    </row>
    <row r="204">
      <c r="A204" s="77">
        <f>HYPERLINK("https://polkadot.subsquare.io/referenda/202", 202)</f>
        <v>202</v>
      </c>
      <c r="B204" s="40" t="s">
        <v>1043</v>
      </c>
      <c r="C204" s="40" t="s">
        <v>1851</v>
      </c>
      <c r="D204" s="78">
        <v>28010.0</v>
      </c>
      <c r="E204" s="79">
        <v>102419.9368429184</v>
      </c>
      <c r="F204" s="40" t="s">
        <v>1853</v>
      </c>
      <c r="G204" s="78">
        <v>4.0944721186264046E7</v>
      </c>
      <c r="H204" s="78">
        <v>4103318.8213073215</v>
      </c>
      <c r="I204" s="80">
        <v>45215.0</v>
      </c>
      <c r="J204" s="80">
        <v>45234.0</v>
      </c>
      <c r="K204" s="79">
        <v>138130.9799194336</v>
      </c>
      <c r="L204" s="81" t="s">
        <v>81</v>
      </c>
      <c r="M204" s="81" t="s">
        <v>93</v>
      </c>
      <c r="N204" s="86"/>
      <c r="O204" s="61"/>
      <c r="P204" s="61"/>
      <c r="Q204" s="61"/>
      <c r="R204" s="61" t="str">
        <f t="shared" si="1"/>
        <v>2023</v>
      </c>
      <c r="S204" s="62">
        <f t="shared" si="2"/>
        <v>11</v>
      </c>
      <c r="T204" s="61" t="str">
        <f t="shared" si="3"/>
        <v>2023-Q4</v>
      </c>
      <c r="U204" s="63" t="str">
        <f t="shared" si="4"/>
        <v>2023-11</v>
      </c>
      <c r="V204" s="64" t="str">
        <f t="shared" si="5"/>
        <v>2023-H2</v>
      </c>
      <c r="W204" s="32"/>
      <c r="X204" s="32"/>
    </row>
    <row r="205">
      <c r="A205" s="77">
        <f>HYPERLINK("https://polkadot.subsquare.io/referenda/203", 203)</f>
        <v>203</v>
      </c>
      <c r="B205" s="40" t="s">
        <v>1960</v>
      </c>
      <c r="C205" s="40" t="s">
        <v>1961</v>
      </c>
      <c r="D205" s="78">
        <v>10000.0</v>
      </c>
      <c r="E205" s="79">
        <v>36488.7809753418</v>
      </c>
      <c r="F205" s="40" t="s">
        <v>1848</v>
      </c>
      <c r="G205" s="78">
        <v>30782.7824</v>
      </c>
      <c r="H205" s="78">
        <v>1.6109800952344524E7</v>
      </c>
      <c r="I205" s="80">
        <v>45216.0</v>
      </c>
      <c r="J205" s="80">
        <v>45235.0</v>
      </c>
      <c r="K205" s="79">
        <v>50535.850524902344</v>
      </c>
      <c r="L205" s="70" t="s">
        <v>90</v>
      </c>
      <c r="M205" s="70" t="s">
        <v>90</v>
      </c>
      <c r="N205" s="61"/>
      <c r="O205" s="86"/>
      <c r="P205" s="86"/>
      <c r="Q205" s="86"/>
      <c r="R205" s="61" t="str">
        <f t="shared" si="1"/>
        <v>2023</v>
      </c>
      <c r="S205" s="62">
        <f t="shared" si="2"/>
        <v>11</v>
      </c>
      <c r="T205" s="61" t="str">
        <f t="shared" si="3"/>
        <v>2023-Q4</v>
      </c>
      <c r="U205" s="63" t="str">
        <f t="shared" si="4"/>
        <v>2023-11</v>
      </c>
      <c r="V205" s="64" t="str">
        <f t="shared" si="5"/>
        <v>2023-H2</v>
      </c>
      <c r="W205" s="32"/>
      <c r="X205" s="32"/>
    </row>
    <row r="206">
      <c r="A206" s="77">
        <f>HYPERLINK("https://polkadot.subsquare.io/referenda/204", 204)</f>
        <v>204</v>
      </c>
      <c r="B206" s="40" t="s">
        <v>1962</v>
      </c>
      <c r="C206" s="40" t="s">
        <v>1851</v>
      </c>
      <c r="D206" s="78">
        <v>0.0</v>
      </c>
      <c r="E206" s="79">
        <v>0.0</v>
      </c>
      <c r="F206" s="40" t="s">
        <v>1963</v>
      </c>
      <c r="G206" s="78">
        <v>1.3526278503535137E7</v>
      </c>
      <c r="H206" s="78">
        <v>1612050.1</v>
      </c>
      <c r="I206" s="80">
        <v>45216.0</v>
      </c>
      <c r="J206" s="80">
        <v>45235.0</v>
      </c>
      <c r="K206" s="79">
        <v>0.0</v>
      </c>
      <c r="L206" s="81" t="s">
        <v>90</v>
      </c>
      <c r="M206" s="81" t="s">
        <v>90</v>
      </c>
      <c r="N206" s="86"/>
      <c r="O206" s="61"/>
      <c r="P206" s="61"/>
      <c r="Q206" s="61"/>
      <c r="R206" s="61" t="str">
        <f t="shared" si="1"/>
        <v>2023</v>
      </c>
      <c r="S206" s="62">
        <f t="shared" si="2"/>
        <v>11</v>
      </c>
      <c r="T206" s="61" t="str">
        <f t="shared" si="3"/>
        <v>2023-Q4</v>
      </c>
      <c r="U206" s="63" t="str">
        <f t="shared" si="4"/>
        <v>2023-11</v>
      </c>
      <c r="V206" s="64" t="str">
        <f t="shared" si="5"/>
        <v>2023-H2</v>
      </c>
      <c r="W206" s="32"/>
      <c r="X206" s="32"/>
    </row>
    <row r="207">
      <c r="A207" s="77">
        <f>HYPERLINK("https://polkadot.subsquare.io/referenda/205", 205)</f>
        <v>205</v>
      </c>
      <c r="B207" s="40" t="s">
        <v>1964</v>
      </c>
      <c r="C207" s="40" t="s">
        <v>1846</v>
      </c>
      <c r="D207" s="78">
        <v>592573.0</v>
      </c>
      <c r="E207" s="79">
        <v>2205127.14460063</v>
      </c>
      <c r="F207" s="40" t="s">
        <v>1855</v>
      </c>
      <c r="G207" s="78">
        <v>268301.7400043632</v>
      </c>
      <c r="H207" s="78">
        <v>4.505387733536229E7</v>
      </c>
      <c r="I207" s="80">
        <v>45216.0</v>
      </c>
      <c r="J207" s="80">
        <v>45244.0</v>
      </c>
      <c r="K207" s="79">
        <v>3106388.0979447365</v>
      </c>
      <c r="L207" s="70" t="s">
        <v>90</v>
      </c>
      <c r="M207" s="70" t="s">
        <v>90</v>
      </c>
      <c r="N207" s="61"/>
      <c r="O207" s="86"/>
      <c r="P207" s="86"/>
      <c r="Q207" s="86"/>
      <c r="R207" s="61" t="str">
        <f t="shared" si="1"/>
        <v>2023</v>
      </c>
      <c r="S207" s="62">
        <f t="shared" si="2"/>
        <v>11</v>
      </c>
      <c r="T207" s="61" t="str">
        <f t="shared" si="3"/>
        <v>2023-Q4</v>
      </c>
      <c r="U207" s="63" t="str">
        <f t="shared" si="4"/>
        <v>2023-11</v>
      </c>
      <c r="V207" s="64" t="str">
        <f t="shared" si="5"/>
        <v>2023-H2</v>
      </c>
      <c r="W207" s="32"/>
      <c r="X207" s="32"/>
    </row>
    <row r="208">
      <c r="A208" s="77">
        <f>HYPERLINK("https://polkadot.subsquare.io/referenda/206", 206)</f>
        <v>206</v>
      </c>
      <c r="B208" s="40" t="s">
        <v>1965</v>
      </c>
      <c r="C208" s="40" t="s">
        <v>1861</v>
      </c>
      <c r="D208" s="78">
        <v>2.4474149E7</v>
      </c>
      <c r="E208" s="79">
        <v>9.107504105131412E7</v>
      </c>
      <c r="F208" s="40" t="s">
        <v>1853</v>
      </c>
      <c r="G208" s="78">
        <v>0.0</v>
      </c>
      <c r="H208" s="78">
        <v>3273022.3646644778</v>
      </c>
      <c r="I208" s="80">
        <v>45217.0</v>
      </c>
      <c r="J208" s="80">
        <v>45231.0</v>
      </c>
      <c r="K208" s="79">
        <v>1.1480887444565535E8</v>
      </c>
      <c r="L208" s="81" t="s">
        <v>90</v>
      </c>
      <c r="M208" s="81" t="s">
        <v>90</v>
      </c>
      <c r="N208" s="86"/>
      <c r="O208" s="61"/>
      <c r="P208" s="61"/>
      <c r="Q208" s="61"/>
      <c r="R208" s="61" t="str">
        <f t="shared" si="1"/>
        <v>2023</v>
      </c>
      <c r="S208" s="62">
        <f t="shared" si="2"/>
        <v>11</v>
      </c>
      <c r="T208" s="61" t="str">
        <f t="shared" si="3"/>
        <v>2023-Q4</v>
      </c>
      <c r="U208" s="63" t="str">
        <f t="shared" si="4"/>
        <v>2023-11</v>
      </c>
      <c r="V208" s="64" t="str">
        <f t="shared" si="5"/>
        <v>2023-H2</v>
      </c>
      <c r="W208" s="32"/>
      <c r="X208" s="32"/>
    </row>
    <row r="209">
      <c r="A209" s="77">
        <f>HYPERLINK("https://polkadot.subsquare.io/referenda/207", 207)</f>
        <v>207</v>
      </c>
      <c r="B209" s="40" t="s">
        <v>1044</v>
      </c>
      <c r="C209" s="40" t="s">
        <v>1851</v>
      </c>
      <c r="D209" s="78">
        <v>24474.0</v>
      </c>
      <c r="E209" s="79">
        <v>95556.41083431244</v>
      </c>
      <c r="F209" s="40" t="s">
        <v>1853</v>
      </c>
      <c r="G209" s="78">
        <v>4.253635629766143E7</v>
      </c>
      <c r="H209" s="78">
        <v>1063767.3631033082</v>
      </c>
      <c r="I209" s="80">
        <v>45217.0</v>
      </c>
      <c r="J209" s="80">
        <v>45238.0</v>
      </c>
      <c r="K209" s="79">
        <v>135908.1592054367</v>
      </c>
      <c r="L209" s="70" t="s">
        <v>46</v>
      </c>
      <c r="M209" s="70" t="s">
        <v>102</v>
      </c>
      <c r="N209" s="61"/>
      <c r="O209" s="86"/>
      <c r="P209" s="86"/>
      <c r="Q209" s="86"/>
      <c r="R209" s="61" t="str">
        <f t="shared" si="1"/>
        <v>2023</v>
      </c>
      <c r="S209" s="62">
        <f t="shared" si="2"/>
        <v>11</v>
      </c>
      <c r="T209" s="61" t="str">
        <f t="shared" si="3"/>
        <v>2023-Q4</v>
      </c>
      <c r="U209" s="63" t="str">
        <f t="shared" si="4"/>
        <v>2023-11</v>
      </c>
      <c r="V209" s="64" t="str">
        <f t="shared" si="5"/>
        <v>2023-H2</v>
      </c>
      <c r="W209" s="32"/>
      <c r="X209" s="32"/>
    </row>
    <row r="210">
      <c r="A210" s="77">
        <f>HYPERLINK("https://polkadot.subsquare.io/referenda/208", 208)</f>
        <v>208</v>
      </c>
      <c r="B210" s="40" t="s">
        <v>1966</v>
      </c>
      <c r="C210" s="40" t="s">
        <v>1861</v>
      </c>
      <c r="D210" s="78">
        <v>42650.0</v>
      </c>
      <c r="E210" s="79">
        <v>169095.1355934143</v>
      </c>
      <c r="F210" s="40" t="s">
        <v>1857</v>
      </c>
      <c r="G210" s="78">
        <v>0.0</v>
      </c>
      <c r="H210" s="78">
        <v>1.3752258073958397E7</v>
      </c>
      <c r="I210" s="80">
        <v>45218.0</v>
      </c>
      <c r="J210" s="80">
        <v>45232.0</v>
      </c>
      <c r="K210" s="79">
        <v>203577.8356552124</v>
      </c>
      <c r="L210" s="81" t="s">
        <v>90</v>
      </c>
      <c r="M210" s="81" t="s">
        <v>90</v>
      </c>
      <c r="N210" s="86"/>
      <c r="O210" s="61"/>
      <c r="P210" s="61"/>
      <c r="Q210" s="61"/>
      <c r="R210" s="61" t="str">
        <f t="shared" si="1"/>
        <v>2023</v>
      </c>
      <c r="S210" s="62">
        <f t="shared" si="2"/>
        <v>11</v>
      </c>
      <c r="T210" s="61" t="str">
        <f t="shared" si="3"/>
        <v>2023-Q4</v>
      </c>
      <c r="U210" s="63" t="str">
        <f t="shared" si="4"/>
        <v>2023-11</v>
      </c>
      <c r="V210" s="64" t="str">
        <f t="shared" si="5"/>
        <v>2023-H2</v>
      </c>
      <c r="W210" s="32"/>
      <c r="X210" s="32"/>
    </row>
    <row r="211">
      <c r="A211" s="77">
        <f>HYPERLINK("https://polkadot.subsquare.io/referenda/209", 209)</f>
        <v>209</v>
      </c>
      <c r="B211" s="40" t="s">
        <v>1045</v>
      </c>
      <c r="C211" s="40" t="s">
        <v>1851</v>
      </c>
      <c r="D211" s="78">
        <v>42650.0</v>
      </c>
      <c r="E211" s="79">
        <v>169095.1355934143</v>
      </c>
      <c r="F211" s="40" t="s">
        <v>1853</v>
      </c>
      <c r="G211" s="78">
        <v>3.2596761284318846E7</v>
      </c>
      <c r="H211" s="78">
        <v>1.4755228009936797E7</v>
      </c>
      <c r="I211" s="80">
        <v>45218.0</v>
      </c>
      <c r="J211" s="80">
        <v>45237.0</v>
      </c>
      <c r="K211" s="79">
        <v>226079.1541337967</v>
      </c>
      <c r="L211" s="70" t="s">
        <v>50</v>
      </c>
      <c r="M211" s="70" t="s">
        <v>50</v>
      </c>
      <c r="N211" s="61"/>
      <c r="O211" s="86"/>
      <c r="P211" s="86"/>
      <c r="Q211" s="86"/>
      <c r="R211" s="61" t="str">
        <f t="shared" si="1"/>
        <v>2023</v>
      </c>
      <c r="S211" s="62">
        <f t="shared" si="2"/>
        <v>11</v>
      </c>
      <c r="T211" s="61" t="str">
        <f t="shared" si="3"/>
        <v>2023-Q4</v>
      </c>
      <c r="U211" s="63" t="str">
        <f t="shared" si="4"/>
        <v>2023-11</v>
      </c>
      <c r="V211" s="64" t="str">
        <f t="shared" si="5"/>
        <v>2023-H2</v>
      </c>
      <c r="W211" s="32"/>
      <c r="X211" s="32"/>
    </row>
    <row r="212">
      <c r="A212" s="77">
        <f>HYPERLINK("https://polkadot.subsquare.io/referenda/210", 210)</f>
        <v>210</v>
      </c>
      <c r="B212" s="40" t="s">
        <v>982</v>
      </c>
      <c r="C212" s="40" t="s">
        <v>1851</v>
      </c>
      <c r="D212" s="78">
        <v>150.0</v>
      </c>
      <c r="E212" s="79">
        <v>594.7073936462402</v>
      </c>
      <c r="F212" s="40" t="s">
        <v>982</v>
      </c>
      <c r="G212" s="78">
        <v>8747316.168064626</v>
      </c>
      <c r="H212" s="78">
        <v>0.0</v>
      </c>
      <c r="I212" s="80">
        <v>45219.0</v>
      </c>
      <c r="J212" s="80">
        <v>45222.0</v>
      </c>
      <c r="K212" s="79">
        <v>635.4608774185181</v>
      </c>
      <c r="L212" s="81" t="s">
        <v>46</v>
      </c>
      <c r="M212" s="81" t="s">
        <v>102</v>
      </c>
      <c r="N212" s="86"/>
      <c r="O212" s="61"/>
      <c r="P212" s="61"/>
      <c r="Q212" s="61"/>
      <c r="R212" s="61" t="str">
        <f t="shared" si="1"/>
        <v>2023</v>
      </c>
      <c r="S212" s="62">
        <f t="shared" si="2"/>
        <v>10</v>
      </c>
      <c r="T212" s="61" t="str">
        <f t="shared" si="3"/>
        <v>2023-Q4</v>
      </c>
      <c r="U212" s="63" t="str">
        <f t="shared" si="4"/>
        <v>2023-10</v>
      </c>
      <c r="V212" s="64" t="str">
        <f t="shared" si="5"/>
        <v>2023-H2</v>
      </c>
      <c r="W212" s="32"/>
      <c r="X212" s="32"/>
    </row>
    <row r="213">
      <c r="A213" s="77">
        <f>HYPERLINK("https://polkadot.subsquare.io/referenda/211", 211)</f>
        <v>211</v>
      </c>
      <c r="B213" s="40" t="s">
        <v>1967</v>
      </c>
      <c r="C213" s="40" t="s">
        <v>1968</v>
      </c>
      <c r="D213" s="78">
        <v>0.0</v>
      </c>
      <c r="E213" s="79">
        <v>0.0</v>
      </c>
      <c r="F213" s="40" t="s">
        <v>1852</v>
      </c>
      <c r="G213" s="78">
        <v>3.491141157795172E7</v>
      </c>
      <c r="H213" s="78">
        <v>1.1114664132716475E7</v>
      </c>
      <c r="I213" s="80">
        <v>45220.0</v>
      </c>
      <c r="J213" s="80">
        <v>45236.0</v>
      </c>
      <c r="K213" s="79">
        <v>0.0</v>
      </c>
      <c r="L213" s="70" t="s">
        <v>90</v>
      </c>
      <c r="M213" s="70" t="s">
        <v>90</v>
      </c>
      <c r="N213" s="61"/>
      <c r="O213" s="86"/>
      <c r="P213" s="86"/>
      <c r="Q213" s="86"/>
      <c r="R213" s="61" t="str">
        <f t="shared" si="1"/>
        <v>2023</v>
      </c>
      <c r="S213" s="62">
        <f t="shared" si="2"/>
        <v>11</v>
      </c>
      <c r="T213" s="61" t="str">
        <f t="shared" si="3"/>
        <v>2023-Q4</v>
      </c>
      <c r="U213" s="63" t="str">
        <f t="shared" si="4"/>
        <v>2023-11</v>
      </c>
      <c r="V213" s="64" t="str">
        <f t="shared" si="5"/>
        <v>2023-H2</v>
      </c>
      <c r="W213" s="32"/>
      <c r="X213" s="32"/>
    </row>
    <row r="214">
      <c r="A214" s="77">
        <f>HYPERLINK("https://polkadot.subsquare.io/referenda/212", 212)</f>
        <v>212</v>
      </c>
      <c r="B214" s="40" t="s">
        <v>1969</v>
      </c>
      <c r="C214" s="40" t="s">
        <v>1861</v>
      </c>
      <c r="D214" s="78">
        <v>0.0</v>
      </c>
      <c r="E214" s="79">
        <v>0.0</v>
      </c>
      <c r="F214" s="40" t="s">
        <v>1970</v>
      </c>
      <c r="G214" s="78">
        <v>54351.1965872279</v>
      </c>
      <c r="H214" s="78">
        <v>3985580.2302667242</v>
      </c>
      <c r="I214" s="80">
        <v>45221.0</v>
      </c>
      <c r="J214" s="80">
        <v>45235.0</v>
      </c>
      <c r="K214" s="79">
        <v>0.0</v>
      </c>
      <c r="L214" s="81" t="s">
        <v>90</v>
      </c>
      <c r="M214" s="81" t="s">
        <v>90</v>
      </c>
      <c r="N214" s="86"/>
      <c r="O214" s="61"/>
      <c r="P214" s="61"/>
      <c r="Q214" s="61"/>
      <c r="R214" s="61" t="str">
        <f t="shared" si="1"/>
        <v>2023</v>
      </c>
      <c r="S214" s="62">
        <f t="shared" si="2"/>
        <v>11</v>
      </c>
      <c r="T214" s="61" t="str">
        <f t="shared" si="3"/>
        <v>2023-Q4</v>
      </c>
      <c r="U214" s="63" t="str">
        <f t="shared" si="4"/>
        <v>2023-11</v>
      </c>
      <c r="V214" s="64" t="str">
        <f t="shared" si="5"/>
        <v>2023-H2</v>
      </c>
      <c r="W214" s="32"/>
      <c r="X214" s="32"/>
    </row>
    <row r="215">
      <c r="A215" s="77">
        <f>HYPERLINK("https://polkadot.subsquare.io/referenda/213", 213)</f>
        <v>213</v>
      </c>
      <c r="B215" s="40" t="s">
        <v>1971</v>
      </c>
      <c r="C215" s="40" t="s">
        <v>1846</v>
      </c>
      <c r="D215" s="78">
        <v>22687.0</v>
      </c>
      <c r="E215" s="79">
        <v>97215.02479076385</v>
      </c>
      <c r="F215" s="40" t="s">
        <v>1853</v>
      </c>
      <c r="G215" s="78">
        <v>3.2009625444757596E7</v>
      </c>
      <c r="H215" s="78">
        <v>5.828919923032874E7</v>
      </c>
      <c r="I215" s="80">
        <v>45221.0</v>
      </c>
      <c r="J215" s="80">
        <v>45250.0</v>
      </c>
      <c r="K215" s="79">
        <v>117356.78630256653</v>
      </c>
      <c r="L215" s="70" t="s">
        <v>90</v>
      </c>
      <c r="M215" s="70" t="s">
        <v>90</v>
      </c>
      <c r="N215" s="61"/>
      <c r="O215" s="86"/>
      <c r="P215" s="86"/>
      <c r="Q215" s="86"/>
      <c r="R215" s="61" t="str">
        <f t="shared" si="1"/>
        <v>2023</v>
      </c>
      <c r="S215" s="62">
        <f t="shared" si="2"/>
        <v>11</v>
      </c>
      <c r="T215" s="61" t="str">
        <f t="shared" si="3"/>
        <v>2023-Q4</v>
      </c>
      <c r="U215" s="63" t="str">
        <f t="shared" si="4"/>
        <v>2023-11</v>
      </c>
      <c r="V215" s="64" t="str">
        <f t="shared" si="5"/>
        <v>2023-H2</v>
      </c>
      <c r="W215" s="32"/>
      <c r="X215" s="32"/>
    </row>
    <row r="216">
      <c r="A216" s="77">
        <f>HYPERLINK("https://polkadot.subsquare.io/referenda/214", 214)</f>
        <v>214</v>
      </c>
      <c r="B216" s="40" t="s">
        <v>1046</v>
      </c>
      <c r="C216" s="40" t="s">
        <v>1851</v>
      </c>
      <c r="D216" s="78">
        <v>1800.0</v>
      </c>
      <c r="E216" s="79">
        <v>7713.09757232666</v>
      </c>
      <c r="F216" s="40" t="s">
        <v>1848</v>
      </c>
      <c r="G216" s="78">
        <v>3.342557354838428E7</v>
      </c>
      <c r="H216" s="78">
        <v>1.1486700826510543E7</v>
      </c>
      <c r="I216" s="80">
        <v>45222.0</v>
      </c>
      <c r="J216" s="80">
        <v>45236.0</v>
      </c>
      <c r="K216" s="79">
        <v>9157.239246368408</v>
      </c>
      <c r="L216" s="81" t="s">
        <v>81</v>
      </c>
      <c r="M216" s="81" t="s">
        <v>87</v>
      </c>
      <c r="N216" s="86"/>
      <c r="O216" s="61"/>
      <c r="P216" s="61"/>
      <c r="Q216" s="61"/>
      <c r="R216" s="61" t="str">
        <f t="shared" si="1"/>
        <v>2023</v>
      </c>
      <c r="S216" s="62">
        <f t="shared" si="2"/>
        <v>11</v>
      </c>
      <c r="T216" s="61" t="str">
        <f t="shared" si="3"/>
        <v>2023-Q4</v>
      </c>
      <c r="U216" s="63" t="str">
        <f t="shared" si="4"/>
        <v>2023-11</v>
      </c>
      <c r="V216" s="64" t="str">
        <f t="shared" si="5"/>
        <v>2023-H2</v>
      </c>
      <c r="W216" s="32"/>
      <c r="X216" s="32"/>
    </row>
    <row r="217">
      <c r="A217" s="77">
        <f>HYPERLINK("https://polkadot.subsquare.io/referenda/215", 215)</f>
        <v>215</v>
      </c>
      <c r="B217" s="40" t="s">
        <v>1047</v>
      </c>
      <c r="C217" s="40" t="s">
        <v>1851</v>
      </c>
      <c r="D217" s="78">
        <v>18982.6915423</v>
      </c>
      <c r="E217" s="79">
        <v>81341.8622506333</v>
      </c>
      <c r="F217" s="40" t="s">
        <v>1853</v>
      </c>
      <c r="G217" s="78">
        <v>4.6815598214285605E7</v>
      </c>
      <c r="H217" s="78">
        <v>1226423.4874816907</v>
      </c>
      <c r="I217" s="80">
        <v>45222.0</v>
      </c>
      <c r="J217" s="80">
        <v>45238.0</v>
      </c>
      <c r="K217" s="79">
        <v>105414.0174993301</v>
      </c>
      <c r="L217" s="70" t="s">
        <v>46</v>
      </c>
      <c r="M217" s="70" t="s">
        <v>102</v>
      </c>
      <c r="N217" s="61"/>
      <c r="O217" s="86"/>
      <c r="P217" s="86"/>
      <c r="Q217" s="86"/>
      <c r="R217" s="61" t="str">
        <f t="shared" si="1"/>
        <v>2023</v>
      </c>
      <c r="S217" s="62">
        <f t="shared" si="2"/>
        <v>11</v>
      </c>
      <c r="T217" s="61" t="str">
        <f t="shared" si="3"/>
        <v>2023-Q4</v>
      </c>
      <c r="U217" s="63" t="str">
        <f t="shared" si="4"/>
        <v>2023-11</v>
      </c>
      <c r="V217" s="64" t="str">
        <f t="shared" si="5"/>
        <v>2023-H2</v>
      </c>
      <c r="W217" s="32"/>
      <c r="X217" s="32"/>
    </row>
    <row r="218">
      <c r="A218" s="77">
        <f>HYPERLINK("https://polkadot.subsquare.io/referenda/216", 216)</f>
        <v>216</v>
      </c>
      <c r="B218" s="40" t="s">
        <v>1048</v>
      </c>
      <c r="C218" s="40" t="s">
        <v>1851</v>
      </c>
      <c r="D218" s="78">
        <v>54753.61</v>
      </c>
      <c r="E218" s="79">
        <v>234622.18687062262</v>
      </c>
      <c r="F218" s="40" t="s">
        <v>1853</v>
      </c>
      <c r="G218" s="78">
        <v>3.0641890579793774E7</v>
      </c>
      <c r="H218" s="78">
        <v>3964552.313170689</v>
      </c>
      <c r="I218" s="80">
        <v>45222.0</v>
      </c>
      <c r="J218" s="80">
        <v>45242.0</v>
      </c>
      <c r="K218" s="79">
        <v>284868.0763871622</v>
      </c>
      <c r="L218" s="82" t="s">
        <v>48</v>
      </c>
      <c r="M218" s="81" t="s">
        <v>131</v>
      </c>
      <c r="N218" s="86"/>
      <c r="O218" s="61"/>
      <c r="P218" s="61"/>
      <c r="Q218" s="61"/>
      <c r="R218" s="61" t="str">
        <f t="shared" si="1"/>
        <v>2023</v>
      </c>
      <c r="S218" s="62">
        <f t="shared" si="2"/>
        <v>11</v>
      </c>
      <c r="T218" s="61" t="str">
        <f t="shared" si="3"/>
        <v>2023-Q4</v>
      </c>
      <c r="U218" s="63" t="str">
        <f t="shared" si="4"/>
        <v>2023-11</v>
      </c>
      <c r="V218" s="64" t="str">
        <f t="shared" si="5"/>
        <v>2023-H2</v>
      </c>
      <c r="W218" s="32"/>
      <c r="X218" s="32"/>
    </row>
    <row r="219">
      <c r="A219" s="77">
        <f>HYPERLINK("https://polkadot.subsquare.io/referenda/217", 217)</f>
        <v>217</v>
      </c>
      <c r="B219" s="40" t="s">
        <v>1049</v>
      </c>
      <c r="C219" s="40" t="s">
        <v>1851</v>
      </c>
      <c r="D219" s="78">
        <v>420.69</v>
      </c>
      <c r="E219" s="79">
        <v>1782.2135768079759</v>
      </c>
      <c r="F219" s="40" t="s">
        <v>1869</v>
      </c>
      <c r="G219" s="78">
        <v>4.070204191998445E7</v>
      </c>
      <c r="H219" s="78">
        <v>1640840.3</v>
      </c>
      <c r="I219" s="80">
        <v>45222.0</v>
      </c>
      <c r="J219" s="80">
        <v>45224.0</v>
      </c>
      <c r="K219" s="79">
        <v>1758.5296641254424</v>
      </c>
      <c r="L219" s="70" t="s">
        <v>81</v>
      </c>
      <c r="M219" s="70" t="s">
        <v>93</v>
      </c>
      <c r="N219" s="61"/>
      <c r="O219" s="86"/>
      <c r="P219" s="86"/>
      <c r="Q219" s="86"/>
      <c r="R219" s="61" t="str">
        <f t="shared" si="1"/>
        <v>2023</v>
      </c>
      <c r="S219" s="62">
        <f t="shared" si="2"/>
        <v>10</v>
      </c>
      <c r="T219" s="61" t="str">
        <f t="shared" si="3"/>
        <v>2023-Q4</v>
      </c>
      <c r="U219" s="63" t="str">
        <f t="shared" si="4"/>
        <v>2023-10</v>
      </c>
      <c r="V219" s="64" t="str">
        <f t="shared" si="5"/>
        <v>2023-H2</v>
      </c>
      <c r="W219" s="32"/>
      <c r="X219" s="32"/>
    </row>
    <row r="220">
      <c r="A220" s="77">
        <f>HYPERLINK("https://polkadot.subsquare.io/referenda/218", 218)</f>
        <v>218</v>
      </c>
      <c r="B220" s="40" t="s">
        <v>1050</v>
      </c>
      <c r="C220" s="40" t="s">
        <v>1851</v>
      </c>
      <c r="D220" s="78">
        <v>1959.93</v>
      </c>
      <c r="E220" s="79">
        <v>8303.05891652584</v>
      </c>
      <c r="F220" s="40" t="s">
        <v>1848</v>
      </c>
      <c r="G220" s="78">
        <v>3.0276875258131795E7</v>
      </c>
      <c r="H220" s="78">
        <v>1.8106506949889667E7</v>
      </c>
      <c r="I220" s="80">
        <v>45222.0</v>
      </c>
      <c r="J220" s="80">
        <v>45237.0</v>
      </c>
      <c r="K220" s="79">
        <v>10389.19851257801</v>
      </c>
      <c r="L220" s="81" t="s">
        <v>81</v>
      </c>
      <c r="M220" s="81" t="s">
        <v>89</v>
      </c>
      <c r="N220" s="86"/>
      <c r="O220" s="61"/>
      <c r="P220" s="61"/>
      <c r="Q220" s="61"/>
      <c r="R220" s="61" t="str">
        <f t="shared" si="1"/>
        <v>2023</v>
      </c>
      <c r="S220" s="62">
        <f t="shared" si="2"/>
        <v>11</v>
      </c>
      <c r="T220" s="61" t="str">
        <f t="shared" si="3"/>
        <v>2023-Q4</v>
      </c>
      <c r="U220" s="63" t="str">
        <f t="shared" si="4"/>
        <v>2023-11</v>
      </c>
      <c r="V220" s="64" t="str">
        <f t="shared" si="5"/>
        <v>2023-H2</v>
      </c>
      <c r="W220" s="32"/>
      <c r="X220" s="32"/>
    </row>
    <row r="221">
      <c r="A221" s="77">
        <f>HYPERLINK("https://polkadot.subsquare.io/referenda/219", 219)</f>
        <v>219</v>
      </c>
      <c r="B221" s="40" t="s">
        <v>1051</v>
      </c>
      <c r="C221" s="40" t="s">
        <v>1851</v>
      </c>
      <c r="D221" s="78">
        <v>14165.0</v>
      </c>
      <c r="E221" s="79">
        <v>60008.68885755539</v>
      </c>
      <c r="F221" s="40" t="s">
        <v>1853</v>
      </c>
      <c r="G221" s="78">
        <v>4.4349149885587655E7</v>
      </c>
      <c r="H221" s="78">
        <v>2738190.4208938363</v>
      </c>
      <c r="I221" s="80">
        <v>45222.0</v>
      </c>
      <c r="J221" s="80">
        <v>45240.0</v>
      </c>
      <c r="K221" s="79">
        <v>80852.26232767105</v>
      </c>
      <c r="L221" s="70" t="s">
        <v>81</v>
      </c>
      <c r="M221" s="70" t="s">
        <v>89</v>
      </c>
      <c r="N221" s="61"/>
      <c r="O221" s="86"/>
      <c r="P221" s="86"/>
      <c r="Q221" s="86"/>
      <c r="R221" s="61" t="str">
        <f t="shared" si="1"/>
        <v>2023</v>
      </c>
      <c r="S221" s="62">
        <f t="shared" si="2"/>
        <v>11</v>
      </c>
      <c r="T221" s="61" t="str">
        <f t="shared" si="3"/>
        <v>2023-Q4</v>
      </c>
      <c r="U221" s="63" t="str">
        <f t="shared" si="4"/>
        <v>2023-11</v>
      </c>
      <c r="V221" s="64" t="str">
        <f t="shared" si="5"/>
        <v>2023-H2</v>
      </c>
      <c r="W221" s="32"/>
      <c r="X221" s="32"/>
    </row>
    <row r="222">
      <c r="A222" s="77">
        <f>HYPERLINK("https://polkadot.subsquare.io/referenda/220", 220)</f>
        <v>220</v>
      </c>
      <c r="B222" s="40" t="s">
        <v>1972</v>
      </c>
      <c r="C222" s="40" t="s">
        <v>1846</v>
      </c>
      <c r="D222" s="78">
        <v>1111.0</v>
      </c>
      <c r="E222" s="79">
        <v>4706.6468987464905</v>
      </c>
      <c r="F222" s="40" t="s">
        <v>1848</v>
      </c>
      <c r="G222" s="78">
        <v>158902.6395762959</v>
      </c>
      <c r="H222" s="78">
        <v>1.5202322409474665E7</v>
      </c>
      <c r="I222" s="80">
        <v>45223.0</v>
      </c>
      <c r="J222" s="80">
        <v>45251.0</v>
      </c>
      <c r="K222" s="79">
        <v>5703.471712589264</v>
      </c>
      <c r="L222" s="81" t="s">
        <v>90</v>
      </c>
      <c r="M222" s="81" t="s">
        <v>90</v>
      </c>
      <c r="N222" s="86"/>
      <c r="O222" s="61"/>
      <c r="P222" s="61"/>
      <c r="Q222" s="61"/>
      <c r="R222" s="61" t="str">
        <f t="shared" si="1"/>
        <v>2023</v>
      </c>
      <c r="S222" s="62">
        <f t="shared" si="2"/>
        <v>11</v>
      </c>
      <c r="T222" s="61" t="str">
        <f t="shared" si="3"/>
        <v>2023-Q4</v>
      </c>
      <c r="U222" s="63" t="str">
        <f t="shared" si="4"/>
        <v>2023-11</v>
      </c>
      <c r="V222" s="64" t="str">
        <f t="shared" si="5"/>
        <v>2023-H2</v>
      </c>
      <c r="W222" s="32"/>
      <c r="X222" s="32"/>
    </row>
    <row r="223">
      <c r="A223" s="77">
        <f>HYPERLINK("https://polkadot.subsquare.io/referenda/221", 221)</f>
        <v>221</v>
      </c>
      <c r="B223" s="40" t="s">
        <v>1052</v>
      </c>
      <c r="C223" s="40" t="s">
        <v>1851</v>
      </c>
      <c r="D223" s="78">
        <v>4895.0</v>
      </c>
      <c r="E223" s="79">
        <v>20737.206633090973</v>
      </c>
      <c r="F223" s="40" t="s">
        <v>1848</v>
      </c>
      <c r="G223" s="78">
        <v>3.0799899878889088E7</v>
      </c>
      <c r="H223" s="78">
        <v>1.6348075971494554E7</v>
      </c>
      <c r="I223" s="80">
        <v>45223.0</v>
      </c>
      <c r="J223" s="80">
        <v>45238.0</v>
      </c>
      <c r="K223" s="79">
        <v>27182.742474079132</v>
      </c>
      <c r="L223" s="83" t="s">
        <v>48</v>
      </c>
      <c r="M223" s="70" t="s">
        <v>134</v>
      </c>
      <c r="N223" s="61"/>
      <c r="O223" s="86"/>
      <c r="P223" s="86"/>
      <c r="Q223" s="86"/>
      <c r="R223" s="61" t="str">
        <f t="shared" si="1"/>
        <v>2023</v>
      </c>
      <c r="S223" s="62">
        <f t="shared" si="2"/>
        <v>11</v>
      </c>
      <c r="T223" s="61" t="str">
        <f t="shared" si="3"/>
        <v>2023-Q4</v>
      </c>
      <c r="U223" s="63" t="str">
        <f t="shared" si="4"/>
        <v>2023-11</v>
      </c>
      <c r="V223" s="64" t="str">
        <f t="shared" si="5"/>
        <v>2023-H2</v>
      </c>
      <c r="W223" s="32"/>
      <c r="X223" s="32"/>
    </row>
    <row r="224">
      <c r="A224" s="77">
        <f>HYPERLINK("https://polkadot.subsquare.io/referenda/222", 222)</f>
        <v>222</v>
      </c>
      <c r="B224" s="40" t="s">
        <v>1053</v>
      </c>
      <c r="C224" s="40" t="s">
        <v>1851</v>
      </c>
      <c r="D224" s="78">
        <v>3535.0</v>
      </c>
      <c r="E224" s="79">
        <v>14776.682028770447</v>
      </c>
      <c r="F224" s="40" t="s">
        <v>1848</v>
      </c>
      <c r="G224" s="78">
        <v>1.6096052322877951E7</v>
      </c>
      <c r="H224" s="78">
        <v>3445767.816292549</v>
      </c>
      <c r="I224" s="80">
        <v>45225.0</v>
      </c>
      <c r="J224" s="80">
        <v>45241.0</v>
      </c>
      <c r="K224" s="79">
        <v>18391.639382839203</v>
      </c>
      <c r="L224" s="81" t="s">
        <v>81</v>
      </c>
      <c r="M224" s="81" t="s">
        <v>161</v>
      </c>
      <c r="N224" s="86"/>
      <c r="O224" s="61"/>
      <c r="P224" s="61"/>
      <c r="Q224" s="61"/>
      <c r="R224" s="61" t="str">
        <f t="shared" si="1"/>
        <v>2023</v>
      </c>
      <c r="S224" s="62">
        <f t="shared" si="2"/>
        <v>11</v>
      </c>
      <c r="T224" s="61" t="str">
        <f t="shared" si="3"/>
        <v>2023-Q4</v>
      </c>
      <c r="U224" s="63" t="str">
        <f t="shared" si="4"/>
        <v>2023-11</v>
      </c>
      <c r="V224" s="64" t="str">
        <f t="shared" si="5"/>
        <v>2023-H2</v>
      </c>
      <c r="W224" s="32"/>
      <c r="X224" s="32"/>
    </row>
    <row r="225">
      <c r="A225" s="77">
        <f>HYPERLINK("https://polkadot.subsquare.io/referenda/223", 223)</f>
        <v>223</v>
      </c>
      <c r="B225" s="40" t="s">
        <v>1054</v>
      </c>
      <c r="C225" s="40" t="s">
        <v>1851</v>
      </c>
      <c r="D225" s="78">
        <v>24701.0</v>
      </c>
      <c r="E225" s="79">
        <v>111841.16629743576</v>
      </c>
      <c r="F225" s="40" t="s">
        <v>1853</v>
      </c>
      <c r="G225" s="78">
        <v>4.215251327346247E7</v>
      </c>
      <c r="H225" s="78">
        <v>4340440.159228561</v>
      </c>
      <c r="I225" s="80">
        <v>45226.0</v>
      </c>
      <c r="J225" s="80">
        <v>45244.0</v>
      </c>
      <c r="K225" s="79">
        <v>132358.3769440651</v>
      </c>
      <c r="L225" s="70" t="s">
        <v>81</v>
      </c>
      <c r="M225" s="70" t="s">
        <v>93</v>
      </c>
      <c r="N225" s="61"/>
      <c r="O225" s="86"/>
      <c r="P225" s="86"/>
      <c r="Q225" s="86"/>
      <c r="R225" s="61" t="str">
        <f t="shared" si="1"/>
        <v>2023</v>
      </c>
      <c r="S225" s="62">
        <f t="shared" si="2"/>
        <v>11</v>
      </c>
      <c r="T225" s="61" t="str">
        <f t="shared" si="3"/>
        <v>2023-Q4</v>
      </c>
      <c r="U225" s="63" t="str">
        <f t="shared" si="4"/>
        <v>2023-11</v>
      </c>
      <c r="V225" s="64" t="str">
        <f t="shared" si="5"/>
        <v>2023-H2</v>
      </c>
      <c r="W225" s="32"/>
      <c r="X225" s="32"/>
    </row>
    <row r="226">
      <c r="A226" s="77">
        <f>HYPERLINK("https://polkadot.subsquare.io/referenda/224", 224)</f>
        <v>224</v>
      </c>
      <c r="B226" s="40" t="s">
        <v>1973</v>
      </c>
      <c r="C226" s="40" t="s">
        <v>1846</v>
      </c>
      <c r="D226" s="78">
        <v>17000.0</v>
      </c>
      <c r="E226" s="79">
        <v>76972.58520126343</v>
      </c>
      <c r="F226" s="40" t="s">
        <v>1853</v>
      </c>
      <c r="G226" s="78">
        <v>310887.5519093985</v>
      </c>
      <c r="H226" s="78">
        <v>1.831055537397765E7</v>
      </c>
      <c r="I226" s="80">
        <v>45227.0</v>
      </c>
      <c r="J226" s="80">
        <v>45255.0</v>
      </c>
      <c r="K226" s="79">
        <v>89601.52673721313</v>
      </c>
      <c r="L226" s="81" t="s">
        <v>90</v>
      </c>
      <c r="M226" s="81" t="s">
        <v>90</v>
      </c>
      <c r="N226" s="86"/>
      <c r="O226" s="61"/>
      <c r="P226" s="61"/>
      <c r="Q226" s="61"/>
      <c r="R226" s="61" t="str">
        <f t="shared" si="1"/>
        <v>2023</v>
      </c>
      <c r="S226" s="62">
        <f t="shared" si="2"/>
        <v>11</v>
      </c>
      <c r="T226" s="61" t="str">
        <f t="shared" si="3"/>
        <v>2023-Q4</v>
      </c>
      <c r="U226" s="63" t="str">
        <f t="shared" si="4"/>
        <v>2023-11</v>
      </c>
      <c r="V226" s="64" t="str">
        <f t="shared" si="5"/>
        <v>2023-H2</v>
      </c>
      <c r="W226" s="32"/>
      <c r="X226" s="32"/>
    </row>
    <row r="227">
      <c r="A227" s="77">
        <f>HYPERLINK("https://polkadot.subsquare.io/referenda/225", 225)</f>
        <v>225</v>
      </c>
      <c r="B227" s="40" t="s">
        <v>1055</v>
      </c>
      <c r="C227" s="40" t="s">
        <v>1851</v>
      </c>
      <c r="D227" s="78">
        <v>1563.0</v>
      </c>
      <c r="E227" s="79">
        <v>6957.194310665131</v>
      </c>
      <c r="F227" s="40" t="s">
        <v>1848</v>
      </c>
      <c r="G227" s="78">
        <v>3.01186582052E7</v>
      </c>
      <c r="H227" s="78">
        <v>1.2503451937641766E7</v>
      </c>
      <c r="I227" s="80">
        <v>45227.0</v>
      </c>
      <c r="J227" s="80">
        <v>45243.0</v>
      </c>
      <c r="K227" s="79">
        <v>8699.747411727905</v>
      </c>
      <c r="L227" s="70" t="s">
        <v>81</v>
      </c>
      <c r="M227" s="70" t="s">
        <v>89</v>
      </c>
      <c r="N227" s="61"/>
      <c r="O227" s="86"/>
      <c r="P227" s="86"/>
      <c r="Q227" s="86"/>
      <c r="R227" s="61" t="str">
        <f t="shared" si="1"/>
        <v>2023</v>
      </c>
      <c r="S227" s="62">
        <f t="shared" si="2"/>
        <v>11</v>
      </c>
      <c r="T227" s="61" t="str">
        <f t="shared" si="3"/>
        <v>2023-Q4</v>
      </c>
      <c r="U227" s="63" t="str">
        <f t="shared" si="4"/>
        <v>2023-11</v>
      </c>
      <c r="V227" s="64" t="str">
        <f t="shared" si="5"/>
        <v>2023-H2</v>
      </c>
      <c r="W227" s="32"/>
      <c r="X227" s="32"/>
    </row>
    <row r="228">
      <c r="A228" s="77">
        <f>HYPERLINK("https://polkadot.subsquare.io/referenda/226", 226)</f>
        <v>226</v>
      </c>
      <c r="B228" s="40" t="s">
        <v>1056</v>
      </c>
      <c r="C228" s="40" t="s">
        <v>1851</v>
      </c>
      <c r="D228" s="78">
        <v>1500.0</v>
      </c>
      <c r="E228" s="79">
        <v>6676.769971847534</v>
      </c>
      <c r="F228" s="40" t="s">
        <v>1848</v>
      </c>
      <c r="G228" s="78">
        <v>3.0458354505445477E7</v>
      </c>
      <c r="H228" s="78">
        <v>1.6234693658547647E7</v>
      </c>
      <c r="I228" s="80">
        <v>45227.0</v>
      </c>
      <c r="J228" s="80">
        <v>45243.0</v>
      </c>
      <c r="K228" s="79">
        <v>8349.085807800293</v>
      </c>
      <c r="L228" s="81" t="s">
        <v>81</v>
      </c>
      <c r="M228" s="81" t="s">
        <v>89</v>
      </c>
      <c r="N228" s="86"/>
      <c r="O228" s="61"/>
      <c r="P228" s="61"/>
      <c r="Q228" s="61"/>
      <c r="R228" s="61" t="str">
        <f t="shared" si="1"/>
        <v>2023</v>
      </c>
      <c r="S228" s="62">
        <f t="shared" si="2"/>
        <v>11</v>
      </c>
      <c r="T228" s="61" t="str">
        <f t="shared" si="3"/>
        <v>2023-Q4</v>
      </c>
      <c r="U228" s="63" t="str">
        <f t="shared" si="4"/>
        <v>2023-11</v>
      </c>
      <c r="V228" s="64" t="str">
        <f t="shared" si="5"/>
        <v>2023-H2</v>
      </c>
      <c r="W228" s="32"/>
      <c r="X228" s="32"/>
    </row>
    <row r="229">
      <c r="A229" s="77">
        <f>HYPERLINK("https://polkadot.subsquare.io/referenda/227", 227)</f>
        <v>227</v>
      </c>
      <c r="B229" s="40" t="s">
        <v>1057</v>
      </c>
      <c r="C229" s="40" t="s">
        <v>1851</v>
      </c>
      <c r="D229" s="78">
        <v>350.0</v>
      </c>
      <c r="E229" s="79">
        <v>1557.9129934310913</v>
      </c>
      <c r="F229" s="40" t="s">
        <v>1869</v>
      </c>
      <c r="G229" s="78">
        <v>3.0565509954260625E7</v>
      </c>
      <c r="H229" s="78">
        <v>329898.8097734942</v>
      </c>
      <c r="I229" s="80">
        <v>45227.0</v>
      </c>
      <c r="J229" s="80">
        <v>45231.0</v>
      </c>
      <c r="K229" s="79">
        <v>1641.8591737747192</v>
      </c>
      <c r="L229" s="70" t="s">
        <v>81</v>
      </c>
      <c r="M229" s="71" t="s">
        <v>86</v>
      </c>
      <c r="N229" s="61"/>
      <c r="O229" s="86"/>
      <c r="P229" s="86"/>
      <c r="Q229" s="86"/>
      <c r="R229" s="61" t="str">
        <f t="shared" si="1"/>
        <v>2023</v>
      </c>
      <c r="S229" s="62">
        <f t="shared" si="2"/>
        <v>11</v>
      </c>
      <c r="T229" s="61" t="str">
        <f t="shared" si="3"/>
        <v>2023-Q4</v>
      </c>
      <c r="U229" s="63" t="str">
        <f t="shared" si="4"/>
        <v>2023-11</v>
      </c>
      <c r="V229" s="64" t="str">
        <f t="shared" si="5"/>
        <v>2023-H2</v>
      </c>
      <c r="W229" s="32"/>
      <c r="X229" s="32"/>
    </row>
    <row r="230">
      <c r="A230" s="77">
        <f>HYPERLINK("https://polkadot.subsquare.io/referenda/228", 228)</f>
        <v>228</v>
      </c>
      <c r="B230" s="40" t="s">
        <v>1974</v>
      </c>
      <c r="C230" s="40" t="s">
        <v>1846</v>
      </c>
      <c r="D230" s="78">
        <v>59746.84</v>
      </c>
      <c r="E230" s="79">
        <v>265943.93814985274</v>
      </c>
      <c r="F230" s="40" t="s">
        <v>1853</v>
      </c>
      <c r="G230" s="78">
        <v>3915886.003298794</v>
      </c>
      <c r="H230" s="78">
        <v>4.2776238340737134E7</v>
      </c>
      <c r="I230" s="80">
        <v>45227.0</v>
      </c>
      <c r="J230" s="80">
        <v>45256.0</v>
      </c>
      <c r="K230" s="79">
        <v>314906.35774847027</v>
      </c>
      <c r="L230" s="81" t="s">
        <v>90</v>
      </c>
      <c r="M230" s="81" t="s">
        <v>90</v>
      </c>
      <c r="N230" s="86"/>
      <c r="O230" s="61"/>
      <c r="P230" s="61"/>
      <c r="Q230" s="61"/>
      <c r="R230" s="61" t="str">
        <f t="shared" si="1"/>
        <v>2023</v>
      </c>
      <c r="S230" s="62">
        <f t="shared" si="2"/>
        <v>11</v>
      </c>
      <c r="T230" s="61" t="str">
        <f t="shared" si="3"/>
        <v>2023-Q4</v>
      </c>
      <c r="U230" s="63" t="str">
        <f t="shared" si="4"/>
        <v>2023-11</v>
      </c>
      <c r="V230" s="64" t="str">
        <f t="shared" si="5"/>
        <v>2023-H2</v>
      </c>
      <c r="W230" s="32"/>
      <c r="X230" s="32"/>
    </row>
    <row r="231">
      <c r="A231" s="77">
        <f>HYPERLINK("https://polkadot.subsquare.io/referenda/229", 229)</f>
        <v>229</v>
      </c>
      <c r="B231" s="40" t="s">
        <v>1975</v>
      </c>
      <c r="C231" s="40" t="s">
        <v>1846</v>
      </c>
      <c r="D231" s="78">
        <v>138711.0</v>
      </c>
      <c r="E231" s="79">
        <v>617427.6263766289</v>
      </c>
      <c r="F231" s="40" t="s">
        <v>1855</v>
      </c>
      <c r="G231" s="78">
        <v>75835.6460449078</v>
      </c>
      <c r="H231" s="78">
        <v>1.5662029021986814E7</v>
      </c>
      <c r="I231" s="80">
        <v>45228.0</v>
      </c>
      <c r="J231" s="80">
        <v>45256.0</v>
      </c>
      <c r="K231" s="79">
        <v>731101.0220732689</v>
      </c>
      <c r="L231" s="70" t="s">
        <v>90</v>
      </c>
      <c r="M231" s="70" t="s">
        <v>90</v>
      </c>
      <c r="N231" s="61"/>
      <c r="O231" s="86"/>
      <c r="P231" s="86"/>
      <c r="Q231" s="86"/>
      <c r="R231" s="61" t="str">
        <f t="shared" si="1"/>
        <v>2023</v>
      </c>
      <c r="S231" s="62">
        <f t="shared" si="2"/>
        <v>11</v>
      </c>
      <c r="T231" s="61" t="str">
        <f t="shared" si="3"/>
        <v>2023-Q4</v>
      </c>
      <c r="U231" s="63" t="str">
        <f t="shared" si="4"/>
        <v>2023-11</v>
      </c>
      <c r="V231" s="64" t="str">
        <f t="shared" si="5"/>
        <v>2023-H2</v>
      </c>
      <c r="W231" s="32"/>
      <c r="X231" s="32"/>
    </row>
    <row r="232">
      <c r="A232" s="77">
        <f>HYPERLINK("https://polkadot.subsquare.io/referenda/230", 230)</f>
        <v>230</v>
      </c>
      <c r="B232" s="40" t="s">
        <v>1058</v>
      </c>
      <c r="C232" s="40" t="s">
        <v>1851</v>
      </c>
      <c r="D232" s="78">
        <v>6970.0</v>
      </c>
      <c r="E232" s="79">
        <v>31024.724469184875</v>
      </c>
      <c r="F232" s="40" t="s">
        <v>1848</v>
      </c>
      <c r="G232" s="78">
        <v>4.144936497389439E7</v>
      </c>
      <c r="H232" s="78">
        <v>3433779.6796261887</v>
      </c>
      <c r="I232" s="80">
        <v>45228.0</v>
      </c>
      <c r="J232" s="80">
        <v>45243.0</v>
      </c>
      <c r="K232" s="79">
        <v>38795.41872024536</v>
      </c>
      <c r="L232" s="81" t="s">
        <v>81</v>
      </c>
      <c r="M232" s="81" t="s">
        <v>93</v>
      </c>
      <c r="N232" s="86"/>
      <c r="O232" s="61"/>
      <c r="P232" s="61"/>
      <c r="Q232" s="61"/>
      <c r="R232" s="61" t="str">
        <f t="shared" si="1"/>
        <v>2023</v>
      </c>
      <c r="S232" s="62">
        <f t="shared" si="2"/>
        <v>11</v>
      </c>
      <c r="T232" s="61" t="str">
        <f t="shared" si="3"/>
        <v>2023-Q4</v>
      </c>
      <c r="U232" s="63" t="str">
        <f t="shared" si="4"/>
        <v>2023-11</v>
      </c>
      <c r="V232" s="64" t="str">
        <f t="shared" si="5"/>
        <v>2023-H2</v>
      </c>
      <c r="W232" s="32"/>
      <c r="X232" s="32"/>
    </row>
    <row r="233">
      <c r="A233" s="77">
        <f>HYPERLINK("https://polkadot.subsquare.io/referenda/231", 231)</f>
        <v>231</v>
      </c>
      <c r="B233" s="40" t="s">
        <v>1976</v>
      </c>
      <c r="C233" s="40" t="s">
        <v>1851</v>
      </c>
      <c r="D233" s="78">
        <v>0.0</v>
      </c>
      <c r="E233" s="79">
        <v>0.0</v>
      </c>
      <c r="F233" s="40" t="s">
        <v>1857</v>
      </c>
      <c r="G233" s="78">
        <v>4.861064937283248E7</v>
      </c>
      <c r="H233" s="78">
        <v>6482757.585845532</v>
      </c>
      <c r="I233" s="80">
        <v>45228.0</v>
      </c>
      <c r="J233" s="80">
        <v>45262.0</v>
      </c>
      <c r="K233" s="79">
        <v>0.0</v>
      </c>
      <c r="L233" s="70" t="s">
        <v>90</v>
      </c>
      <c r="M233" s="70" t="s">
        <v>90</v>
      </c>
      <c r="N233" s="61"/>
      <c r="O233" s="86"/>
      <c r="P233" s="86"/>
      <c r="Q233" s="86"/>
      <c r="R233" s="61" t="str">
        <f t="shared" si="1"/>
        <v>2023</v>
      </c>
      <c r="S233" s="62">
        <f t="shared" si="2"/>
        <v>12</v>
      </c>
      <c r="T233" s="61" t="str">
        <f t="shared" si="3"/>
        <v>2023-Q4</v>
      </c>
      <c r="U233" s="63" t="str">
        <f t="shared" si="4"/>
        <v>2023-12</v>
      </c>
      <c r="V233" s="64" t="str">
        <f t="shared" si="5"/>
        <v>2023-H2</v>
      </c>
      <c r="W233" s="32"/>
      <c r="X233" s="32"/>
    </row>
    <row r="234">
      <c r="A234" s="77">
        <f>HYPERLINK("https://polkadot.subsquare.io/referenda/232", 232)</f>
        <v>232</v>
      </c>
      <c r="B234" s="40" t="s">
        <v>1059</v>
      </c>
      <c r="C234" s="40" t="s">
        <v>1851</v>
      </c>
      <c r="D234" s="78">
        <v>590.0</v>
      </c>
      <c r="E234" s="79">
        <v>2791.2367963790894</v>
      </c>
      <c r="F234" s="40" t="s">
        <v>1869</v>
      </c>
      <c r="G234" s="78">
        <v>3.0394841984804146E7</v>
      </c>
      <c r="H234" s="78">
        <v>52575.1670582367</v>
      </c>
      <c r="I234" s="80">
        <v>45229.0</v>
      </c>
      <c r="J234" s="80">
        <v>45231.0</v>
      </c>
      <c r="K234" s="79">
        <v>2767.705464363098</v>
      </c>
      <c r="L234" s="82" t="s">
        <v>48</v>
      </c>
      <c r="M234" s="81" t="s">
        <v>131</v>
      </c>
      <c r="N234" s="86"/>
      <c r="O234" s="61"/>
      <c r="P234" s="61"/>
      <c r="Q234" s="61"/>
      <c r="R234" s="61" t="str">
        <f t="shared" si="1"/>
        <v>2023</v>
      </c>
      <c r="S234" s="62">
        <f t="shared" si="2"/>
        <v>11</v>
      </c>
      <c r="T234" s="61" t="str">
        <f t="shared" si="3"/>
        <v>2023-Q4</v>
      </c>
      <c r="U234" s="63" t="str">
        <f t="shared" si="4"/>
        <v>2023-11</v>
      </c>
      <c r="V234" s="64" t="str">
        <f t="shared" si="5"/>
        <v>2023-H2</v>
      </c>
      <c r="W234" s="32"/>
      <c r="X234" s="32"/>
    </row>
    <row r="235">
      <c r="A235" s="77">
        <f>HYPERLINK("https://polkadot.subsquare.io/referenda/233", 233)</f>
        <v>233</v>
      </c>
      <c r="B235" s="40" t="s">
        <v>1977</v>
      </c>
      <c r="C235" s="40" t="s">
        <v>1846</v>
      </c>
      <c r="D235" s="78">
        <v>5917.0</v>
      </c>
      <c r="E235" s="79">
        <v>27427.212115764618</v>
      </c>
      <c r="F235" s="40" t="s">
        <v>1848</v>
      </c>
      <c r="G235" s="78">
        <v>405745.7794890173</v>
      </c>
      <c r="H235" s="78">
        <v>1.0275617990940167E7</v>
      </c>
      <c r="I235" s="80">
        <v>45229.0</v>
      </c>
      <c r="J235" s="80">
        <v>45257.0</v>
      </c>
      <c r="K235" s="79">
        <v>32341.10360956192</v>
      </c>
      <c r="L235" s="70" t="s">
        <v>90</v>
      </c>
      <c r="M235" s="70" t="s">
        <v>90</v>
      </c>
      <c r="N235" s="61"/>
      <c r="O235" s="86"/>
      <c r="P235" s="86"/>
      <c r="Q235" s="86"/>
      <c r="R235" s="61" t="str">
        <f t="shared" si="1"/>
        <v>2023</v>
      </c>
      <c r="S235" s="62">
        <f t="shared" si="2"/>
        <v>11</v>
      </c>
      <c r="T235" s="61" t="str">
        <f t="shared" si="3"/>
        <v>2023-Q4</v>
      </c>
      <c r="U235" s="63" t="str">
        <f t="shared" si="4"/>
        <v>2023-11</v>
      </c>
      <c r="V235" s="64" t="str">
        <f t="shared" si="5"/>
        <v>2023-H2</v>
      </c>
      <c r="W235" s="32"/>
      <c r="X235" s="32"/>
    </row>
    <row r="236">
      <c r="A236" s="77">
        <f>HYPERLINK("https://polkadot.subsquare.io/referenda/234", 234)</f>
        <v>234</v>
      </c>
      <c r="B236" s="40" t="s">
        <v>1060</v>
      </c>
      <c r="C236" s="40" t="s">
        <v>1851</v>
      </c>
      <c r="D236" s="78">
        <v>137768.0</v>
      </c>
      <c r="E236" s="79">
        <v>635867.3463134766</v>
      </c>
      <c r="F236" s="40" t="s">
        <v>1855</v>
      </c>
      <c r="G236" s="78">
        <v>3.1727688998453148E7</v>
      </c>
      <c r="H236" s="78">
        <v>1.1968360709720328E7</v>
      </c>
      <c r="I236" s="80">
        <v>45231.0</v>
      </c>
      <c r="J236" s="80">
        <v>45255.0</v>
      </c>
      <c r="K236" s="79">
        <v>726130.7726783752</v>
      </c>
      <c r="L236" s="81" t="s">
        <v>81</v>
      </c>
      <c r="M236" s="85" t="s">
        <v>86</v>
      </c>
      <c r="N236" s="86"/>
      <c r="O236" s="61"/>
      <c r="P236" s="61"/>
      <c r="Q236" s="61"/>
      <c r="R236" s="61" t="str">
        <f t="shared" si="1"/>
        <v>2023</v>
      </c>
      <c r="S236" s="62">
        <f t="shared" si="2"/>
        <v>11</v>
      </c>
      <c r="T236" s="61" t="str">
        <f t="shared" si="3"/>
        <v>2023-Q4</v>
      </c>
      <c r="U236" s="63" t="str">
        <f t="shared" si="4"/>
        <v>2023-11</v>
      </c>
      <c r="V236" s="64" t="str">
        <f t="shared" si="5"/>
        <v>2023-H2</v>
      </c>
      <c r="W236" s="32"/>
      <c r="X236" s="32"/>
    </row>
    <row r="237">
      <c r="A237" s="77">
        <f>HYPERLINK("https://polkadot.subsquare.io/referenda/235", 235)</f>
        <v>235</v>
      </c>
      <c r="B237" s="40" t="s">
        <v>1978</v>
      </c>
      <c r="C237" s="40" t="s">
        <v>1861</v>
      </c>
      <c r="D237" s="78">
        <v>1000000.0</v>
      </c>
      <c r="E237" s="79">
        <v>4691026.210784912</v>
      </c>
      <c r="F237" s="40" t="s">
        <v>1855</v>
      </c>
      <c r="G237" s="78">
        <v>86511.1236388797</v>
      </c>
      <c r="H237" s="78">
        <v>1.5308649734266505E7</v>
      </c>
      <c r="I237" s="80">
        <v>45231.0</v>
      </c>
      <c r="J237" s="80">
        <v>45245.0</v>
      </c>
      <c r="K237" s="79">
        <v>5291220.188140869</v>
      </c>
      <c r="L237" s="70" t="s">
        <v>90</v>
      </c>
      <c r="M237" s="70" t="s">
        <v>90</v>
      </c>
      <c r="N237" s="61"/>
      <c r="O237" s="86"/>
      <c r="P237" s="86"/>
      <c r="Q237" s="86"/>
      <c r="R237" s="61" t="str">
        <f t="shared" si="1"/>
        <v>2023</v>
      </c>
      <c r="S237" s="62">
        <f t="shared" si="2"/>
        <v>11</v>
      </c>
      <c r="T237" s="61" t="str">
        <f t="shared" si="3"/>
        <v>2023-Q4</v>
      </c>
      <c r="U237" s="63" t="str">
        <f t="shared" si="4"/>
        <v>2023-11</v>
      </c>
      <c r="V237" s="64" t="str">
        <f t="shared" si="5"/>
        <v>2023-H2</v>
      </c>
      <c r="W237" s="32"/>
      <c r="X237" s="32"/>
    </row>
    <row r="238">
      <c r="A238" s="77">
        <f>HYPERLINK("https://polkadot.subsquare.io/referenda/236", 236)</f>
        <v>236</v>
      </c>
      <c r="B238" s="40" t="s">
        <v>1979</v>
      </c>
      <c r="C238" s="40" t="s">
        <v>1851</v>
      </c>
      <c r="D238" s="78">
        <v>0.0</v>
      </c>
      <c r="E238" s="79">
        <v>0.0</v>
      </c>
      <c r="F238" s="40" t="s">
        <v>1855</v>
      </c>
      <c r="G238" s="78">
        <v>9657506.947035635</v>
      </c>
      <c r="H238" s="78">
        <v>1246164.7537619453</v>
      </c>
      <c r="I238" s="80">
        <v>45231.0</v>
      </c>
      <c r="J238" s="80">
        <v>45262.0</v>
      </c>
      <c r="K238" s="79">
        <v>0.0</v>
      </c>
      <c r="L238" s="81" t="s">
        <v>90</v>
      </c>
      <c r="M238" s="81" t="s">
        <v>90</v>
      </c>
      <c r="N238" s="86"/>
      <c r="O238" s="61"/>
      <c r="P238" s="61"/>
      <c r="Q238" s="61"/>
      <c r="R238" s="61" t="str">
        <f t="shared" si="1"/>
        <v>2023</v>
      </c>
      <c r="S238" s="62">
        <f t="shared" si="2"/>
        <v>12</v>
      </c>
      <c r="T238" s="61" t="str">
        <f t="shared" si="3"/>
        <v>2023-Q4</v>
      </c>
      <c r="U238" s="63" t="str">
        <f t="shared" si="4"/>
        <v>2023-12</v>
      </c>
      <c r="V238" s="64" t="str">
        <f t="shared" si="5"/>
        <v>2023-H2</v>
      </c>
      <c r="W238" s="32"/>
      <c r="X238" s="32"/>
    </row>
    <row r="239">
      <c r="A239" s="77">
        <f>HYPERLINK("https://polkadot.subsquare.io/referenda/237", 237)</f>
        <v>237</v>
      </c>
      <c r="B239" s="40" t="s">
        <v>1061</v>
      </c>
      <c r="C239" s="40" t="s">
        <v>1851</v>
      </c>
      <c r="D239" s="78">
        <v>33124.7</v>
      </c>
      <c r="E239" s="79">
        <v>155388.83592438698</v>
      </c>
      <c r="F239" s="40" t="s">
        <v>1853</v>
      </c>
      <c r="G239" s="78">
        <v>4.198844824830957E7</v>
      </c>
      <c r="H239" s="78">
        <v>4248856.246321443</v>
      </c>
      <c r="I239" s="80">
        <v>45231.0</v>
      </c>
      <c r="J239" s="80">
        <v>45249.0</v>
      </c>
      <c r="K239" s="79">
        <v>161959.54506988524</v>
      </c>
      <c r="L239" s="70" t="s">
        <v>46</v>
      </c>
      <c r="M239" s="70" t="s">
        <v>124</v>
      </c>
      <c r="N239" s="61"/>
      <c r="O239" s="86"/>
      <c r="P239" s="86"/>
      <c r="Q239" s="86"/>
      <c r="R239" s="61" t="str">
        <f t="shared" si="1"/>
        <v>2023</v>
      </c>
      <c r="S239" s="62">
        <f t="shared" si="2"/>
        <v>11</v>
      </c>
      <c r="T239" s="61" t="str">
        <f t="shared" si="3"/>
        <v>2023-Q4</v>
      </c>
      <c r="U239" s="63" t="str">
        <f t="shared" si="4"/>
        <v>2023-11</v>
      </c>
      <c r="V239" s="64" t="str">
        <f t="shared" si="5"/>
        <v>2023-H2</v>
      </c>
      <c r="W239" s="32"/>
      <c r="X239" s="32"/>
    </row>
    <row r="240">
      <c r="A240" s="77">
        <f>HYPERLINK("https://polkadot.subsquare.io/referenda/238", 238)</f>
        <v>238</v>
      </c>
      <c r="B240" s="40" t="s">
        <v>1980</v>
      </c>
      <c r="C240" s="40" t="s">
        <v>1846</v>
      </c>
      <c r="D240" s="78">
        <v>82140.34</v>
      </c>
      <c r="E240" s="79">
        <v>408103.83283005713</v>
      </c>
      <c r="F240" s="40" t="s">
        <v>1855</v>
      </c>
      <c r="G240" s="78">
        <v>7420.0</v>
      </c>
      <c r="H240" s="78">
        <v>2.902016628297301E7</v>
      </c>
      <c r="I240" s="80">
        <v>45234.0</v>
      </c>
      <c r="J240" s="80">
        <v>45264.0</v>
      </c>
      <c r="K240" s="79">
        <v>513103.2653764343</v>
      </c>
      <c r="L240" s="81" t="s">
        <v>90</v>
      </c>
      <c r="M240" s="81" t="s">
        <v>90</v>
      </c>
      <c r="N240" s="86"/>
      <c r="O240" s="61"/>
      <c r="P240" s="61"/>
      <c r="Q240" s="61"/>
      <c r="R240" s="61" t="str">
        <f t="shared" si="1"/>
        <v>2023</v>
      </c>
      <c r="S240" s="62">
        <f t="shared" si="2"/>
        <v>12</v>
      </c>
      <c r="T240" s="61" t="str">
        <f t="shared" si="3"/>
        <v>2023-Q4</v>
      </c>
      <c r="U240" s="63" t="str">
        <f t="shared" si="4"/>
        <v>2023-12</v>
      </c>
      <c r="V240" s="64" t="str">
        <f t="shared" si="5"/>
        <v>2023-H2</v>
      </c>
      <c r="W240" s="32"/>
      <c r="X240" s="32"/>
    </row>
    <row r="241">
      <c r="A241" s="77">
        <f>HYPERLINK("https://polkadot.subsquare.io/referenda/239", 239)</f>
        <v>239</v>
      </c>
      <c r="B241" s="40" t="s">
        <v>1981</v>
      </c>
      <c r="C241" s="40" t="s">
        <v>1851</v>
      </c>
      <c r="D241" s="78">
        <v>0.0</v>
      </c>
      <c r="E241" s="79">
        <v>0.0</v>
      </c>
      <c r="F241" s="40" t="s">
        <v>1970</v>
      </c>
      <c r="G241" s="78">
        <v>5.0372653225207165E7</v>
      </c>
      <c r="H241" s="78">
        <v>0.0</v>
      </c>
      <c r="I241" s="80">
        <v>45234.0</v>
      </c>
      <c r="J241" s="80">
        <v>45236.0</v>
      </c>
      <c r="K241" s="79">
        <v>0.0</v>
      </c>
      <c r="L241" s="70" t="s">
        <v>90</v>
      </c>
      <c r="M241" s="70" t="s">
        <v>90</v>
      </c>
      <c r="N241" s="61"/>
      <c r="O241" s="86"/>
      <c r="P241" s="86"/>
      <c r="Q241" s="86"/>
      <c r="R241" s="61" t="str">
        <f t="shared" si="1"/>
        <v>2023</v>
      </c>
      <c r="S241" s="62">
        <f t="shared" si="2"/>
        <v>11</v>
      </c>
      <c r="T241" s="61" t="str">
        <f t="shared" si="3"/>
        <v>2023-Q4</v>
      </c>
      <c r="U241" s="63" t="str">
        <f t="shared" si="4"/>
        <v>2023-11</v>
      </c>
      <c r="V241" s="64" t="str">
        <f t="shared" si="5"/>
        <v>2023-H2</v>
      </c>
      <c r="W241" s="32"/>
      <c r="X241" s="32"/>
    </row>
    <row r="242">
      <c r="A242" s="77">
        <f>HYPERLINK("https://polkadot.subsquare.io/referenda/240", 240)</f>
        <v>240</v>
      </c>
      <c r="B242" s="40" t="s">
        <v>1062</v>
      </c>
      <c r="C242" s="40" t="s">
        <v>1851</v>
      </c>
      <c r="D242" s="78">
        <v>9700.0</v>
      </c>
      <c r="E242" s="79">
        <v>48193.216371536255</v>
      </c>
      <c r="F242" s="40" t="s">
        <v>1848</v>
      </c>
      <c r="G242" s="78">
        <v>3.2834677912353866E7</v>
      </c>
      <c r="H242" s="78">
        <v>1321479.5707626857</v>
      </c>
      <c r="I242" s="80">
        <v>45234.0</v>
      </c>
      <c r="J242" s="80">
        <v>45249.0</v>
      </c>
      <c r="K242" s="79">
        <v>47427.073669433594</v>
      </c>
      <c r="L242" s="81" t="s">
        <v>81</v>
      </c>
      <c r="M242" s="81" t="s">
        <v>89</v>
      </c>
      <c r="N242" s="86"/>
      <c r="O242" s="61"/>
      <c r="P242" s="61"/>
      <c r="Q242" s="61"/>
      <c r="R242" s="61" t="str">
        <f t="shared" si="1"/>
        <v>2023</v>
      </c>
      <c r="S242" s="62">
        <f t="shared" si="2"/>
        <v>11</v>
      </c>
      <c r="T242" s="61" t="str">
        <f t="shared" si="3"/>
        <v>2023-Q4</v>
      </c>
      <c r="U242" s="63" t="str">
        <f t="shared" si="4"/>
        <v>2023-11</v>
      </c>
      <c r="V242" s="64" t="str">
        <f t="shared" si="5"/>
        <v>2023-H2</v>
      </c>
      <c r="W242" s="32"/>
      <c r="X242" s="32"/>
    </row>
    <row r="243">
      <c r="A243" s="77">
        <f>HYPERLINK("https://polkadot.subsquare.io/referenda/241", 241)</f>
        <v>241</v>
      </c>
      <c r="B243" s="40" t="s">
        <v>983</v>
      </c>
      <c r="C243" s="40" t="s">
        <v>1968</v>
      </c>
      <c r="D243" s="78">
        <v>0.0</v>
      </c>
      <c r="E243" s="79">
        <v>0.0</v>
      </c>
      <c r="F243" s="40" t="s">
        <v>1852</v>
      </c>
      <c r="G243" s="78">
        <v>1199182.177945212</v>
      </c>
      <c r="H243" s="78">
        <v>1.1324511636341574E7</v>
      </c>
      <c r="I243" s="80">
        <v>45234.0</v>
      </c>
      <c r="J243" s="80">
        <v>45242.0</v>
      </c>
      <c r="K243" s="79">
        <v>0.0</v>
      </c>
      <c r="L243" s="70" t="s">
        <v>90</v>
      </c>
      <c r="M243" s="70" t="s">
        <v>90</v>
      </c>
      <c r="N243" s="61"/>
      <c r="O243" s="86"/>
      <c r="P243" s="86"/>
      <c r="Q243" s="86"/>
      <c r="R243" s="61" t="str">
        <f t="shared" si="1"/>
        <v>2023</v>
      </c>
      <c r="S243" s="62">
        <f t="shared" si="2"/>
        <v>11</v>
      </c>
      <c r="T243" s="61" t="str">
        <f t="shared" si="3"/>
        <v>2023-Q4</v>
      </c>
      <c r="U243" s="63" t="str">
        <f t="shared" si="4"/>
        <v>2023-11</v>
      </c>
      <c r="V243" s="64" t="str">
        <f t="shared" si="5"/>
        <v>2023-H2</v>
      </c>
      <c r="W243" s="32"/>
      <c r="X243" s="32"/>
    </row>
    <row r="244">
      <c r="A244" s="77">
        <f>HYPERLINK("https://polkadot.subsquare.io/referenda/242", 242)</f>
        <v>242</v>
      </c>
      <c r="B244" s="40" t="s">
        <v>1063</v>
      </c>
      <c r="C244" s="40" t="s">
        <v>1851</v>
      </c>
      <c r="D244" s="78">
        <v>16182.0</v>
      </c>
      <c r="E244" s="79">
        <v>79801.3394165039</v>
      </c>
      <c r="F244" s="40" t="s">
        <v>1853</v>
      </c>
      <c r="G244" s="78">
        <v>4.084510661581922E7</v>
      </c>
      <c r="H244" s="78">
        <v>3.8092512063579015E7</v>
      </c>
      <c r="I244" s="80">
        <v>45234.0</v>
      </c>
      <c r="J244" s="80">
        <v>45260.0</v>
      </c>
      <c r="K244" s="79">
        <v>89754.67777347565</v>
      </c>
      <c r="L244" s="81" t="s">
        <v>81</v>
      </c>
      <c r="M244" s="81" t="s">
        <v>93</v>
      </c>
      <c r="N244" s="86"/>
      <c r="O244" s="61"/>
      <c r="P244" s="61"/>
      <c r="Q244" s="61"/>
      <c r="R244" s="61" t="str">
        <f t="shared" si="1"/>
        <v>2023</v>
      </c>
      <c r="S244" s="62">
        <f t="shared" si="2"/>
        <v>11</v>
      </c>
      <c r="T244" s="61" t="str">
        <f t="shared" si="3"/>
        <v>2023-Q4</v>
      </c>
      <c r="U244" s="63" t="str">
        <f t="shared" si="4"/>
        <v>2023-11</v>
      </c>
      <c r="V244" s="64" t="str">
        <f t="shared" si="5"/>
        <v>2023-H2</v>
      </c>
      <c r="W244" s="32"/>
      <c r="X244" s="32"/>
    </row>
    <row r="245">
      <c r="A245" s="77">
        <f>HYPERLINK("https://polkadot.subsquare.io/referenda/243", 243)</f>
        <v>243</v>
      </c>
      <c r="B245" s="40" t="s">
        <v>1064</v>
      </c>
      <c r="C245" s="40" t="s">
        <v>1851</v>
      </c>
      <c r="D245" s="78">
        <v>4455.0</v>
      </c>
      <c r="E245" s="79">
        <v>21969.779205322266</v>
      </c>
      <c r="F245" s="40" t="s">
        <v>1848</v>
      </c>
      <c r="G245" s="78">
        <v>3.0301602456372637E7</v>
      </c>
      <c r="H245" s="78">
        <v>1.2539129936206276E7</v>
      </c>
      <c r="I245" s="80">
        <v>45234.0</v>
      </c>
      <c r="J245" s="80">
        <v>45250.0</v>
      </c>
      <c r="K245" s="79">
        <v>23045.113191604614</v>
      </c>
      <c r="L245" s="70" t="s">
        <v>81</v>
      </c>
      <c r="M245" s="70" t="s">
        <v>89</v>
      </c>
      <c r="N245" s="61"/>
      <c r="O245" s="86"/>
      <c r="P245" s="86"/>
      <c r="Q245" s="86"/>
      <c r="R245" s="61" t="str">
        <f t="shared" si="1"/>
        <v>2023</v>
      </c>
      <c r="S245" s="62">
        <f t="shared" si="2"/>
        <v>11</v>
      </c>
      <c r="T245" s="61" t="str">
        <f t="shared" si="3"/>
        <v>2023-Q4</v>
      </c>
      <c r="U245" s="63" t="str">
        <f t="shared" si="4"/>
        <v>2023-11</v>
      </c>
      <c r="V245" s="64" t="str">
        <f t="shared" si="5"/>
        <v>2023-H2</v>
      </c>
      <c r="W245" s="32"/>
      <c r="X245" s="32"/>
    </row>
    <row r="246">
      <c r="A246" s="77">
        <f>HYPERLINK("https://polkadot.subsquare.io/referenda/244", 244)</f>
        <v>244</v>
      </c>
      <c r="B246" s="40" t="s">
        <v>1065</v>
      </c>
      <c r="C246" s="40" t="s">
        <v>1851</v>
      </c>
      <c r="D246" s="78">
        <v>3161.0</v>
      </c>
      <c r="E246" s="79">
        <v>15974.38235092163</v>
      </c>
      <c r="F246" s="40" t="s">
        <v>1848</v>
      </c>
      <c r="G246" s="78">
        <v>3.049210498361186E7</v>
      </c>
      <c r="H246" s="78">
        <v>1.442516634810462E7</v>
      </c>
      <c r="I246" s="80">
        <v>45235.0</v>
      </c>
      <c r="J246" s="80">
        <v>45251.0</v>
      </c>
      <c r="K246" s="79">
        <v>16227.429418087006</v>
      </c>
      <c r="L246" s="82" t="s">
        <v>48</v>
      </c>
      <c r="M246" s="81" t="s">
        <v>134</v>
      </c>
      <c r="N246" s="86"/>
      <c r="O246" s="61"/>
      <c r="P246" s="61"/>
      <c r="Q246" s="61"/>
      <c r="R246" s="61" t="str">
        <f t="shared" si="1"/>
        <v>2023</v>
      </c>
      <c r="S246" s="62">
        <f t="shared" si="2"/>
        <v>11</v>
      </c>
      <c r="T246" s="61" t="str">
        <f t="shared" si="3"/>
        <v>2023-Q4</v>
      </c>
      <c r="U246" s="63" t="str">
        <f t="shared" si="4"/>
        <v>2023-11</v>
      </c>
      <c r="V246" s="64" t="str">
        <f t="shared" si="5"/>
        <v>2023-H2</v>
      </c>
      <c r="W246" s="32"/>
      <c r="X246" s="32"/>
    </row>
    <row r="247">
      <c r="A247" s="77">
        <f>HYPERLINK("https://polkadot.subsquare.io/referenda/245", 245)</f>
        <v>245</v>
      </c>
      <c r="B247" s="40" t="s">
        <v>1066</v>
      </c>
      <c r="C247" s="40" t="s">
        <v>1851</v>
      </c>
      <c r="D247" s="78">
        <v>10891.119</v>
      </c>
      <c r="E247" s="79">
        <v>55039.19618329239</v>
      </c>
      <c r="F247" s="40" t="s">
        <v>1853</v>
      </c>
      <c r="G247" s="78">
        <v>3.396786575441203E7</v>
      </c>
      <c r="H247" s="78">
        <v>509855.6856913136</v>
      </c>
      <c r="I247" s="80">
        <v>45236.0</v>
      </c>
      <c r="J247" s="80">
        <v>45255.0</v>
      </c>
      <c r="K247" s="79">
        <v>56214.271577871325</v>
      </c>
      <c r="L247" s="83" t="s">
        <v>48</v>
      </c>
      <c r="M247" s="70" t="s">
        <v>131</v>
      </c>
      <c r="N247" s="61"/>
      <c r="O247" s="86"/>
      <c r="P247" s="86"/>
      <c r="Q247" s="86"/>
      <c r="R247" s="61" t="str">
        <f t="shared" si="1"/>
        <v>2023</v>
      </c>
      <c r="S247" s="62">
        <f t="shared" si="2"/>
        <v>11</v>
      </c>
      <c r="T247" s="61" t="str">
        <f t="shared" si="3"/>
        <v>2023-Q4</v>
      </c>
      <c r="U247" s="63" t="str">
        <f t="shared" si="4"/>
        <v>2023-11</v>
      </c>
      <c r="V247" s="64" t="str">
        <f t="shared" si="5"/>
        <v>2023-H2</v>
      </c>
      <c r="W247" s="32"/>
      <c r="X247" s="32"/>
    </row>
    <row r="248">
      <c r="A248" s="77">
        <f>HYPERLINK("https://polkadot.subsquare.io/referenda/246", 246)</f>
        <v>246</v>
      </c>
      <c r="B248" s="40" t="s">
        <v>1982</v>
      </c>
      <c r="C248" s="40" t="s">
        <v>1851</v>
      </c>
      <c r="D248" s="78">
        <v>0.0</v>
      </c>
      <c r="E248" s="79">
        <v>0.0</v>
      </c>
      <c r="F248" s="40" t="s">
        <v>1970</v>
      </c>
      <c r="G248" s="78">
        <v>1.2611289326016707E7</v>
      </c>
      <c r="H248" s="78">
        <v>0.0</v>
      </c>
      <c r="I248" s="80">
        <v>45237.0</v>
      </c>
      <c r="J248" s="80">
        <v>45242.0</v>
      </c>
      <c r="K248" s="79">
        <v>0.0</v>
      </c>
      <c r="L248" s="81" t="s">
        <v>90</v>
      </c>
      <c r="M248" s="81" t="s">
        <v>90</v>
      </c>
      <c r="N248" s="86"/>
      <c r="O248" s="61"/>
      <c r="P248" s="61"/>
      <c r="Q248" s="61"/>
      <c r="R248" s="61" t="str">
        <f t="shared" si="1"/>
        <v>2023</v>
      </c>
      <c r="S248" s="62">
        <f t="shared" si="2"/>
        <v>11</v>
      </c>
      <c r="T248" s="61" t="str">
        <f t="shared" si="3"/>
        <v>2023-Q4</v>
      </c>
      <c r="U248" s="63" t="str">
        <f t="shared" si="4"/>
        <v>2023-11</v>
      </c>
      <c r="V248" s="64" t="str">
        <f t="shared" si="5"/>
        <v>2023-H2</v>
      </c>
      <c r="W248" s="32"/>
      <c r="X248" s="32"/>
    </row>
    <row r="249">
      <c r="A249" s="77">
        <f>HYPERLINK("https://polkadot.subsquare.io/referenda/247", 247)</f>
        <v>247</v>
      </c>
      <c r="B249" s="40" t="s">
        <v>1067</v>
      </c>
      <c r="C249" s="40" t="s">
        <v>1851</v>
      </c>
      <c r="D249" s="78">
        <v>21400.0</v>
      </c>
      <c r="E249" s="79">
        <v>113437.13712692261</v>
      </c>
      <c r="F249" s="40" t="s">
        <v>1853</v>
      </c>
      <c r="G249" s="78">
        <v>4.447467007021421E7</v>
      </c>
      <c r="H249" s="78">
        <v>4768906.662421701</v>
      </c>
      <c r="I249" s="80">
        <v>45237.0</v>
      </c>
      <c r="J249" s="80">
        <v>45255.0</v>
      </c>
      <c r="K249" s="79">
        <v>110455.63011169434</v>
      </c>
      <c r="L249" s="70" t="s">
        <v>81</v>
      </c>
      <c r="M249" s="70" t="s">
        <v>89</v>
      </c>
      <c r="N249" s="61"/>
      <c r="O249" s="86"/>
      <c r="P249" s="86"/>
      <c r="Q249" s="86"/>
      <c r="R249" s="61" t="str">
        <f t="shared" si="1"/>
        <v>2023</v>
      </c>
      <c r="S249" s="62">
        <f t="shared" si="2"/>
        <v>11</v>
      </c>
      <c r="T249" s="61" t="str">
        <f t="shared" si="3"/>
        <v>2023-Q4</v>
      </c>
      <c r="U249" s="63" t="str">
        <f t="shared" si="4"/>
        <v>2023-11</v>
      </c>
      <c r="V249" s="64" t="str">
        <f t="shared" si="5"/>
        <v>2023-H2</v>
      </c>
      <c r="W249" s="32"/>
      <c r="X249" s="32"/>
    </row>
    <row r="250">
      <c r="A250" s="77">
        <f>HYPERLINK("https://polkadot.subsquare.io/referenda/248", 248)</f>
        <v>248</v>
      </c>
      <c r="B250" s="40" t="s">
        <v>1068</v>
      </c>
      <c r="C250" s="40" t="s">
        <v>1851</v>
      </c>
      <c r="D250" s="78">
        <v>99025.0</v>
      </c>
      <c r="E250" s="79">
        <v>524911.7992520332</v>
      </c>
      <c r="F250" s="40" t="s">
        <v>1853</v>
      </c>
      <c r="G250" s="78">
        <v>4.170657932097578E7</v>
      </c>
      <c r="H250" s="78">
        <v>1640263.67898479</v>
      </c>
      <c r="I250" s="80">
        <v>45238.0</v>
      </c>
      <c r="J250" s="80">
        <v>45257.0</v>
      </c>
      <c r="K250" s="79">
        <v>541250.259411335</v>
      </c>
      <c r="L250" s="81" t="s">
        <v>49</v>
      </c>
      <c r="M250" s="70" t="s">
        <v>104</v>
      </c>
      <c r="N250" s="86"/>
      <c r="O250" s="61"/>
      <c r="P250" s="61"/>
      <c r="Q250" s="61"/>
      <c r="R250" s="61" t="str">
        <f t="shared" si="1"/>
        <v>2023</v>
      </c>
      <c r="S250" s="62">
        <f t="shared" si="2"/>
        <v>11</v>
      </c>
      <c r="T250" s="61" t="str">
        <f t="shared" si="3"/>
        <v>2023-Q4</v>
      </c>
      <c r="U250" s="63" t="str">
        <f t="shared" si="4"/>
        <v>2023-11</v>
      </c>
      <c r="V250" s="64" t="str">
        <f t="shared" si="5"/>
        <v>2023-H2</v>
      </c>
      <c r="W250" s="32"/>
      <c r="X250" s="32"/>
    </row>
    <row r="251">
      <c r="A251" s="77">
        <f>HYPERLINK("https://polkadot.subsquare.io/referenda/249", 249)</f>
        <v>249</v>
      </c>
      <c r="B251" s="40" t="s">
        <v>1069</v>
      </c>
      <c r="C251" s="40" t="s">
        <v>1851</v>
      </c>
      <c r="D251" s="78">
        <v>500.0</v>
      </c>
      <c r="E251" s="79">
        <v>2776.5824794769287</v>
      </c>
      <c r="F251" s="40" t="s">
        <v>1869</v>
      </c>
      <c r="G251" s="78">
        <v>3.0197495688847136E7</v>
      </c>
      <c r="H251" s="78">
        <v>1404565.8430015205</v>
      </c>
      <c r="I251" s="80">
        <v>45239.0</v>
      </c>
      <c r="J251" s="80">
        <v>45245.0</v>
      </c>
      <c r="K251" s="79">
        <v>2621.1016178131104</v>
      </c>
      <c r="L251" s="70" t="s">
        <v>81</v>
      </c>
      <c r="M251" s="70" t="s">
        <v>93</v>
      </c>
      <c r="N251" s="61"/>
      <c r="O251" s="86"/>
      <c r="P251" s="86"/>
      <c r="Q251" s="86"/>
      <c r="R251" s="61" t="str">
        <f t="shared" si="1"/>
        <v>2023</v>
      </c>
      <c r="S251" s="62">
        <f t="shared" si="2"/>
        <v>11</v>
      </c>
      <c r="T251" s="61" t="str">
        <f t="shared" si="3"/>
        <v>2023-Q4</v>
      </c>
      <c r="U251" s="63" t="str">
        <f t="shared" si="4"/>
        <v>2023-11</v>
      </c>
      <c r="V251" s="64" t="str">
        <f t="shared" si="5"/>
        <v>2023-H2</v>
      </c>
      <c r="W251" s="32"/>
      <c r="X251" s="32"/>
    </row>
    <row r="252">
      <c r="A252" s="77">
        <f>HYPERLINK("https://polkadot.subsquare.io/referenda/250", 250)</f>
        <v>250</v>
      </c>
      <c r="B252" s="40" t="s">
        <v>1983</v>
      </c>
      <c r="C252" s="40" t="s">
        <v>1851</v>
      </c>
      <c r="D252" s="78">
        <v>0.0</v>
      </c>
      <c r="E252" s="79">
        <v>0.0</v>
      </c>
      <c r="F252" s="40" t="s">
        <v>1853</v>
      </c>
      <c r="G252" s="78">
        <v>6960541.497850952</v>
      </c>
      <c r="H252" s="78">
        <v>6056471.904557891</v>
      </c>
      <c r="I252" s="80">
        <v>45239.0</v>
      </c>
      <c r="J252" s="80">
        <v>45266.0</v>
      </c>
      <c r="K252" s="79">
        <v>0.0</v>
      </c>
      <c r="L252" s="81" t="s">
        <v>90</v>
      </c>
      <c r="M252" s="81" t="s">
        <v>90</v>
      </c>
      <c r="N252" s="86"/>
      <c r="O252" s="61" t="s">
        <v>1881</v>
      </c>
      <c r="P252" s="61" t="s">
        <v>1881</v>
      </c>
      <c r="Q252" s="61"/>
      <c r="R252" s="61" t="str">
        <f t="shared" si="1"/>
        <v>2023</v>
      </c>
      <c r="S252" s="62">
        <f t="shared" si="2"/>
        <v>12</v>
      </c>
      <c r="T252" s="61" t="str">
        <f t="shared" si="3"/>
        <v>2023-Q4</v>
      </c>
      <c r="U252" s="63" t="str">
        <f t="shared" si="4"/>
        <v>2023-12</v>
      </c>
      <c r="V252" s="64" t="str">
        <f t="shared" si="5"/>
        <v>2023-H2</v>
      </c>
      <c r="W252" s="32"/>
      <c r="X252" s="32"/>
    </row>
    <row r="253">
      <c r="A253" s="77">
        <f>HYPERLINK("https://polkadot.subsquare.io/referenda/251", 251)</f>
        <v>251</v>
      </c>
      <c r="B253" s="40" t="s">
        <v>1984</v>
      </c>
      <c r="C253" s="40" t="s">
        <v>1846</v>
      </c>
      <c r="D253" s="78">
        <v>17765.0</v>
      </c>
      <c r="E253" s="79">
        <v>101400.66644906998</v>
      </c>
      <c r="F253" s="40" t="s">
        <v>1853</v>
      </c>
      <c r="G253" s="78">
        <v>16033.3</v>
      </c>
      <c r="H253" s="78">
        <v>1.2796975256897751E7</v>
      </c>
      <c r="I253" s="80">
        <v>45239.0</v>
      </c>
      <c r="J253" s="80">
        <v>45267.0</v>
      </c>
      <c r="K253" s="79">
        <v>130423.0824637413</v>
      </c>
      <c r="L253" s="70" t="s">
        <v>90</v>
      </c>
      <c r="M253" s="70" t="s">
        <v>90</v>
      </c>
      <c r="N253" s="61"/>
      <c r="O253" s="86"/>
      <c r="P253" s="86"/>
      <c r="Q253" s="86"/>
      <c r="R253" s="61" t="str">
        <f t="shared" si="1"/>
        <v>2023</v>
      </c>
      <c r="S253" s="62">
        <f t="shared" si="2"/>
        <v>12</v>
      </c>
      <c r="T253" s="61" t="str">
        <f t="shared" si="3"/>
        <v>2023-Q4</v>
      </c>
      <c r="U253" s="63" t="str">
        <f t="shared" si="4"/>
        <v>2023-12</v>
      </c>
      <c r="V253" s="64" t="str">
        <f t="shared" si="5"/>
        <v>2023-H2</v>
      </c>
      <c r="W253" s="32"/>
      <c r="X253" s="32"/>
    </row>
    <row r="254">
      <c r="A254" s="77">
        <f>HYPERLINK("https://polkadot.subsquare.io/referenda/252", 252)</f>
        <v>252</v>
      </c>
      <c r="B254" s="40" t="s">
        <v>1985</v>
      </c>
      <c r="C254" s="40" t="s">
        <v>1846</v>
      </c>
      <c r="D254" s="78">
        <v>0.0</v>
      </c>
      <c r="E254" s="79">
        <v>0.0</v>
      </c>
      <c r="F254" s="40" t="s">
        <v>1848</v>
      </c>
      <c r="G254" s="78">
        <v>25152.4251194975</v>
      </c>
      <c r="H254" s="78">
        <v>1.2402330771805251E7</v>
      </c>
      <c r="I254" s="80">
        <v>45239.0</v>
      </c>
      <c r="J254" s="80">
        <v>45268.0</v>
      </c>
      <c r="K254" s="79">
        <v>0.0</v>
      </c>
      <c r="L254" s="81" t="s">
        <v>90</v>
      </c>
      <c r="M254" s="81" t="s">
        <v>90</v>
      </c>
      <c r="N254" s="86"/>
      <c r="O254" s="61"/>
      <c r="P254" s="61"/>
      <c r="Q254" s="61"/>
      <c r="R254" s="61" t="str">
        <f t="shared" si="1"/>
        <v>2023</v>
      </c>
      <c r="S254" s="62">
        <f t="shared" si="2"/>
        <v>12</v>
      </c>
      <c r="T254" s="61" t="str">
        <f t="shared" si="3"/>
        <v>2023-Q4</v>
      </c>
      <c r="U254" s="63" t="str">
        <f t="shared" si="4"/>
        <v>2023-12</v>
      </c>
      <c r="V254" s="64" t="str">
        <f t="shared" si="5"/>
        <v>2023-H2</v>
      </c>
      <c r="W254" s="32"/>
      <c r="X254" s="32"/>
    </row>
    <row r="255">
      <c r="A255" s="77">
        <f>HYPERLINK("https://polkadot.subsquare.io/referenda/253", 253)</f>
        <v>253</v>
      </c>
      <c r="B255" s="40" t="s">
        <v>1986</v>
      </c>
      <c r="C255" s="40" t="s">
        <v>1846</v>
      </c>
      <c r="D255" s="78">
        <v>240.0</v>
      </c>
      <c r="E255" s="79">
        <v>1369.8936080932617</v>
      </c>
      <c r="F255" s="40" t="s">
        <v>982</v>
      </c>
      <c r="G255" s="78">
        <v>117996.6605492723</v>
      </c>
      <c r="H255" s="78">
        <v>4235390.459433627</v>
      </c>
      <c r="I255" s="80">
        <v>45239.0</v>
      </c>
      <c r="J255" s="80">
        <v>45246.0</v>
      </c>
      <c r="K255" s="79">
        <v>1306.6195678710938</v>
      </c>
      <c r="L255" s="70" t="s">
        <v>90</v>
      </c>
      <c r="M255" s="70" t="s">
        <v>90</v>
      </c>
      <c r="N255" s="61"/>
      <c r="O255" s="86"/>
      <c r="P255" s="86"/>
      <c r="Q255" s="86"/>
      <c r="R255" s="61" t="str">
        <f t="shared" si="1"/>
        <v>2023</v>
      </c>
      <c r="S255" s="62">
        <f t="shared" si="2"/>
        <v>11</v>
      </c>
      <c r="T255" s="61" t="str">
        <f t="shared" si="3"/>
        <v>2023-Q4</v>
      </c>
      <c r="U255" s="63" t="str">
        <f t="shared" si="4"/>
        <v>2023-11</v>
      </c>
      <c r="V255" s="64" t="str">
        <f t="shared" si="5"/>
        <v>2023-H2</v>
      </c>
      <c r="W255" s="32"/>
      <c r="X255" s="32"/>
    </row>
    <row r="256">
      <c r="A256" s="77">
        <f>HYPERLINK("https://polkadot.subsquare.io/referenda/254", 254)</f>
        <v>254</v>
      </c>
      <c r="B256" s="40" t="s">
        <v>1987</v>
      </c>
      <c r="C256" s="40" t="s">
        <v>1846</v>
      </c>
      <c r="D256" s="78">
        <v>4351.0</v>
      </c>
      <c r="E256" s="79">
        <v>24835.02953672409</v>
      </c>
      <c r="F256" s="40" t="s">
        <v>1848</v>
      </c>
      <c r="G256" s="78">
        <v>134664.2983679656</v>
      </c>
      <c r="H256" s="78">
        <v>1.28009436881704E7</v>
      </c>
      <c r="I256" s="80">
        <v>45239.0</v>
      </c>
      <c r="J256" s="80">
        <v>45268.0</v>
      </c>
      <c r="K256" s="79">
        <v>31943.193459033966</v>
      </c>
      <c r="L256" s="81" t="s">
        <v>90</v>
      </c>
      <c r="M256" s="81" t="s">
        <v>90</v>
      </c>
      <c r="N256" s="86"/>
      <c r="O256" s="61"/>
      <c r="P256" s="61"/>
      <c r="Q256" s="61"/>
      <c r="R256" s="61" t="str">
        <f t="shared" si="1"/>
        <v>2023</v>
      </c>
      <c r="S256" s="62">
        <f t="shared" si="2"/>
        <v>12</v>
      </c>
      <c r="T256" s="61" t="str">
        <f t="shared" si="3"/>
        <v>2023-Q4</v>
      </c>
      <c r="U256" s="63" t="str">
        <f t="shared" si="4"/>
        <v>2023-12</v>
      </c>
      <c r="V256" s="64" t="str">
        <f t="shared" si="5"/>
        <v>2023-H2</v>
      </c>
      <c r="W256" s="32"/>
      <c r="X256" s="32"/>
    </row>
    <row r="257">
      <c r="A257" s="77">
        <f>HYPERLINK("https://polkadot.subsquare.io/referenda/255", 255)</f>
        <v>255</v>
      </c>
      <c r="B257" s="40" t="s">
        <v>1070</v>
      </c>
      <c r="C257" s="40" t="s">
        <v>1851</v>
      </c>
      <c r="D257" s="78">
        <v>21219.12</v>
      </c>
      <c r="E257" s="79">
        <v>113912.04795364379</v>
      </c>
      <c r="F257" s="40" t="s">
        <v>1853</v>
      </c>
      <c r="G257" s="78">
        <v>3.082788707886366E7</v>
      </c>
      <c r="H257" s="78">
        <v>1.3674840009084048E7</v>
      </c>
      <c r="I257" s="80">
        <v>45240.0</v>
      </c>
      <c r="J257" s="80">
        <v>45260.0</v>
      </c>
      <c r="K257" s="79">
        <v>118272.8529725647</v>
      </c>
      <c r="L257" s="70" t="s">
        <v>81</v>
      </c>
      <c r="M257" s="70" t="s">
        <v>89</v>
      </c>
      <c r="N257" s="61"/>
      <c r="O257" s="86"/>
      <c r="P257" s="86"/>
      <c r="Q257" s="86"/>
      <c r="R257" s="61" t="str">
        <f t="shared" si="1"/>
        <v>2023</v>
      </c>
      <c r="S257" s="62">
        <f t="shared" si="2"/>
        <v>11</v>
      </c>
      <c r="T257" s="61" t="str">
        <f t="shared" si="3"/>
        <v>2023-Q4</v>
      </c>
      <c r="U257" s="63" t="str">
        <f t="shared" si="4"/>
        <v>2023-11</v>
      </c>
      <c r="V257" s="64" t="str">
        <f t="shared" si="5"/>
        <v>2023-H2</v>
      </c>
      <c r="W257" s="32"/>
      <c r="X257" s="32"/>
    </row>
    <row r="258">
      <c r="A258" s="77">
        <f>HYPERLINK("https://polkadot.subsquare.io/referenda/256", 256)</f>
        <v>256</v>
      </c>
      <c r="B258" s="40" t="s">
        <v>1988</v>
      </c>
      <c r="C258" s="40" t="s">
        <v>1846</v>
      </c>
      <c r="D258" s="78">
        <v>5304.73</v>
      </c>
      <c r="E258" s="79">
        <v>28477.743570003506</v>
      </c>
      <c r="F258" s="40" t="s">
        <v>1848</v>
      </c>
      <c r="G258" s="78">
        <v>3.0405853046075806E7</v>
      </c>
      <c r="H258" s="78">
        <v>4.958257608666941E7</v>
      </c>
      <c r="I258" s="80">
        <v>45240.0</v>
      </c>
      <c r="J258" s="80">
        <v>45268.0</v>
      </c>
      <c r="K258" s="79">
        <v>35577.21670865535</v>
      </c>
      <c r="L258" s="81" t="s">
        <v>90</v>
      </c>
      <c r="M258" s="81" t="s">
        <v>90</v>
      </c>
      <c r="N258" s="86"/>
      <c r="O258" s="61"/>
      <c r="P258" s="61"/>
      <c r="Q258" s="61"/>
      <c r="R258" s="61" t="str">
        <f t="shared" si="1"/>
        <v>2023</v>
      </c>
      <c r="S258" s="62">
        <f t="shared" si="2"/>
        <v>12</v>
      </c>
      <c r="T258" s="61" t="str">
        <f t="shared" si="3"/>
        <v>2023-Q4</v>
      </c>
      <c r="U258" s="63" t="str">
        <f t="shared" si="4"/>
        <v>2023-12</v>
      </c>
      <c r="V258" s="64" t="str">
        <f t="shared" si="5"/>
        <v>2023-H2</v>
      </c>
      <c r="W258" s="32"/>
      <c r="X258" s="32"/>
    </row>
    <row r="259">
      <c r="A259" s="77">
        <f>HYPERLINK("https://polkadot.subsquare.io/referenda/257", 257)</f>
        <v>257</v>
      </c>
      <c r="B259" s="40" t="s">
        <v>1989</v>
      </c>
      <c r="C259" s="40" t="s">
        <v>1846</v>
      </c>
      <c r="D259" s="78">
        <v>5000.0</v>
      </c>
      <c r="E259" s="79">
        <v>26841.840744018555</v>
      </c>
      <c r="F259" s="40" t="s">
        <v>1848</v>
      </c>
      <c r="G259" s="78">
        <v>0.0</v>
      </c>
      <c r="H259" s="78">
        <v>4.968111951148787E7</v>
      </c>
      <c r="I259" s="80">
        <v>45241.0</v>
      </c>
      <c r="J259" s="80">
        <v>45269.0</v>
      </c>
      <c r="K259" s="79">
        <v>35618.89410018921</v>
      </c>
      <c r="L259" s="70" t="s">
        <v>90</v>
      </c>
      <c r="M259" s="70" t="s">
        <v>90</v>
      </c>
      <c r="N259" s="61"/>
      <c r="O259" s="86"/>
      <c r="P259" s="86"/>
      <c r="Q259" s="86"/>
      <c r="R259" s="61" t="str">
        <f t="shared" si="1"/>
        <v>2023</v>
      </c>
      <c r="S259" s="62">
        <f t="shared" si="2"/>
        <v>12</v>
      </c>
      <c r="T259" s="61" t="str">
        <f t="shared" si="3"/>
        <v>2023-Q4</v>
      </c>
      <c r="U259" s="63" t="str">
        <f t="shared" si="4"/>
        <v>2023-12</v>
      </c>
      <c r="V259" s="64" t="str">
        <f t="shared" si="5"/>
        <v>2023-H2</v>
      </c>
      <c r="W259" s="32"/>
      <c r="X259" s="32"/>
    </row>
    <row r="260">
      <c r="A260" s="77">
        <f>HYPERLINK("https://polkadot.subsquare.io/referenda/258", 258)</f>
        <v>258</v>
      </c>
      <c r="B260" s="40" t="s">
        <v>1071</v>
      </c>
      <c r="C260" s="40" t="s">
        <v>1851</v>
      </c>
      <c r="D260" s="78">
        <v>310.02</v>
      </c>
      <c r="E260" s="79">
        <v>1612.9493752384185</v>
      </c>
      <c r="F260" s="40" t="s">
        <v>1869</v>
      </c>
      <c r="G260" s="78">
        <v>3.0009445E7</v>
      </c>
      <c r="H260" s="78">
        <v>1729854.4601754772</v>
      </c>
      <c r="I260" s="80">
        <v>45241.0</v>
      </c>
      <c r="J260" s="80">
        <v>45245.0</v>
      </c>
      <c r="K260" s="79">
        <v>1625.1878471088407</v>
      </c>
      <c r="L260" s="81" t="s">
        <v>81</v>
      </c>
      <c r="M260" s="81" t="s">
        <v>89</v>
      </c>
      <c r="N260" s="86"/>
      <c r="O260" s="61"/>
      <c r="P260" s="61"/>
      <c r="Q260" s="61"/>
      <c r="R260" s="61" t="str">
        <f t="shared" si="1"/>
        <v>2023</v>
      </c>
      <c r="S260" s="62">
        <f t="shared" si="2"/>
        <v>11</v>
      </c>
      <c r="T260" s="61" t="str">
        <f t="shared" si="3"/>
        <v>2023-Q4</v>
      </c>
      <c r="U260" s="63" t="str">
        <f t="shared" si="4"/>
        <v>2023-11</v>
      </c>
      <c r="V260" s="64" t="str">
        <f t="shared" si="5"/>
        <v>2023-H2</v>
      </c>
      <c r="W260" s="32"/>
      <c r="X260" s="32"/>
    </row>
    <row r="261">
      <c r="A261" s="77">
        <f>HYPERLINK("https://polkadot.subsquare.io/referenda/259", 259)</f>
        <v>259</v>
      </c>
      <c r="B261" s="40" t="s">
        <v>1072</v>
      </c>
      <c r="C261" s="40" t="s">
        <v>1851</v>
      </c>
      <c r="D261" s="78">
        <v>1000.0</v>
      </c>
      <c r="E261" s="79">
        <v>5202.7268409729</v>
      </c>
      <c r="F261" s="40" t="s">
        <v>1869</v>
      </c>
      <c r="G261" s="78">
        <v>3.000600001E7</v>
      </c>
      <c r="H261" s="78">
        <v>5235595.222410884</v>
      </c>
      <c r="I261" s="80">
        <v>45241.0</v>
      </c>
      <c r="J261" s="80">
        <v>45245.0</v>
      </c>
      <c r="K261" s="79">
        <v>5242.203235626221</v>
      </c>
      <c r="L261" s="70" t="s">
        <v>81</v>
      </c>
      <c r="M261" s="70" t="s">
        <v>89</v>
      </c>
      <c r="N261" s="61"/>
      <c r="O261" s="86"/>
      <c r="P261" s="86"/>
      <c r="Q261" s="86"/>
      <c r="R261" s="61" t="str">
        <f t="shared" si="1"/>
        <v>2023</v>
      </c>
      <c r="S261" s="62">
        <f t="shared" si="2"/>
        <v>11</v>
      </c>
      <c r="T261" s="61" t="str">
        <f t="shared" si="3"/>
        <v>2023-Q4</v>
      </c>
      <c r="U261" s="63" t="str">
        <f t="shared" si="4"/>
        <v>2023-11</v>
      </c>
      <c r="V261" s="64" t="str">
        <f t="shared" si="5"/>
        <v>2023-H2</v>
      </c>
      <c r="W261" s="32"/>
      <c r="X261" s="32"/>
    </row>
    <row r="262">
      <c r="A262" s="77">
        <f>HYPERLINK("https://polkadot.subsquare.io/referenda/260", 260)</f>
        <v>260</v>
      </c>
      <c r="B262" s="40" t="s">
        <v>1073</v>
      </c>
      <c r="C262" s="40" t="s">
        <v>1851</v>
      </c>
      <c r="D262" s="78">
        <v>21849.0</v>
      </c>
      <c r="E262" s="79">
        <v>121612.78387641907</v>
      </c>
      <c r="F262" s="40" t="s">
        <v>1853</v>
      </c>
      <c r="G262" s="78">
        <v>3.09119566222856E7</v>
      </c>
      <c r="H262" s="78">
        <v>7354478.307989768</v>
      </c>
      <c r="I262" s="80">
        <v>45242.0</v>
      </c>
      <c r="J262" s="80">
        <v>45262.0</v>
      </c>
      <c r="K262" s="79">
        <v>122929.61944913864</v>
      </c>
      <c r="L262" s="81" t="s">
        <v>81</v>
      </c>
      <c r="M262" s="81" t="s">
        <v>89</v>
      </c>
      <c r="N262" s="86"/>
      <c r="O262" s="61"/>
      <c r="P262" s="61"/>
      <c r="Q262" s="61"/>
      <c r="R262" s="61" t="str">
        <f t="shared" si="1"/>
        <v>2023</v>
      </c>
      <c r="S262" s="62">
        <f t="shared" si="2"/>
        <v>12</v>
      </c>
      <c r="T262" s="61" t="str">
        <f t="shared" si="3"/>
        <v>2023-Q4</v>
      </c>
      <c r="U262" s="63" t="str">
        <f t="shared" si="4"/>
        <v>2023-12</v>
      </c>
      <c r="V262" s="64" t="str">
        <f t="shared" si="5"/>
        <v>2023-H2</v>
      </c>
      <c r="W262" s="32"/>
      <c r="X262" s="32"/>
    </row>
    <row r="263">
      <c r="A263" s="77">
        <f>HYPERLINK("https://polkadot.subsquare.io/referenda/261", 261)</f>
        <v>261</v>
      </c>
      <c r="B263" s="40" t="s">
        <v>1074</v>
      </c>
      <c r="C263" s="40" t="s">
        <v>1851</v>
      </c>
      <c r="D263" s="78">
        <v>8000.0</v>
      </c>
      <c r="E263" s="79">
        <v>44528.45764160156</v>
      </c>
      <c r="F263" s="40" t="s">
        <v>1848</v>
      </c>
      <c r="G263" s="78">
        <v>3.0790426015789296E7</v>
      </c>
      <c r="H263" s="78">
        <v>1192044.9682169957</v>
      </c>
      <c r="I263" s="80">
        <v>45242.0</v>
      </c>
      <c r="J263" s="80">
        <v>45258.0</v>
      </c>
      <c r="K263" s="79">
        <v>43726.35269165039</v>
      </c>
      <c r="L263" s="70" t="s">
        <v>81</v>
      </c>
      <c r="M263" s="70" t="s">
        <v>89</v>
      </c>
      <c r="N263" s="61"/>
      <c r="O263" s="86"/>
      <c r="P263" s="86"/>
      <c r="Q263" s="86"/>
      <c r="R263" s="61" t="str">
        <f t="shared" si="1"/>
        <v>2023</v>
      </c>
      <c r="S263" s="62">
        <f t="shared" si="2"/>
        <v>11</v>
      </c>
      <c r="T263" s="61" t="str">
        <f t="shared" si="3"/>
        <v>2023-Q4</v>
      </c>
      <c r="U263" s="63" t="str">
        <f t="shared" si="4"/>
        <v>2023-11</v>
      </c>
      <c r="V263" s="64" t="str">
        <f t="shared" si="5"/>
        <v>2023-H2</v>
      </c>
      <c r="W263" s="32"/>
      <c r="X263" s="32"/>
    </row>
    <row r="264">
      <c r="A264" s="77">
        <f>HYPERLINK("https://polkadot.subsquare.io/referenda/262", 262)</f>
        <v>262</v>
      </c>
      <c r="B264" s="40" t="s">
        <v>1075</v>
      </c>
      <c r="C264" s="40" t="s">
        <v>1851</v>
      </c>
      <c r="D264" s="78">
        <v>905.66</v>
      </c>
      <c r="E264" s="79">
        <v>4852.908289670944</v>
      </c>
      <c r="F264" s="40" t="s">
        <v>1869</v>
      </c>
      <c r="G264" s="78">
        <v>3.378994176920147E7</v>
      </c>
      <c r="H264" s="78">
        <v>1284797.6662018285</v>
      </c>
      <c r="I264" s="80">
        <v>45243.0</v>
      </c>
      <c r="J264" s="80">
        <v>45245.0</v>
      </c>
      <c r="K264" s="79">
        <v>4792.046475591659</v>
      </c>
      <c r="L264" s="81" t="s">
        <v>81</v>
      </c>
      <c r="M264" s="81" t="s">
        <v>89</v>
      </c>
      <c r="N264" s="86"/>
      <c r="O264" s="61"/>
      <c r="P264" s="61"/>
      <c r="Q264" s="61"/>
      <c r="R264" s="61" t="str">
        <f t="shared" si="1"/>
        <v>2023</v>
      </c>
      <c r="S264" s="62">
        <f t="shared" si="2"/>
        <v>11</v>
      </c>
      <c r="T264" s="61" t="str">
        <f t="shared" si="3"/>
        <v>2023-Q4</v>
      </c>
      <c r="U264" s="63" t="str">
        <f t="shared" si="4"/>
        <v>2023-11</v>
      </c>
      <c r="V264" s="64" t="str">
        <f t="shared" si="5"/>
        <v>2023-H2</v>
      </c>
      <c r="W264" s="32"/>
      <c r="X264" s="32"/>
    </row>
    <row r="265">
      <c r="A265" s="77">
        <f>HYPERLINK("https://polkadot.subsquare.io/referenda/263", 263)</f>
        <v>263</v>
      </c>
      <c r="B265" s="40" t="s">
        <v>1076</v>
      </c>
      <c r="C265" s="40" t="s">
        <v>1851</v>
      </c>
      <c r="D265" s="78">
        <v>5000.0</v>
      </c>
      <c r="E265" s="79">
        <v>26792.10901260376</v>
      </c>
      <c r="F265" s="40" t="s">
        <v>1848</v>
      </c>
      <c r="G265" s="78">
        <v>3.0578919776982248E7</v>
      </c>
      <c r="H265" s="78">
        <v>2.8259576395204253E7</v>
      </c>
      <c r="I265" s="80">
        <v>45243.0</v>
      </c>
      <c r="J265" s="80">
        <v>45261.0</v>
      </c>
      <c r="K265" s="79">
        <v>28131.635189056396</v>
      </c>
      <c r="L265" s="70" t="s">
        <v>81</v>
      </c>
      <c r="M265" s="70" t="s">
        <v>89</v>
      </c>
      <c r="N265" s="61"/>
      <c r="O265" s="86"/>
      <c r="P265" s="86"/>
      <c r="Q265" s="86"/>
      <c r="R265" s="61" t="str">
        <f t="shared" si="1"/>
        <v>2023</v>
      </c>
      <c r="S265" s="62">
        <f t="shared" si="2"/>
        <v>12</v>
      </c>
      <c r="T265" s="61" t="str">
        <f t="shared" si="3"/>
        <v>2023-Q4</v>
      </c>
      <c r="U265" s="63" t="str">
        <f t="shared" si="4"/>
        <v>2023-12</v>
      </c>
      <c r="V265" s="64" t="str">
        <f t="shared" si="5"/>
        <v>2023-H2</v>
      </c>
      <c r="W265" s="32"/>
      <c r="X265" s="32"/>
    </row>
    <row r="266">
      <c r="A266" s="77">
        <f>HYPERLINK("https://polkadot.subsquare.io/referenda/264", 264)</f>
        <v>264</v>
      </c>
      <c r="B266" s="40" t="s">
        <v>1990</v>
      </c>
      <c r="C266" s="40" t="s">
        <v>1846</v>
      </c>
      <c r="D266" s="78">
        <v>1674.0</v>
      </c>
      <c r="E266" s="79">
        <v>8775.448216438293</v>
      </c>
      <c r="F266" s="40" t="s">
        <v>1848</v>
      </c>
      <c r="G266" s="78">
        <v>4.0095955500001E7</v>
      </c>
      <c r="H266" s="78">
        <v>4.710742690177693E7</v>
      </c>
      <c r="I266" s="80">
        <v>45244.0</v>
      </c>
      <c r="J266" s="80">
        <v>45272.0</v>
      </c>
      <c r="K266" s="79">
        <v>11645.587386131287</v>
      </c>
      <c r="L266" s="81" t="s">
        <v>90</v>
      </c>
      <c r="M266" s="81" t="s">
        <v>90</v>
      </c>
      <c r="N266" s="86"/>
      <c r="O266" s="61"/>
      <c r="P266" s="61"/>
      <c r="Q266" s="61"/>
      <c r="R266" s="61" t="str">
        <f t="shared" si="1"/>
        <v>2023</v>
      </c>
      <c r="S266" s="62">
        <f t="shared" si="2"/>
        <v>12</v>
      </c>
      <c r="T266" s="61" t="str">
        <f t="shared" si="3"/>
        <v>2023-Q4</v>
      </c>
      <c r="U266" s="63" t="str">
        <f t="shared" si="4"/>
        <v>2023-12</v>
      </c>
      <c r="V266" s="64" t="str">
        <f t="shared" si="5"/>
        <v>2023-H2</v>
      </c>
      <c r="W266" s="32"/>
      <c r="X266" s="32"/>
    </row>
    <row r="267">
      <c r="A267" s="77">
        <f>HYPERLINK("https://polkadot.subsquare.io/referenda/265", 265)</f>
        <v>265</v>
      </c>
      <c r="B267" s="40" t="s">
        <v>1991</v>
      </c>
      <c r="C267" s="40" t="s">
        <v>1968</v>
      </c>
      <c r="D267" s="78">
        <v>999999.0</v>
      </c>
      <c r="E267" s="79">
        <v>5242197.993422985</v>
      </c>
      <c r="F267" s="40" t="s">
        <v>1855</v>
      </c>
      <c r="G267" s="78">
        <v>3915480.7786718556</v>
      </c>
      <c r="H267" s="78">
        <v>1.2400499771810254E7</v>
      </c>
      <c r="I267" s="80">
        <v>45244.0</v>
      </c>
      <c r="J267" s="80">
        <v>45250.0</v>
      </c>
      <c r="K267" s="79">
        <v>5133632.7714829445</v>
      </c>
      <c r="L267" s="70" t="s">
        <v>90</v>
      </c>
      <c r="M267" s="70" t="s">
        <v>90</v>
      </c>
      <c r="N267" s="61"/>
      <c r="O267" s="86"/>
      <c r="P267" s="86"/>
      <c r="Q267" s="86"/>
      <c r="R267" s="61" t="str">
        <f t="shared" si="1"/>
        <v>2023</v>
      </c>
      <c r="S267" s="62">
        <f t="shared" si="2"/>
        <v>11</v>
      </c>
      <c r="T267" s="61" t="str">
        <f t="shared" si="3"/>
        <v>2023-Q4</v>
      </c>
      <c r="U267" s="63" t="str">
        <f t="shared" si="4"/>
        <v>2023-11</v>
      </c>
      <c r="V267" s="64" t="str">
        <f t="shared" si="5"/>
        <v>2023-H2</v>
      </c>
      <c r="W267" s="32"/>
      <c r="X267" s="32"/>
    </row>
    <row r="268">
      <c r="A268" s="77">
        <f>HYPERLINK("https://polkadot.subsquare.io/referenda/266", 266)</f>
        <v>266</v>
      </c>
      <c r="B268" s="40" t="s">
        <v>1992</v>
      </c>
      <c r="C268" s="40" t="s">
        <v>1851</v>
      </c>
      <c r="D268" s="78">
        <v>0.0</v>
      </c>
      <c r="E268" s="79">
        <v>0.0</v>
      </c>
      <c r="F268" s="40" t="s">
        <v>1970</v>
      </c>
      <c r="G268" s="78">
        <v>8388366.351820052</v>
      </c>
      <c r="H268" s="78">
        <v>9135.0</v>
      </c>
      <c r="I268" s="80">
        <v>45245.0</v>
      </c>
      <c r="J268" s="80">
        <v>45250.0</v>
      </c>
      <c r="K268" s="79">
        <v>0.0</v>
      </c>
      <c r="L268" s="81" t="s">
        <v>90</v>
      </c>
      <c r="M268" s="81" t="s">
        <v>90</v>
      </c>
      <c r="N268" s="86"/>
      <c r="O268" s="61"/>
      <c r="P268" s="61"/>
      <c r="Q268" s="61"/>
      <c r="R268" s="61" t="str">
        <f t="shared" si="1"/>
        <v>2023</v>
      </c>
      <c r="S268" s="62">
        <f t="shared" si="2"/>
        <v>11</v>
      </c>
      <c r="T268" s="61" t="str">
        <f t="shared" si="3"/>
        <v>2023-Q4</v>
      </c>
      <c r="U268" s="63" t="str">
        <f t="shared" si="4"/>
        <v>2023-11</v>
      </c>
      <c r="V268" s="64" t="str">
        <f t="shared" si="5"/>
        <v>2023-H2</v>
      </c>
      <c r="W268" s="32"/>
      <c r="X268" s="32"/>
    </row>
    <row r="269">
      <c r="A269" s="77">
        <f>HYPERLINK("https://polkadot.subsquare.io/referenda/267", 267)</f>
        <v>267</v>
      </c>
      <c r="B269" s="40" t="s">
        <v>1077</v>
      </c>
      <c r="C269" s="40" t="s">
        <v>1851</v>
      </c>
      <c r="D269" s="78">
        <v>120.0</v>
      </c>
      <c r="E269" s="79">
        <v>634.9464225769043</v>
      </c>
      <c r="F269" s="40" t="s">
        <v>982</v>
      </c>
      <c r="G269" s="78">
        <v>2776898.2918266035</v>
      </c>
      <c r="H269" s="78">
        <v>1247495.0517497743</v>
      </c>
      <c r="I269" s="80">
        <v>45245.0</v>
      </c>
      <c r="J269" s="80">
        <v>45252.0</v>
      </c>
      <c r="K269" s="79">
        <v>639.6103477478027</v>
      </c>
      <c r="L269" s="70" t="s">
        <v>81</v>
      </c>
      <c r="M269" s="70" t="s">
        <v>89</v>
      </c>
      <c r="N269" s="61"/>
      <c r="O269" s="86"/>
      <c r="P269" s="86"/>
      <c r="Q269" s="86"/>
      <c r="R269" s="61" t="str">
        <f t="shared" si="1"/>
        <v>2023</v>
      </c>
      <c r="S269" s="62">
        <f t="shared" si="2"/>
        <v>11</v>
      </c>
      <c r="T269" s="61" t="str">
        <f t="shared" si="3"/>
        <v>2023-Q4</v>
      </c>
      <c r="U269" s="63" t="str">
        <f t="shared" si="4"/>
        <v>2023-11</v>
      </c>
      <c r="V269" s="64" t="str">
        <f t="shared" si="5"/>
        <v>2023-H2</v>
      </c>
      <c r="W269" s="32"/>
      <c r="X269" s="32"/>
    </row>
    <row r="270">
      <c r="A270" s="77">
        <f>HYPERLINK("https://polkadot.subsquare.io/referenda/268", 268)</f>
        <v>268</v>
      </c>
      <c r="B270" s="40" t="s">
        <v>1993</v>
      </c>
      <c r="C270" s="40" t="s">
        <v>1851</v>
      </c>
      <c r="D270" s="78">
        <v>0.0</v>
      </c>
      <c r="E270" s="79">
        <v>0.0</v>
      </c>
      <c r="F270" s="40" t="s">
        <v>1852</v>
      </c>
      <c r="G270" s="78">
        <v>1.0201382906180096E8</v>
      </c>
      <c r="H270" s="78">
        <v>0.0</v>
      </c>
      <c r="I270" s="80">
        <v>45245.0</v>
      </c>
      <c r="J270" s="80">
        <v>45259.0</v>
      </c>
      <c r="K270" s="79">
        <v>0.0</v>
      </c>
      <c r="L270" s="81" t="s">
        <v>90</v>
      </c>
      <c r="M270" s="81" t="s">
        <v>90</v>
      </c>
      <c r="N270" s="86"/>
      <c r="O270" s="61"/>
      <c r="P270" s="61"/>
      <c r="Q270" s="61"/>
      <c r="R270" s="61" t="str">
        <f t="shared" si="1"/>
        <v>2023</v>
      </c>
      <c r="S270" s="62">
        <f t="shared" si="2"/>
        <v>11</v>
      </c>
      <c r="T270" s="61" t="str">
        <f t="shared" si="3"/>
        <v>2023-Q4</v>
      </c>
      <c r="U270" s="63" t="str">
        <f t="shared" si="4"/>
        <v>2023-11</v>
      </c>
      <c r="V270" s="64" t="str">
        <f t="shared" si="5"/>
        <v>2023-H2</v>
      </c>
      <c r="W270" s="32"/>
      <c r="X270" s="32"/>
    </row>
    <row r="271">
      <c r="A271" s="77">
        <f>HYPERLINK("https://polkadot.subsquare.io/referenda/269", 269)</f>
        <v>269</v>
      </c>
      <c r="B271" s="40" t="s">
        <v>1078</v>
      </c>
      <c r="C271" s="40" t="s">
        <v>1851</v>
      </c>
      <c r="D271" s="78">
        <v>632.18</v>
      </c>
      <c r="E271" s="79">
        <v>3345.0035785388945</v>
      </c>
      <c r="F271" s="40" t="s">
        <v>1869</v>
      </c>
      <c r="G271" s="78">
        <v>4.015662752277223E7</v>
      </c>
      <c r="H271" s="78">
        <v>2.8399895388290156E7</v>
      </c>
      <c r="I271" s="80">
        <v>45245.0</v>
      </c>
      <c r="J271" s="80">
        <v>45252.0</v>
      </c>
      <c r="K271" s="79">
        <v>3369.573913660049</v>
      </c>
      <c r="L271" s="70" t="s">
        <v>81</v>
      </c>
      <c r="M271" s="70" t="s">
        <v>89</v>
      </c>
      <c r="N271" s="61"/>
      <c r="O271" s="86"/>
      <c r="P271" s="86"/>
      <c r="Q271" s="86"/>
      <c r="R271" s="61" t="str">
        <f t="shared" si="1"/>
        <v>2023</v>
      </c>
      <c r="S271" s="62">
        <f t="shared" si="2"/>
        <v>11</v>
      </c>
      <c r="T271" s="61" t="str">
        <f t="shared" si="3"/>
        <v>2023-Q4</v>
      </c>
      <c r="U271" s="63" t="str">
        <f t="shared" si="4"/>
        <v>2023-11</v>
      </c>
      <c r="V271" s="64" t="str">
        <f t="shared" si="5"/>
        <v>2023-H2</v>
      </c>
      <c r="W271" s="32"/>
      <c r="X271" s="32"/>
    </row>
    <row r="272">
      <c r="A272" s="77">
        <f>HYPERLINK("https://polkadot.subsquare.io/referenda/270", 270)</f>
        <v>270</v>
      </c>
      <c r="B272" s="40" t="s">
        <v>1994</v>
      </c>
      <c r="C272" s="40" t="s">
        <v>1846</v>
      </c>
      <c r="D272" s="78">
        <v>3266.28</v>
      </c>
      <c r="E272" s="79">
        <v>17282.60667612076</v>
      </c>
      <c r="F272" s="40" t="s">
        <v>1848</v>
      </c>
      <c r="G272" s="78">
        <v>4.00292686E7</v>
      </c>
      <c r="H272" s="78">
        <v>5.195158233001553E7</v>
      </c>
      <c r="I272" s="80">
        <v>45245.0</v>
      </c>
      <c r="J272" s="80">
        <v>45274.0</v>
      </c>
      <c r="K272" s="79">
        <v>23144.556258544922</v>
      </c>
      <c r="L272" s="81" t="s">
        <v>90</v>
      </c>
      <c r="M272" s="81" t="s">
        <v>90</v>
      </c>
      <c r="N272" s="86"/>
      <c r="O272" s="61"/>
      <c r="P272" s="61"/>
      <c r="Q272" s="61"/>
      <c r="R272" s="61" t="str">
        <f t="shared" si="1"/>
        <v>2023</v>
      </c>
      <c r="S272" s="62">
        <f t="shared" si="2"/>
        <v>12</v>
      </c>
      <c r="T272" s="61" t="str">
        <f t="shared" si="3"/>
        <v>2023-Q4</v>
      </c>
      <c r="U272" s="63" t="str">
        <f t="shared" si="4"/>
        <v>2023-12</v>
      </c>
      <c r="V272" s="64" t="str">
        <f t="shared" si="5"/>
        <v>2023-H2</v>
      </c>
      <c r="W272" s="32"/>
      <c r="X272" s="32"/>
    </row>
    <row r="273">
      <c r="A273" s="77">
        <f>HYPERLINK("https://polkadot.subsquare.io/referenda/271", 271)</f>
        <v>271</v>
      </c>
      <c r="B273" s="40" t="s">
        <v>1079</v>
      </c>
      <c r="C273" s="40" t="s">
        <v>1851</v>
      </c>
      <c r="D273" s="78">
        <v>4700.0</v>
      </c>
      <c r="E273" s="79">
        <v>24868.734884262085</v>
      </c>
      <c r="F273" s="40" t="s">
        <v>1848</v>
      </c>
      <c r="G273" s="78">
        <v>4.2846134456303306E7</v>
      </c>
      <c r="H273" s="78">
        <v>2.617005792020953E7</v>
      </c>
      <c r="I273" s="80">
        <v>45246.0</v>
      </c>
      <c r="J273" s="80">
        <v>45264.0</v>
      </c>
      <c r="K273" s="79">
        <v>28403.631734848022</v>
      </c>
      <c r="L273" s="70" t="s">
        <v>81</v>
      </c>
      <c r="M273" s="70" t="s">
        <v>89</v>
      </c>
      <c r="N273" s="61"/>
      <c r="O273" s="86"/>
      <c r="P273" s="86"/>
      <c r="Q273" s="86"/>
      <c r="R273" s="61" t="str">
        <f t="shared" si="1"/>
        <v>2023</v>
      </c>
      <c r="S273" s="62">
        <f t="shared" si="2"/>
        <v>12</v>
      </c>
      <c r="T273" s="61" t="str">
        <f t="shared" si="3"/>
        <v>2023-Q4</v>
      </c>
      <c r="U273" s="63" t="str">
        <f t="shared" si="4"/>
        <v>2023-12</v>
      </c>
      <c r="V273" s="64" t="str">
        <f t="shared" si="5"/>
        <v>2023-H2</v>
      </c>
      <c r="W273" s="32"/>
      <c r="X273" s="32"/>
    </row>
    <row r="274">
      <c r="A274" s="77">
        <f>HYPERLINK("https://polkadot.subsquare.io/referenda/272", 272)</f>
        <v>272</v>
      </c>
      <c r="B274" s="40" t="s">
        <v>1995</v>
      </c>
      <c r="C274" s="40" t="s">
        <v>1846</v>
      </c>
      <c r="D274" s="78">
        <v>2107.27</v>
      </c>
      <c r="E274" s="79">
        <v>11472.500903282165</v>
      </c>
      <c r="F274" s="40" t="s">
        <v>1848</v>
      </c>
      <c r="G274" s="78">
        <v>4.008488575168E7</v>
      </c>
      <c r="H274" s="78">
        <v>5.238445068349452E7</v>
      </c>
      <c r="I274" s="80">
        <v>45247.0</v>
      </c>
      <c r="J274" s="80">
        <v>45275.0</v>
      </c>
      <c r="K274" s="79">
        <v>14489.015617222785</v>
      </c>
      <c r="L274" s="81" t="s">
        <v>90</v>
      </c>
      <c r="M274" s="81" t="s">
        <v>90</v>
      </c>
      <c r="N274" s="86"/>
      <c r="O274" s="61"/>
      <c r="P274" s="61"/>
      <c r="Q274" s="61"/>
      <c r="R274" s="61" t="str">
        <f t="shared" si="1"/>
        <v>2023</v>
      </c>
      <c r="S274" s="62">
        <f t="shared" si="2"/>
        <v>12</v>
      </c>
      <c r="T274" s="61" t="str">
        <f t="shared" si="3"/>
        <v>2023-Q4</v>
      </c>
      <c r="U274" s="63" t="str">
        <f t="shared" si="4"/>
        <v>2023-12</v>
      </c>
      <c r="V274" s="64" t="str">
        <f t="shared" si="5"/>
        <v>2023-H2</v>
      </c>
      <c r="W274" s="32"/>
      <c r="X274" s="32"/>
    </row>
    <row r="275">
      <c r="A275" s="77">
        <f>HYPERLINK("https://polkadot.subsquare.io/referenda/273", 273)</f>
        <v>273</v>
      </c>
      <c r="B275" s="40" t="s">
        <v>1996</v>
      </c>
      <c r="C275" s="40" t="s">
        <v>1846</v>
      </c>
      <c r="D275" s="78">
        <v>3160.91</v>
      </c>
      <c r="E275" s="79">
        <v>16767.356404628754</v>
      </c>
      <c r="F275" s="40" t="s">
        <v>1848</v>
      </c>
      <c r="G275" s="78">
        <v>19054.0</v>
      </c>
      <c r="H275" s="78">
        <v>3.3114145150339477E7</v>
      </c>
      <c r="I275" s="80">
        <v>45247.0</v>
      </c>
      <c r="J275" s="80">
        <v>45275.0</v>
      </c>
      <c r="K275" s="79">
        <v>21733.55780447483</v>
      </c>
      <c r="L275" s="70" t="s">
        <v>90</v>
      </c>
      <c r="M275" s="70" t="s">
        <v>90</v>
      </c>
      <c r="N275" s="61"/>
      <c r="O275" s="86"/>
      <c r="P275" s="86"/>
      <c r="Q275" s="86"/>
      <c r="R275" s="61" t="str">
        <f t="shared" si="1"/>
        <v>2023</v>
      </c>
      <c r="S275" s="62">
        <f t="shared" si="2"/>
        <v>12</v>
      </c>
      <c r="T275" s="61" t="str">
        <f t="shared" si="3"/>
        <v>2023-Q4</v>
      </c>
      <c r="U275" s="63" t="str">
        <f t="shared" si="4"/>
        <v>2023-12</v>
      </c>
      <c r="V275" s="64" t="str">
        <f t="shared" si="5"/>
        <v>2023-H2</v>
      </c>
      <c r="W275" s="32"/>
      <c r="X275" s="32"/>
    </row>
    <row r="276">
      <c r="A276" s="77">
        <f>HYPERLINK("https://polkadot.subsquare.io/referenda/274", 274)</f>
        <v>274</v>
      </c>
      <c r="B276" s="40" t="s">
        <v>1997</v>
      </c>
      <c r="C276" s="40" t="s">
        <v>1861</v>
      </c>
      <c r="D276" s="78">
        <v>1661.0</v>
      </c>
      <c r="E276" s="79">
        <v>8810.937036514282</v>
      </c>
      <c r="F276" s="40" t="s">
        <v>1848</v>
      </c>
      <c r="G276" s="78">
        <v>12005.0</v>
      </c>
      <c r="H276" s="78">
        <v>4734227.804249804</v>
      </c>
      <c r="I276" s="80">
        <v>45247.0</v>
      </c>
      <c r="J276" s="80">
        <v>45261.0</v>
      </c>
      <c r="K276" s="79">
        <v>9345.329209804535</v>
      </c>
      <c r="L276" s="81" t="s">
        <v>90</v>
      </c>
      <c r="M276" s="81" t="s">
        <v>90</v>
      </c>
      <c r="N276" s="86"/>
      <c r="O276" s="61"/>
      <c r="P276" s="61"/>
      <c r="Q276" s="61"/>
      <c r="R276" s="61" t="str">
        <f t="shared" si="1"/>
        <v>2023</v>
      </c>
      <c r="S276" s="62">
        <f t="shared" si="2"/>
        <v>12</v>
      </c>
      <c r="T276" s="61" t="str">
        <f t="shared" si="3"/>
        <v>2023-Q4</v>
      </c>
      <c r="U276" s="63" t="str">
        <f t="shared" si="4"/>
        <v>2023-12</v>
      </c>
      <c r="V276" s="64" t="str">
        <f t="shared" si="5"/>
        <v>2023-H2</v>
      </c>
      <c r="W276" s="32"/>
      <c r="X276" s="32"/>
    </row>
    <row r="277">
      <c r="A277" s="77">
        <f>HYPERLINK("https://polkadot.subsquare.io/referenda/275", 275)</f>
        <v>275</v>
      </c>
      <c r="B277" s="40" t="s">
        <v>1998</v>
      </c>
      <c r="C277" s="40" t="s">
        <v>1846</v>
      </c>
      <c r="D277" s="78">
        <v>1628.0</v>
      </c>
      <c r="E277" s="79">
        <v>8635.885307312012</v>
      </c>
      <c r="F277" s="40" t="s">
        <v>1848</v>
      </c>
      <c r="G277" s="78">
        <v>4.008898921257388E7</v>
      </c>
      <c r="H277" s="78">
        <v>5.1742061852086164E7</v>
      </c>
      <c r="I277" s="80">
        <v>45247.0</v>
      </c>
      <c r="J277" s="80">
        <v>45275.0</v>
      </c>
      <c r="K277" s="79">
        <v>11193.685396194458</v>
      </c>
      <c r="L277" s="70" t="s">
        <v>90</v>
      </c>
      <c r="M277" s="70" t="s">
        <v>90</v>
      </c>
      <c r="N277" s="61"/>
      <c r="O277" s="86"/>
      <c r="P277" s="86"/>
      <c r="Q277" s="86"/>
      <c r="R277" s="61" t="str">
        <f t="shared" si="1"/>
        <v>2023</v>
      </c>
      <c r="S277" s="62">
        <f t="shared" si="2"/>
        <v>12</v>
      </c>
      <c r="T277" s="61" t="str">
        <f t="shared" si="3"/>
        <v>2023-Q4</v>
      </c>
      <c r="U277" s="63" t="str">
        <f t="shared" si="4"/>
        <v>2023-12</v>
      </c>
      <c r="V277" s="64" t="str">
        <f t="shared" si="5"/>
        <v>2023-H2</v>
      </c>
      <c r="W277" s="32"/>
      <c r="X277" s="32"/>
    </row>
    <row r="278">
      <c r="A278" s="77">
        <f>HYPERLINK("https://polkadot.subsquare.io/referenda/276", 276)</f>
        <v>276</v>
      </c>
      <c r="B278" s="40" t="s">
        <v>1999</v>
      </c>
      <c r="C278" s="40" t="s">
        <v>1861</v>
      </c>
      <c r="D278" s="78">
        <v>0.0</v>
      </c>
      <c r="E278" s="79">
        <v>0.0</v>
      </c>
      <c r="F278" s="40" t="s">
        <v>1848</v>
      </c>
      <c r="G278" s="78">
        <v>0.01</v>
      </c>
      <c r="H278" s="78">
        <v>1.0792321612293271E7</v>
      </c>
      <c r="I278" s="80">
        <v>45247.0</v>
      </c>
      <c r="J278" s="80">
        <v>45261.0</v>
      </c>
      <c r="K278" s="79">
        <v>0.0</v>
      </c>
      <c r="L278" s="81" t="s">
        <v>90</v>
      </c>
      <c r="M278" s="81" t="s">
        <v>90</v>
      </c>
      <c r="N278" s="86"/>
      <c r="O278" s="61"/>
      <c r="P278" s="61"/>
      <c r="Q278" s="61"/>
      <c r="R278" s="61" t="str">
        <f t="shared" si="1"/>
        <v>2023</v>
      </c>
      <c r="S278" s="62">
        <f t="shared" si="2"/>
        <v>12</v>
      </c>
      <c r="T278" s="61" t="str">
        <f t="shared" si="3"/>
        <v>2023-Q4</v>
      </c>
      <c r="U278" s="63" t="str">
        <f t="shared" si="4"/>
        <v>2023-12</v>
      </c>
      <c r="V278" s="64" t="str">
        <f t="shared" si="5"/>
        <v>2023-H2</v>
      </c>
      <c r="W278" s="32"/>
      <c r="X278" s="32"/>
    </row>
    <row r="279">
      <c r="A279" s="77">
        <f>HYPERLINK("https://polkadot.subsquare.io/referenda/277", 277)</f>
        <v>277</v>
      </c>
      <c r="B279" s="40" t="s">
        <v>2000</v>
      </c>
      <c r="C279" s="40" t="s">
        <v>1846</v>
      </c>
      <c r="D279" s="78">
        <v>498.3</v>
      </c>
      <c r="E279" s="79">
        <v>2643.281110954285</v>
      </c>
      <c r="F279" s="40" t="s">
        <v>1848</v>
      </c>
      <c r="G279" s="78">
        <v>4.00534141E7</v>
      </c>
      <c r="H279" s="78">
        <v>5.212347067856228E7</v>
      </c>
      <c r="I279" s="80">
        <v>45248.0</v>
      </c>
      <c r="J279" s="80">
        <v>45276.0</v>
      </c>
      <c r="K279" s="79">
        <v>3346.193638086319</v>
      </c>
      <c r="L279" s="70" t="s">
        <v>90</v>
      </c>
      <c r="M279" s="70" t="s">
        <v>90</v>
      </c>
      <c r="N279" s="61"/>
      <c r="O279" s="86"/>
      <c r="P279" s="86"/>
      <c r="Q279" s="86"/>
      <c r="R279" s="61" t="str">
        <f t="shared" si="1"/>
        <v>2023</v>
      </c>
      <c r="S279" s="62">
        <f t="shared" si="2"/>
        <v>12</v>
      </c>
      <c r="T279" s="61" t="str">
        <f t="shared" si="3"/>
        <v>2023-Q4</v>
      </c>
      <c r="U279" s="63" t="str">
        <f t="shared" si="4"/>
        <v>2023-12</v>
      </c>
      <c r="V279" s="64" t="str">
        <f t="shared" si="5"/>
        <v>2023-H2</v>
      </c>
      <c r="W279" s="32"/>
      <c r="X279" s="32"/>
    </row>
    <row r="280">
      <c r="A280" s="77">
        <f>HYPERLINK("https://polkadot.subsquare.io/referenda/278", 278)</f>
        <v>278</v>
      </c>
      <c r="B280" s="40" t="s">
        <v>2001</v>
      </c>
      <c r="C280" s="40" t="s">
        <v>1861</v>
      </c>
      <c r="D280" s="78">
        <v>0.0</v>
      </c>
      <c r="E280" s="79">
        <v>0.0</v>
      </c>
      <c r="F280" s="40" t="s">
        <v>1868</v>
      </c>
      <c r="G280" s="78">
        <v>354426.6326709574</v>
      </c>
      <c r="H280" s="78">
        <v>7723574.912385896</v>
      </c>
      <c r="I280" s="80">
        <v>45248.0</v>
      </c>
      <c r="J280" s="80">
        <v>45262.0</v>
      </c>
      <c r="K280" s="79">
        <v>0.0</v>
      </c>
      <c r="L280" s="81" t="s">
        <v>90</v>
      </c>
      <c r="M280" s="81" t="s">
        <v>90</v>
      </c>
      <c r="N280" s="86"/>
      <c r="O280" s="61"/>
      <c r="P280" s="61"/>
      <c r="Q280" s="61"/>
      <c r="R280" s="61" t="str">
        <f t="shared" si="1"/>
        <v>2023</v>
      </c>
      <c r="S280" s="62">
        <f t="shared" si="2"/>
        <v>12</v>
      </c>
      <c r="T280" s="61" t="str">
        <f t="shared" si="3"/>
        <v>2023-Q4</v>
      </c>
      <c r="U280" s="63" t="str">
        <f t="shared" si="4"/>
        <v>2023-12</v>
      </c>
      <c r="V280" s="64" t="str">
        <f t="shared" si="5"/>
        <v>2023-H2</v>
      </c>
      <c r="W280" s="32"/>
      <c r="X280" s="32"/>
    </row>
    <row r="281">
      <c r="A281" s="77">
        <f>HYPERLINK("https://polkadot.subsquare.io/referenda/279", 279)</f>
        <v>279</v>
      </c>
      <c r="B281" s="40" t="s">
        <v>1080</v>
      </c>
      <c r="C281" s="40" t="s">
        <v>1851</v>
      </c>
      <c r="D281" s="78">
        <v>25361.29</v>
      </c>
      <c r="E281" s="79">
        <v>124001.21331771852</v>
      </c>
      <c r="F281" s="40" t="s">
        <v>1853</v>
      </c>
      <c r="G281" s="78">
        <v>5.0738421406445645E7</v>
      </c>
      <c r="H281" s="78">
        <v>2818709.3872152576</v>
      </c>
      <c r="I281" s="80">
        <v>45248.0</v>
      </c>
      <c r="J281" s="80">
        <v>45266.0</v>
      </c>
      <c r="K281" s="79">
        <v>173463.07664935113</v>
      </c>
      <c r="L281" s="70" t="s">
        <v>46</v>
      </c>
      <c r="M281" s="70" t="s">
        <v>114</v>
      </c>
      <c r="N281" s="61"/>
      <c r="O281" s="86"/>
      <c r="P281" s="86"/>
      <c r="Q281" s="86"/>
      <c r="R281" s="61" t="str">
        <f t="shared" si="1"/>
        <v>2023</v>
      </c>
      <c r="S281" s="62">
        <f t="shared" si="2"/>
        <v>12</v>
      </c>
      <c r="T281" s="61" t="str">
        <f t="shared" si="3"/>
        <v>2023-Q4</v>
      </c>
      <c r="U281" s="63" t="str">
        <f t="shared" si="4"/>
        <v>2023-12</v>
      </c>
      <c r="V281" s="64" t="str">
        <f t="shared" si="5"/>
        <v>2023-H2</v>
      </c>
      <c r="W281" s="32"/>
      <c r="X281" s="32"/>
    </row>
    <row r="282">
      <c r="A282" s="77">
        <f>HYPERLINK("https://polkadot.subsquare.io/referenda/280", 280)</f>
        <v>280</v>
      </c>
      <c r="B282" s="40" t="s">
        <v>2001</v>
      </c>
      <c r="C282" s="40" t="s">
        <v>1851</v>
      </c>
      <c r="D282" s="78">
        <v>0.0</v>
      </c>
      <c r="E282" s="79">
        <v>0.0</v>
      </c>
      <c r="F282" s="40" t="s">
        <v>1868</v>
      </c>
      <c r="G282" s="78">
        <v>1.2195779086624645E7</v>
      </c>
      <c r="H282" s="78">
        <v>1963170.00000001</v>
      </c>
      <c r="I282" s="80">
        <v>45248.0</v>
      </c>
      <c r="J282" s="80">
        <v>45274.0</v>
      </c>
      <c r="K282" s="79">
        <v>0.0</v>
      </c>
      <c r="L282" s="81" t="s">
        <v>90</v>
      </c>
      <c r="M282" s="81" t="s">
        <v>90</v>
      </c>
      <c r="N282" s="86"/>
      <c r="O282" s="61"/>
      <c r="P282" s="61"/>
      <c r="Q282" s="61"/>
      <c r="R282" s="61" t="str">
        <f t="shared" si="1"/>
        <v>2023</v>
      </c>
      <c r="S282" s="62">
        <f t="shared" si="2"/>
        <v>12</v>
      </c>
      <c r="T282" s="61" t="str">
        <f t="shared" si="3"/>
        <v>2023-Q4</v>
      </c>
      <c r="U282" s="63" t="str">
        <f t="shared" si="4"/>
        <v>2023-12</v>
      </c>
      <c r="V282" s="64" t="str">
        <f t="shared" si="5"/>
        <v>2023-H2</v>
      </c>
      <c r="W282" s="32"/>
      <c r="X282" s="32"/>
    </row>
    <row r="283">
      <c r="A283" s="77">
        <f>HYPERLINK("https://polkadot.subsquare.io/referenda/281", 281)</f>
        <v>281</v>
      </c>
      <c r="B283" s="40" t="s">
        <v>2002</v>
      </c>
      <c r="C283" s="40" t="s">
        <v>1846</v>
      </c>
      <c r="D283" s="78">
        <v>9807.68</v>
      </c>
      <c r="E283" s="79">
        <v>47953.563081054686</v>
      </c>
      <c r="F283" s="40" t="s">
        <v>1848</v>
      </c>
      <c r="G283" s="78">
        <v>66319.9858</v>
      </c>
      <c r="H283" s="78">
        <v>5.1957897560349055E7</v>
      </c>
      <c r="I283" s="80">
        <v>45249.0</v>
      </c>
      <c r="J283" s="80">
        <v>45277.0</v>
      </c>
      <c r="K283" s="79">
        <v>68091.73227890015</v>
      </c>
      <c r="L283" s="70" t="s">
        <v>90</v>
      </c>
      <c r="M283" s="70" t="s">
        <v>90</v>
      </c>
      <c r="N283" s="61"/>
      <c r="O283" s="86"/>
      <c r="P283" s="86"/>
      <c r="Q283" s="86"/>
      <c r="R283" s="61" t="str">
        <f t="shared" si="1"/>
        <v>2023</v>
      </c>
      <c r="S283" s="62">
        <f t="shared" si="2"/>
        <v>12</v>
      </c>
      <c r="T283" s="61" t="str">
        <f t="shared" si="3"/>
        <v>2023-Q4</v>
      </c>
      <c r="U283" s="63" t="str">
        <f t="shared" si="4"/>
        <v>2023-12</v>
      </c>
      <c r="V283" s="64" t="str">
        <f t="shared" si="5"/>
        <v>2023-H2</v>
      </c>
      <c r="W283" s="32"/>
      <c r="X283" s="32"/>
    </row>
    <row r="284">
      <c r="A284" s="77">
        <f>HYPERLINK("https://polkadot.subsquare.io/referenda/282", 282)</f>
        <v>282</v>
      </c>
      <c r="B284" s="40" t="s">
        <v>2003</v>
      </c>
      <c r="C284" s="40" t="s">
        <v>1846</v>
      </c>
      <c r="D284" s="78">
        <v>9364.15</v>
      </c>
      <c r="E284" s="79">
        <v>48439.48298387527</v>
      </c>
      <c r="F284" s="40" t="s">
        <v>1848</v>
      </c>
      <c r="G284" s="78">
        <v>28005.0011</v>
      </c>
      <c r="H284" s="78">
        <v>5.181088581297835E7</v>
      </c>
      <c r="I284" s="80">
        <v>45249.0</v>
      </c>
      <c r="J284" s="80">
        <v>45277.0</v>
      </c>
      <c r="K284" s="79">
        <v>65012.438703083986</v>
      </c>
      <c r="L284" s="81" t="s">
        <v>90</v>
      </c>
      <c r="M284" s="81" t="s">
        <v>90</v>
      </c>
      <c r="N284" s="86"/>
      <c r="O284" s="61"/>
      <c r="P284" s="61"/>
      <c r="Q284" s="61"/>
      <c r="R284" s="61" t="str">
        <f t="shared" si="1"/>
        <v>2023</v>
      </c>
      <c r="S284" s="62">
        <f t="shared" si="2"/>
        <v>12</v>
      </c>
      <c r="T284" s="61" t="str">
        <f t="shared" si="3"/>
        <v>2023-Q4</v>
      </c>
      <c r="U284" s="63" t="str">
        <f t="shared" si="4"/>
        <v>2023-12</v>
      </c>
      <c r="V284" s="64" t="str">
        <f t="shared" si="5"/>
        <v>2023-H2</v>
      </c>
      <c r="W284" s="32"/>
      <c r="X284" s="32"/>
    </row>
    <row r="285">
      <c r="A285" s="77">
        <f>HYPERLINK("https://polkadot.subsquare.io/referenda/283", 283)</f>
        <v>283</v>
      </c>
      <c r="B285" s="40" t="s">
        <v>2004</v>
      </c>
      <c r="C285" s="40" t="s">
        <v>1846</v>
      </c>
      <c r="D285" s="78">
        <v>4327.47</v>
      </c>
      <c r="E285" s="79">
        <v>22385.417729129793</v>
      </c>
      <c r="F285" s="40" t="s">
        <v>1848</v>
      </c>
      <c r="G285" s="78">
        <v>46808.0</v>
      </c>
      <c r="H285" s="78">
        <v>5.164774212716589E7</v>
      </c>
      <c r="I285" s="80">
        <v>45249.0</v>
      </c>
      <c r="J285" s="80">
        <v>45277.0</v>
      </c>
      <c r="K285" s="79">
        <v>30044.30494112492</v>
      </c>
      <c r="L285" s="70" t="s">
        <v>90</v>
      </c>
      <c r="M285" s="70" t="s">
        <v>90</v>
      </c>
      <c r="N285" s="61"/>
      <c r="O285" s="86"/>
      <c r="P285" s="86"/>
      <c r="Q285" s="86"/>
      <c r="R285" s="61" t="str">
        <f t="shared" si="1"/>
        <v>2023</v>
      </c>
      <c r="S285" s="62">
        <f t="shared" si="2"/>
        <v>12</v>
      </c>
      <c r="T285" s="61" t="str">
        <f t="shared" si="3"/>
        <v>2023-Q4</v>
      </c>
      <c r="U285" s="63" t="str">
        <f t="shared" si="4"/>
        <v>2023-12</v>
      </c>
      <c r="V285" s="64" t="str">
        <f t="shared" si="5"/>
        <v>2023-H2</v>
      </c>
      <c r="W285" s="32"/>
      <c r="X285" s="32"/>
    </row>
    <row r="286">
      <c r="A286" s="77">
        <f>HYPERLINK("https://polkadot.subsquare.io/referenda/284", 284)</f>
        <v>284</v>
      </c>
      <c r="B286" s="40" t="s">
        <v>2005</v>
      </c>
      <c r="C286" s="40" t="s">
        <v>1846</v>
      </c>
      <c r="D286" s="78">
        <v>0.0</v>
      </c>
      <c r="E286" s="79">
        <v>0.0</v>
      </c>
      <c r="F286" s="40" t="s">
        <v>1848</v>
      </c>
      <c r="G286" s="78">
        <v>706090.0284884511</v>
      </c>
      <c r="H286" s="78">
        <v>1.3724175745954078E7</v>
      </c>
      <c r="I286" s="80">
        <v>45249.0</v>
      </c>
      <c r="J286" s="80">
        <v>45277.0</v>
      </c>
      <c r="K286" s="79">
        <v>0.0</v>
      </c>
      <c r="L286" s="81" t="s">
        <v>90</v>
      </c>
      <c r="M286" s="81" t="s">
        <v>90</v>
      </c>
      <c r="N286" s="86"/>
      <c r="O286" s="61"/>
      <c r="P286" s="61"/>
      <c r="Q286" s="61"/>
      <c r="R286" s="61" t="str">
        <f t="shared" si="1"/>
        <v>2023</v>
      </c>
      <c r="S286" s="62">
        <f t="shared" si="2"/>
        <v>12</v>
      </c>
      <c r="T286" s="61" t="str">
        <f t="shared" si="3"/>
        <v>2023-Q4</v>
      </c>
      <c r="U286" s="63" t="str">
        <f t="shared" si="4"/>
        <v>2023-12</v>
      </c>
      <c r="V286" s="64" t="str">
        <f t="shared" si="5"/>
        <v>2023-H2</v>
      </c>
      <c r="W286" s="32"/>
      <c r="X286" s="32"/>
    </row>
    <row r="287">
      <c r="A287" s="77">
        <f>HYPERLINK("https://polkadot.subsquare.io/referenda/285", 285)</f>
        <v>285</v>
      </c>
      <c r="B287" s="40" t="s">
        <v>2006</v>
      </c>
      <c r="C287" s="40" t="s">
        <v>1846</v>
      </c>
      <c r="D287" s="78">
        <v>9735.0</v>
      </c>
      <c r="E287" s="79">
        <v>50357.83993721008</v>
      </c>
      <c r="F287" s="40" t="s">
        <v>1848</v>
      </c>
      <c r="G287" s="78">
        <v>35845.1898</v>
      </c>
      <c r="H287" s="78">
        <v>1.52383152540647E7</v>
      </c>
      <c r="I287" s="80">
        <v>45249.0</v>
      </c>
      <c r="J287" s="80">
        <v>45277.0</v>
      </c>
      <c r="K287" s="79">
        <v>67587.137196064</v>
      </c>
      <c r="L287" s="70" t="s">
        <v>90</v>
      </c>
      <c r="M287" s="70" t="s">
        <v>90</v>
      </c>
      <c r="N287" s="61"/>
      <c r="O287" s="86"/>
      <c r="P287" s="86"/>
      <c r="Q287" s="86"/>
      <c r="R287" s="61" t="str">
        <f t="shared" si="1"/>
        <v>2023</v>
      </c>
      <c r="S287" s="62">
        <f t="shared" si="2"/>
        <v>12</v>
      </c>
      <c r="T287" s="61" t="str">
        <f t="shared" si="3"/>
        <v>2023-Q4</v>
      </c>
      <c r="U287" s="63" t="str">
        <f t="shared" si="4"/>
        <v>2023-12</v>
      </c>
      <c r="V287" s="64" t="str">
        <f t="shared" si="5"/>
        <v>2023-H2</v>
      </c>
      <c r="W287" s="32"/>
      <c r="X287" s="32"/>
    </row>
    <row r="288">
      <c r="A288" s="77">
        <f>HYPERLINK("https://polkadot.subsquare.io/referenda/286", 286)</f>
        <v>286</v>
      </c>
      <c r="B288" s="40" t="s">
        <v>2007</v>
      </c>
      <c r="C288" s="40" t="s">
        <v>1846</v>
      </c>
      <c r="D288" s="78">
        <v>2400.0</v>
      </c>
      <c r="E288" s="79">
        <v>12414.875793457031</v>
      </c>
      <c r="F288" s="40" t="s">
        <v>1848</v>
      </c>
      <c r="G288" s="78">
        <v>4.013379374191113E7</v>
      </c>
      <c r="H288" s="78">
        <v>5.0204102782666706E7</v>
      </c>
      <c r="I288" s="80">
        <v>45249.0</v>
      </c>
      <c r="J288" s="80">
        <v>45279.0</v>
      </c>
      <c r="K288" s="79">
        <v>20067.617797851562</v>
      </c>
      <c r="L288" s="81" t="s">
        <v>90</v>
      </c>
      <c r="M288" s="81" t="s">
        <v>90</v>
      </c>
      <c r="N288" s="86"/>
      <c r="O288" s="61"/>
      <c r="P288" s="61"/>
      <c r="Q288" s="61"/>
      <c r="R288" s="61" t="str">
        <f t="shared" si="1"/>
        <v>2023</v>
      </c>
      <c r="S288" s="62">
        <f t="shared" si="2"/>
        <v>12</v>
      </c>
      <c r="T288" s="61" t="str">
        <f t="shared" si="3"/>
        <v>2023-Q4</v>
      </c>
      <c r="U288" s="63" t="str">
        <f t="shared" si="4"/>
        <v>2023-12</v>
      </c>
      <c r="V288" s="64" t="str">
        <f t="shared" si="5"/>
        <v>2023-H2</v>
      </c>
      <c r="W288" s="32"/>
      <c r="X288" s="32"/>
    </row>
    <row r="289">
      <c r="A289" s="77">
        <f>HYPERLINK("https://polkadot.subsquare.io/referenda/287", 287)</f>
        <v>287</v>
      </c>
      <c r="B289" s="40" t="s">
        <v>2008</v>
      </c>
      <c r="C289" s="40" t="s">
        <v>1846</v>
      </c>
      <c r="D289" s="78">
        <v>7939.0</v>
      </c>
      <c r="E289" s="79">
        <v>41067.37455177307</v>
      </c>
      <c r="F289" s="40" t="s">
        <v>1848</v>
      </c>
      <c r="G289" s="78">
        <v>15014.5693732923</v>
      </c>
      <c r="H289" s="78">
        <v>1.5085473367583107E7</v>
      </c>
      <c r="I289" s="80">
        <v>45250.0</v>
      </c>
      <c r="J289" s="80">
        <v>45278.0</v>
      </c>
      <c r="K289" s="79">
        <v>66382.00737380981</v>
      </c>
      <c r="L289" s="70" t="s">
        <v>90</v>
      </c>
      <c r="M289" s="70" t="s">
        <v>90</v>
      </c>
      <c r="N289" s="61"/>
      <c r="O289" s="86"/>
      <c r="P289" s="86"/>
      <c r="Q289" s="86"/>
      <c r="R289" s="61" t="str">
        <f t="shared" si="1"/>
        <v>2023</v>
      </c>
      <c r="S289" s="62">
        <f t="shared" si="2"/>
        <v>12</v>
      </c>
      <c r="T289" s="61" t="str">
        <f t="shared" si="3"/>
        <v>2023-Q4</v>
      </c>
      <c r="U289" s="63" t="str">
        <f t="shared" si="4"/>
        <v>2023-12</v>
      </c>
      <c r="V289" s="64" t="str">
        <f t="shared" si="5"/>
        <v>2023-H2</v>
      </c>
      <c r="W289" s="32"/>
      <c r="X289" s="32"/>
    </row>
    <row r="290">
      <c r="A290" s="77">
        <f>HYPERLINK("https://polkadot.subsquare.io/referenda/288", 288)</f>
        <v>288</v>
      </c>
      <c r="B290" s="40" t="s">
        <v>1081</v>
      </c>
      <c r="C290" s="40" t="s">
        <v>1851</v>
      </c>
      <c r="D290" s="78">
        <v>7289.03</v>
      </c>
      <c r="E290" s="79">
        <v>37705.16754365921</v>
      </c>
      <c r="F290" s="40" t="s">
        <v>1848</v>
      </c>
      <c r="G290" s="78">
        <v>2.8468141141384706E7</v>
      </c>
      <c r="H290" s="78">
        <v>2673127.406456474</v>
      </c>
      <c r="I290" s="80">
        <v>45250.0</v>
      </c>
      <c r="J290" s="80">
        <v>45266.0</v>
      </c>
      <c r="K290" s="79">
        <v>49854.62370366096</v>
      </c>
      <c r="L290" s="81" t="s">
        <v>49</v>
      </c>
      <c r="M290" s="81" t="s">
        <v>140</v>
      </c>
      <c r="N290" s="86"/>
      <c r="O290" s="61"/>
      <c r="P290" s="61"/>
      <c r="Q290" s="61"/>
      <c r="R290" s="61" t="str">
        <f t="shared" si="1"/>
        <v>2023</v>
      </c>
      <c r="S290" s="62">
        <f t="shared" si="2"/>
        <v>12</v>
      </c>
      <c r="T290" s="61" t="str">
        <f t="shared" si="3"/>
        <v>2023-Q4</v>
      </c>
      <c r="U290" s="63" t="str">
        <f t="shared" si="4"/>
        <v>2023-12</v>
      </c>
      <c r="V290" s="64" t="str">
        <f t="shared" si="5"/>
        <v>2023-H2</v>
      </c>
      <c r="W290" s="32"/>
      <c r="X290" s="32"/>
    </row>
    <row r="291">
      <c r="A291" s="77">
        <f>HYPERLINK("https://polkadot.subsquare.io/referenda/289", 289)</f>
        <v>289</v>
      </c>
      <c r="B291" s="40" t="s">
        <v>2009</v>
      </c>
      <c r="C291" s="40" t="s">
        <v>1861</v>
      </c>
      <c r="D291" s="78">
        <v>2.0E-10</v>
      </c>
      <c r="E291" s="79">
        <v>1.034572982788086E-9</v>
      </c>
      <c r="F291" s="40" t="s">
        <v>982</v>
      </c>
      <c r="G291" s="78">
        <v>10200.0</v>
      </c>
      <c r="H291" s="78">
        <v>7536767.8619166175</v>
      </c>
      <c r="I291" s="80">
        <v>45250.0</v>
      </c>
      <c r="J291" s="80">
        <v>45264.0</v>
      </c>
      <c r="K291" s="79">
        <v>1.2086651802062988E-9</v>
      </c>
      <c r="L291" s="70" t="s">
        <v>90</v>
      </c>
      <c r="M291" s="70" t="s">
        <v>90</v>
      </c>
      <c r="N291" s="61"/>
      <c r="O291" s="86"/>
      <c r="P291" s="86"/>
      <c r="Q291" s="86"/>
      <c r="R291" s="61" t="str">
        <f t="shared" si="1"/>
        <v>2023</v>
      </c>
      <c r="S291" s="62">
        <f t="shared" si="2"/>
        <v>12</v>
      </c>
      <c r="T291" s="61" t="str">
        <f t="shared" si="3"/>
        <v>2023-Q4</v>
      </c>
      <c r="U291" s="63" t="str">
        <f t="shared" si="4"/>
        <v>2023-12</v>
      </c>
      <c r="V291" s="64" t="str">
        <f t="shared" si="5"/>
        <v>2023-H2</v>
      </c>
      <c r="W291" s="32"/>
      <c r="X291" s="32"/>
    </row>
    <row r="292">
      <c r="A292" s="77">
        <f>HYPERLINK("https://polkadot.subsquare.io/referenda/290", 290)</f>
        <v>290</v>
      </c>
      <c r="B292" s="40" t="s">
        <v>1082</v>
      </c>
      <c r="C292" s="40" t="s">
        <v>1851</v>
      </c>
      <c r="D292" s="78">
        <v>5645.0</v>
      </c>
      <c r="E292" s="79">
        <v>28979.385974407196</v>
      </c>
      <c r="F292" s="40" t="s">
        <v>1848</v>
      </c>
      <c r="G292" s="78">
        <v>1.1597520754924638E7</v>
      </c>
      <c r="H292" s="78">
        <v>1616171.3397688481</v>
      </c>
      <c r="I292" s="80">
        <v>45250.0</v>
      </c>
      <c r="J292" s="80">
        <v>45273.0</v>
      </c>
      <c r="K292" s="79">
        <v>39270.812900066376</v>
      </c>
      <c r="L292" s="81" t="s">
        <v>46</v>
      </c>
      <c r="M292" s="81" t="s">
        <v>102</v>
      </c>
      <c r="N292" s="86"/>
      <c r="O292" s="61"/>
      <c r="P292" s="61"/>
      <c r="Q292" s="61"/>
      <c r="R292" s="61" t="str">
        <f t="shared" si="1"/>
        <v>2023</v>
      </c>
      <c r="S292" s="62">
        <f t="shared" si="2"/>
        <v>12</v>
      </c>
      <c r="T292" s="61" t="str">
        <f t="shared" si="3"/>
        <v>2023-Q4</v>
      </c>
      <c r="U292" s="63" t="str">
        <f t="shared" si="4"/>
        <v>2023-12</v>
      </c>
      <c r="V292" s="64" t="str">
        <f t="shared" si="5"/>
        <v>2023-H2</v>
      </c>
      <c r="W292" s="32"/>
      <c r="X292" s="32"/>
    </row>
    <row r="293">
      <c r="A293" s="77">
        <f>HYPERLINK("https://polkadot.subsquare.io/referenda/291", 291)</f>
        <v>291</v>
      </c>
      <c r="B293" s="40" t="s">
        <v>2010</v>
      </c>
      <c r="C293" s="40" t="s">
        <v>1846</v>
      </c>
      <c r="D293" s="78">
        <v>6098.0</v>
      </c>
      <c r="E293" s="79">
        <v>31304.92394542694</v>
      </c>
      <c r="F293" s="40" t="s">
        <v>1848</v>
      </c>
      <c r="G293" s="78">
        <v>4.0031866502648085E7</v>
      </c>
      <c r="H293" s="78">
        <v>5.240465190775571E7</v>
      </c>
      <c r="I293" s="80">
        <v>45250.0</v>
      </c>
      <c r="J293" s="80">
        <v>45278.0</v>
      </c>
      <c r="K293" s="79">
        <v>50988.47222137451</v>
      </c>
      <c r="L293" s="70" t="s">
        <v>90</v>
      </c>
      <c r="M293" s="70" t="s">
        <v>90</v>
      </c>
      <c r="N293" s="61"/>
      <c r="O293" s="86"/>
      <c r="P293" s="86"/>
      <c r="Q293" s="86"/>
      <c r="R293" s="61" t="str">
        <f t="shared" si="1"/>
        <v>2023</v>
      </c>
      <c r="S293" s="62">
        <f t="shared" si="2"/>
        <v>12</v>
      </c>
      <c r="T293" s="61" t="str">
        <f t="shared" si="3"/>
        <v>2023-Q4</v>
      </c>
      <c r="U293" s="63" t="str">
        <f t="shared" si="4"/>
        <v>2023-12</v>
      </c>
      <c r="V293" s="64" t="str">
        <f t="shared" si="5"/>
        <v>2023-H2</v>
      </c>
      <c r="W293" s="32"/>
      <c r="X293" s="32"/>
    </row>
    <row r="294">
      <c r="A294" s="77">
        <f>HYPERLINK("https://polkadot.subsquare.io/referenda/292", 292)</f>
        <v>292</v>
      </c>
      <c r="B294" s="40" t="s">
        <v>2011</v>
      </c>
      <c r="C294" s="40" t="s">
        <v>1846</v>
      </c>
      <c r="D294" s="78">
        <v>3463.0</v>
      </c>
      <c r="E294" s="79">
        <v>17777.788065433502</v>
      </c>
      <c r="F294" s="40" t="s">
        <v>1848</v>
      </c>
      <c r="G294" s="78">
        <v>15130.5360900128</v>
      </c>
      <c r="H294" s="78">
        <v>5.1651701090338744E7</v>
      </c>
      <c r="I294" s="80">
        <v>45250.0</v>
      </c>
      <c r="J294" s="80">
        <v>45279.0</v>
      </c>
      <c r="K294" s="79">
        <v>27597.103930950165</v>
      </c>
      <c r="L294" s="81" t="s">
        <v>90</v>
      </c>
      <c r="M294" s="81" t="s">
        <v>90</v>
      </c>
      <c r="N294" s="86"/>
      <c r="O294" s="61"/>
      <c r="P294" s="61"/>
      <c r="Q294" s="61"/>
      <c r="R294" s="61" t="str">
        <f t="shared" si="1"/>
        <v>2023</v>
      </c>
      <c r="S294" s="62">
        <f t="shared" si="2"/>
        <v>12</v>
      </c>
      <c r="T294" s="61" t="str">
        <f t="shared" si="3"/>
        <v>2023-Q4</v>
      </c>
      <c r="U294" s="63" t="str">
        <f t="shared" si="4"/>
        <v>2023-12</v>
      </c>
      <c r="V294" s="64" t="str">
        <f t="shared" si="5"/>
        <v>2023-H2</v>
      </c>
      <c r="W294" s="32"/>
      <c r="X294" s="32"/>
    </row>
    <row r="295">
      <c r="A295" s="77">
        <f>HYPERLINK("https://polkadot.subsquare.io/referenda/293", 293)</f>
        <v>293</v>
      </c>
      <c r="B295" s="40" t="s">
        <v>2012</v>
      </c>
      <c r="C295" s="40" t="s">
        <v>1846</v>
      </c>
      <c r="D295" s="78">
        <v>0.0</v>
      </c>
      <c r="E295" s="79">
        <v>0.0</v>
      </c>
      <c r="F295" s="40" t="s">
        <v>1853</v>
      </c>
      <c r="G295" s="78">
        <v>4.245212836202146E7</v>
      </c>
      <c r="H295" s="78">
        <v>6.5192955515835255E7</v>
      </c>
      <c r="I295" s="80">
        <v>45250.0</v>
      </c>
      <c r="J295" s="80">
        <v>45279.0</v>
      </c>
      <c r="K295" s="79">
        <v>0.0</v>
      </c>
      <c r="L295" s="70" t="s">
        <v>90</v>
      </c>
      <c r="M295" s="70" t="s">
        <v>90</v>
      </c>
      <c r="N295" s="61"/>
      <c r="O295" s="86"/>
      <c r="P295" s="86"/>
      <c r="Q295" s="86"/>
      <c r="R295" s="61" t="str">
        <f t="shared" si="1"/>
        <v>2023</v>
      </c>
      <c r="S295" s="62">
        <f t="shared" si="2"/>
        <v>12</v>
      </c>
      <c r="T295" s="61" t="str">
        <f t="shared" si="3"/>
        <v>2023-Q4</v>
      </c>
      <c r="U295" s="63" t="str">
        <f t="shared" si="4"/>
        <v>2023-12</v>
      </c>
      <c r="V295" s="64" t="str">
        <f t="shared" si="5"/>
        <v>2023-H2</v>
      </c>
      <c r="W295" s="32"/>
      <c r="X295" s="32"/>
    </row>
    <row r="296">
      <c r="A296" s="77">
        <f>HYPERLINK("https://polkadot.subsquare.io/referenda/294", 294)</f>
        <v>294</v>
      </c>
      <c r="B296" s="40" t="s">
        <v>2013</v>
      </c>
      <c r="C296" s="40" t="s">
        <v>1846</v>
      </c>
      <c r="D296" s="78">
        <v>5.3723E-6</v>
      </c>
      <c r="E296" s="79">
        <v>2.757944291768074E-5</v>
      </c>
      <c r="F296" s="40" t="s">
        <v>1853</v>
      </c>
      <c r="G296" s="78">
        <v>33573.9872152575</v>
      </c>
      <c r="H296" s="78">
        <v>3.296648019878072E7</v>
      </c>
      <c r="I296" s="80">
        <v>45250.0</v>
      </c>
      <c r="J296" s="80">
        <v>45279.0</v>
      </c>
      <c r="K296" s="79">
        <v>4.492052628974915E-5</v>
      </c>
      <c r="L296" s="81" t="s">
        <v>90</v>
      </c>
      <c r="M296" s="81" t="s">
        <v>90</v>
      </c>
      <c r="N296" s="86"/>
      <c r="O296" s="61"/>
      <c r="P296" s="61"/>
      <c r="Q296" s="61"/>
      <c r="R296" s="61" t="str">
        <f t="shared" si="1"/>
        <v>2023</v>
      </c>
      <c r="S296" s="62">
        <f t="shared" si="2"/>
        <v>12</v>
      </c>
      <c r="T296" s="61" t="str">
        <f t="shared" si="3"/>
        <v>2023-Q4</v>
      </c>
      <c r="U296" s="63" t="str">
        <f t="shared" si="4"/>
        <v>2023-12</v>
      </c>
      <c r="V296" s="64" t="str">
        <f t="shared" si="5"/>
        <v>2023-H2</v>
      </c>
      <c r="W296" s="32"/>
      <c r="X296" s="32"/>
    </row>
    <row r="297">
      <c r="A297" s="77">
        <f>HYPERLINK("https://polkadot.subsquare.io/referenda/295", 295)</f>
        <v>295</v>
      </c>
      <c r="B297" s="40" t="s">
        <v>2014</v>
      </c>
      <c r="C297" s="40" t="s">
        <v>1846</v>
      </c>
      <c r="D297" s="78">
        <v>53723.0</v>
      </c>
      <c r="E297" s="79">
        <v>275794.4291768074</v>
      </c>
      <c r="F297" s="40" t="s">
        <v>1853</v>
      </c>
      <c r="G297" s="78">
        <v>5887272.612024391</v>
      </c>
      <c r="H297" s="78">
        <v>6.694311646115765E7</v>
      </c>
      <c r="I297" s="80">
        <v>45250.0</v>
      </c>
      <c r="J297" s="80">
        <v>45279.0</v>
      </c>
      <c r="K297" s="79">
        <v>449205.26289749146</v>
      </c>
      <c r="L297" s="70" t="s">
        <v>90</v>
      </c>
      <c r="M297" s="70" t="s">
        <v>90</v>
      </c>
      <c r="N297" s="61"/>
      <c r="O297" s="86"/>
      <c r="P297" s="86"/>
      <c r="Q297" s="86"/>
      <c r="R297" s="61" t="str">
        <f t="shared" si="1"/>
        <v>2023</v>
      </c>
      <c r="S297" s="62">
        <f t="shared" si="2"/>
        <v>12</v>
      </c>
      <c r="T297" s="61" t="str">
        <f t="shared" si="3"/>
        <v>2023-Q4</v>
      </c>
      <c r="U297" s="63" t="str">
        <f t="shared" si="4"/>
        <v>2023-12</v>
      </c>
      <c r="V297" s="64" t="str">
        <f t="shared" si="5"/>
        <v>2023-H2</v>
      </c>
      <c r="W297" s="32"/>
      <c r="X297" s="32"/>
    </row>
    <row r="298">
      <c r="A298" s="77">
        <f>HYPERLINK("https://polkadot.subsquare.io/referenda/296", 296)</f>
        <v>296</v>
      </c>
      <c r="B298" s="40" t="s">
        <v>2015</v>
      </c>
      <c r="C298" s="40" t="s">
        <v>1861</v>
      </c>
      <c r="D298" s="78">
        <v>32000.0</v>
      </c>
      <c r="E298" s="79">
        <v>164276.4129638672</v>
      </c>
      <c r="F298" s="40" t="s">
        <v>1853</v>
      </c>
      <c r="G298" s="78">
        <v>7951.3</v>
      </c>
      <c r="H298" s="78">
        <v>9957828.995687028</v>
      </c>
      <c r="I298" s="80">
        <v>45251.0</v>
      </c>
      <c r="J298" s="80">
        <v>45265.0</v>
      </c>
      <c r="K298" s="79">
        <v>199893.310546875</v>
      </c>
      <c r="L298" s="81" t="s">
        <v>90</v>
      </c>
      <c r="M298" s="81" t="s">
        <v>90</v>
      </c>
      <c r="N298" s="86"/>
      <c r="O298" s="61"/>
      <c r="P298" s="61"/>
      <c r="Q298" s="61"/>
      <c r="R298" s="61" t="str">
        <f t="shared" si="1"/>
        <v>2023</v>
      </c>
      <c r="S298" s="62">
        <f t="shared" si="2"/>
        <v>12</v>
      </c>
      <c r="T298" s="61" t="str">
        <f t="shared" si="3"/>
        <v>2023-Q4</v>
      </c>
      <c r="U298" s="63" t="str">
        <f t="shared" si="4"/>
        <v>2023-12</v>
      </c>
      <c r="V298" s="64" t="str">
        <f t="shared" si="5"/>
        <v>2023-H2</v>
      </c>
      <c r="W298" s="32"/>
      <c r="X298" s="32"/>
    </row>
    <row r="299">
      <c r="A299" s="77">
        <f>HYPERLINK("https://polkadot.subsquare.io/referenda/297", 297)</f>
        <v>297</v>
      </c>
      <c r="B299" s="40" t="s">
        <v>2015</v>
      </c>
      <c r="C299" s="40" t="s">
        <v>1861</v>
      </c>
      <c r="D299" s="78">
        <v>32000.0</v>
      </c>
      <c r="E299" s="79">
        <v>164276.4129638672</v>
      </c>
      <c r="F299" s="40" t="s">
        <v>1853</v>
      </c>
      <c r="G299" s="78">
        <v>5010.2</v>
      </c>
      <c r="H299" s="78">
        <v>9959624.002530927</v>
      </c>
      <c r="I299" s="80">
        <v>45251.0</v>
      </c>
      <c r="J299" s="80">
        <v>45265.0</v>
      </c>
      <c r="K299" s="79">
        <v>199893.310546875</v>
      </c>
      <c r="L299" s="70" t="s">
        <v>90</v>
      </c>
      <c r="M299" s="70" t="s">
        <v>90</v>
      </c>
      <c r="N299" s="61"/>
      <c r="O299" s="86"/>
      <c r="P299" s="86"/>
      <c r="Q299" s="86"/>
      <c r="R299" s="61" t="str">
        <f t="shared" si="1"/>
        <v>2023</v>
      </c>
      <c r="S299" s="62">
        <f t="shared" si="2"/>
        <v>12</v>
      </c>
      <c r="T299" s="61" t="str">
        <f t="shared" si="3"/>
        <v>2023-Q4</v>
      </c>
      <c r="U299" s="63" t="str">
        <f t="shared" si="4"/>
        <v>2023-12</v>
      </c>
      <c r="V299" s="64" t="str">
        <f t="shared" si="5"/>
        <v>2023-H2</v>
      </c>
      <c r="W299" s="32"/>
      <c r="X299" s="32"/>
    </row>
    <row r="300">
      <c r="A300" s="77">
        <f>HYPERLINK("https://polkadot.subsquare.io/referenda/298", 298)</f>
        <v>298</v>
      </c>
      <c r="B300" s="40" t="s">
        <v>1083</v>
      </c>
      <c r="C300" s="40" t="s">
        <v>1851</v>
      </c>
      <c r="D300" s="78">
        <v>32000.0</v>
      </c>
      <c r="E300" s="79">
        <v>164276.4129638672</v>
      </c>
      <c r="F300" s="40" t="s">
        <v>1853</v>
      </c>
      <c r="G300" s="78">
        <v>4.258797100522304E7</v>
      </c>
      <c r="H300" s="78">
        <v>1.2455107305116015E7</v>
      </c>
      <c r="I300" s="80">
        <v>45251.0</v>
      </c>
      <c r="J300" s="80">
        <v>45270.0</v>
      </c>
      <c r="K300" s="79">
        <v>243525.69580078125</v>
      </c>
      <c r="L300" s="81" t="s">
        <v>81</v>
      </c>
      <c r="M300" s="81" t="s">
        <v>87</v>
      </c>
      <c r="N300" s="86"/>
      <c r="O300" s="61"/>
      <c r="P300" s="61"/>
      <c r="Q300" s="61"/>
      <c r="R300" s="61" t="str">
        <f t="shared" si="1"/>
        <v>2023</v>
      </c>
      <c r="S300" s="62">
        <f t="shared" si="2"/>
        <v>12</v>
      </c>
      <c r="T300" s="61" t="str">
        <f t="shared" si="3"/>
        <v>2023-Q4</v>
      </c>
      <c r="U300" s="63" t="str">
        <f t="shared" si="4"/>
        <v>2023-12</v>
      </c>
      <c r="V300" s="64" t="str">
        <f t="shared" si="5"/>
        <v>2023-H2</v>
      </c>
      <c r="W300" s="32"/>
      <c r="X300" s="32"/>
    </row>
    <row r="301">
      <c r="A301" s="77">
        <f>HYPERLINK("https://polkadot.subsquare.io/referenda/299", 299)</f>
        <v>299</v>
      </c>
      <c r="B301" s="40" t="s">
        <v>2016</v>
      </c>
      <c r="C301" s="40" t="s">
        <v>1846</v>
      </c>
      <c r="D301" s="78">
        <v>28489.0</v>
      </c>
      <c r="E301" s="79">
        <v>149377.56803750992</v>
      </c>
      <c r="F301" s="40" t="s">
        <v>1853</v>
      </c>
      <c r="G301" s="78">
        <v>4.0819009214806415E7</v>
      </c>
      <c r="H301" s="78">
        <v>6.712509456636864E7</v>
      </c>
      <c r="I301" s="80">
        <v>45251.0</v>
      </c>
      <c r="J301" s="80">
        <v>45279.0</v>
      </c>
      <c r="K301" s="79">
        <v>227032.60002565384</v>
      </c>
      <c r="L301" s="70" t="s">
        <v>90</v>
      </c>
      <c r="M301" s="70" t="s">
        <v>90</v>
      </c>
      <c r="N301" s="61"/>
      <c r="O301" s="86"/>
      <c r="P301" s="86"/>
      <c r="Q301" s="86"/>
      <c r="R301" s="61" t="str">
        <f t="shared" si="1"/>
        <v>2023</v>
      </c>
      <c r="S301" s="62">
        <f t="shared" si="2"/>
        <v>12</v>
      </c>
      <c r="T301" s="61" t="str">
        <f t="shared" si="3"/>
        <v>2023-Q4</v>
      </c>
      <c r="U301" s="63" t="str">
        <f t="shared" si="4"/>
        <v>2023-12</v>
      </c>
      <c r="V301" s="64" t="str">
        <f t="shared" si="5"/>
        <v>2023-H2</v>
      </c>
      <c r="W301" s="32"/>
      <c r="X301" s="32"/>
    </row>
    <row r="302">
      <c r="A302" s="77">
        <f>HYPERLINK("https://polkadot.subsquare.io/referenda/300", 300)</f>
        <v>300</v>
      </c>
      <c r="B302" s="40" t="s">
        <v>2017</v>
      </c>
      <c r="C302" s="40" t="s">
        <v>1846</v>
      </c>
      <c r="D302" s="78">
        <v>8842.0</v>
      </c>
      <c r="E302" s="79">
        <v>46361.629281044006</v>
      </c>
      <c r="F302" s="40" t="s">
        <v>1848</v>
      </c>
      <c r="G302" s="78">
        <v>5732.8372980983</v>
      </c>
      <c r="H302" s="78">
        <v>1.4985053701613016E7</v>
      </c>
      <c r="I302" s="80">
        <v>45251.0</v>
      </c>
      <c r="J302" s="80">
        <v>45279.0</v>
      </c>
      <c r="K302" s="79">
        <v>70463.06467151642</v>
      </c>
      <c r="L302" s="81" t="s">
        <v>90</v>
      </c>
      <c r="M302" s="81" t="s">
        <v>90</v>
      </c>
      <c r="N302" s="86"/>
      <c r="O302" s="61"/>
      <c r="P302" s="61"/>
      <c r="Q302" s="61"/>
      <c r="R302" s="61" t="str">
        <f t="shared" si="1"/>
        <v>2023</v>
      </c>
      <c r="S302" s="62">
        <f t="shared" si="2"/>
        <v>12</v>
      </c>
      <c r="T302" s="61" t="str">
        <f t="shared" si="3"/>
        <v>2023-Q4</v>
      </c>
      <c r="U302" s="63" t="str">
        <f t="shared" si="4"/>
        <v>2023-12</v>
      </c>
      <c r="V302" s="64" t="str">
        <f t="shared" si="5"/>
        <v>2023-H2</v>
      </c>
      <c r="W302" s="32"/>
      <c r="X302" s="32"/>
    </row>
    <row r="303">
      <c r="A303" s="77">
        <f>HYPERLINK("https://polkadot.subsquare.io/referenda/301", 301)</f>
        <v>301</v>
      </c>
      <c r="B303" s="40" t="s">
        <v>2018</v>
      </c>
      <c r="C303" s="40" t="s">
        <v>1846</v>
      </c>
      <c r="D303" s="78">
        <v>0.0</v>
      </c>
      <c r="E303" s="79">
        <v>0.0</v>
      </c>
      <c r="F303" s="40" t="s">
        <v>1853</v>
      </c>
      <c r="G303" s="78">
        <v>104439.4898</v>
      </c>
      <c r="H303" s="78">
        <v>1.4732238635625483E7</v>
      </c>
      <c r="I303" s="80">
        <v>45251.0</v>
      </c>
      <c r="J303" s="80">
        <v>45279.0</v>
      </c>
      <c r="K303" s="79">
        <v>0.0</v>
      </c>
      <c r="L303" s="70" t="s">
        <v>90</v>
      </c>
      <c r="M303" s="70" t="s">
        <v>90</v>
      </c>
      <c r="N303" s="61"/>
      <c r="O303" s="86"/>
      <c r="P303" s="86"/>
      <c r="Q303" s="86"/>
      <c r="R303" s="61" t="str">
        <f t="shared" si="1"/>
        <v>2023</v>
      </c>
      <c r="S303" s="62">
        <f t="shared" si="2"/>
        <v>12</v>
      </c>
      <c r="T303" s="61" t="str">
        <f t="shared" si="3"/>
        <v>2023-Q4</v>
      </c>
      <c r="U303" s="63" t="str">
        <f t="shared" si="4"/>
        <v>2023-12</v>
      </c>
      <c r="V303" s="64" t="str">
        <f t="shared" si="5"/>
        <v>2023-H2</v>
      </c>
      <c r="W303" s="32"/>
      <c r="X303" s="32"/>
    </row>
    <row r="304">
      <c r="A304" s="77">
        <f>HYPERLINK("https://polkadot.subsquare.io/referenda/302", 302)</f>
        <v>302</v>
      </c>
      <c r="B304" s="40" t="s">
        <v>1084</v>
      </c>
      <c r="C304" s="40" t="s">
        <v>1851</v>
      </c>
      <c r="D304" s="78">
        <v>125484.0</v>
      </c>
      <c r="E304" s="79">
        <v>657955.5178356171</v>
      </c>
      <c r="F304" s="40" t="s">
        <v>1855</v>
      </c>
      <c r="G304" s="78">
        <v>4.465946919095604E7</v>
      </c>
      <c r="H304" s="78">
        <v>1.2955056471889194E7</v>
      </c>
      <c r="I304" s="80">
        <v>45251.0</v>
      </c>
      <c r="J304" s="80">
        <v>45275.0</v>
      </c>
      <c r="K304" s="79">
        <v>852314.0514621735</v>
      </c>
      <c r="L304" s="81" t="s">
        <v>46</v>
      </c>
      <c r="M304" s="81" t="s">
        <v>106</v>
      </c>
      <c r="N304" s="86"/>
      <c r="O304" s="61"/>
      <c r="P304" s="61"/>
      <c r="Q304" s="61"/>
      <c r="R304" s="61" t="str">
        <f t="shared" si="1"/>
        <v>2023</v>
      </c>
      <c r="S304" s="62">
        <f t="shared" si="2"/>
        <v>12</v>
      </c>
      <c r="T304" s="61" t="str">
        <f t="shared" si="3"/>
        <v>2023-Q4</v>
      </c>
      <c r="U304" s="63" t="str">
        <f t="shared" si="4"/>
        <v>2023-12</v>
      </c>
      <c r="V304" s="64" t="str">
        <f t="shared" si="5"/>
        <v>2023-H2</v>
      </c>
      <c r="W304" s="32"/>
      <c r="X304" s="32"/>
    </row>
    <row r="305">
      <c r="A305" s="77">
        <f>HYPERLINK("https://polkadot.subsquare.io/referenda/303", 303)</f>
        <v>303</v>
      </c>
      <c r="B305" s="40" t="s">
        <v>2019</v>
      </c>
      <c r="C305" s="40" t="s">
        <v>1846</v>
      </c>
      <c r="D305" s="78">
        <v>200.0</v>
      </c>
      <c r="E305" s="79">
        <v>1048.668384552002</v>
      </c>
      <c r="F305" s="40" t="s">
        <v>982</v>
      </c>
      <c r="G305" s="78">
        <v>446964.1980092828</v>
      </c>
      <c r="H305" s="78">
        <v>1160084.067439429</v>
      </c>
      <c r="I305" s="80">
        <v>45251.0</v>
      </c>
      <c r="J305" s="80">
        <v>45258.0</v>
      </c>
      <c r="K305" s="79">
        <v>1095.0079917907715</v>
      </c>
      <c r="L305" s="70" t="s">
        <v>90</v>
      </c>
      <c r="M305" s="70" t="s">
        <v>90</v>
      </c>
      <c r="N305" s="61"/>
      <c r="O305" s="86"/>
      <c r="P305" s="86"/>
      <c r="Q305" s="86"/>
      <c r="R305" s="61" t="str">
        <f t="shared" si="1"/>
        <v>2023</v>
      </c>
      <c r="S305" s="62">
        <f t="shared" si="2"/>
        <v>11</v>
      </c>
      <c r="T305" s="61" t="str">
        <f t="shared" si="3"/>
        <v>2023-Q4</v>
      </c>
      <c r="U305" s="63" t="str">
        <f t="shared" si="4"/>
        <v>2023-11</v>
      </c>
      <c r="V305" s="64" t="str">
        <f t="shared" si="5"/>
        <v>2023-H2</v>
      </c>
      <c r="W305" s="32"/>
      <c r="X305" s="32"/>
    </row>
    <row r="306">
      <c r="A306" s="77">
        <f>HYPERLINK("https://polkadot.subsquare.io/referenda/304", 304)</f>
        <v>304</v>
      </c>
      <c r="B306" s="40" t="s">
        <v>1085</v>
      </c>
      <c r="C306" s="40" t="s">
        <v>1851</v>
      </c>
      <c r="D306" s="78">
        <v>47837.0</v>
      </c>
      <c r="E306" s="79">
        <v>250825.7475590706</v>
      </c>
      <c r="F306" s="40" t="s">
        <v>1853</v>
      </c>
      <c r="G306" s="78">
        <v>4.967111193559184E7</v>
      </c>
      <c r="H306" s="78">
        <v>3.845368625001785E7</v>
      </c>
      <c r="I306" s="80">
        <v>45251.0</v>
      </c>
      <c r="J306" s="80">
        <v>45274.0</v>
      </c>
      <c r="K306" s="79">
        <v>338968.53231811523</v>
      </c>
      <c r="L306" s="81" t="s">
        <v>81</v>
      </c>
      <c r="M306" s="81" t="s">
        <v>84</v>
      </c>
      <c r="N306" s="86"/>
      <c r="O306" s="61"/>
      <c r="P306" s="61"/>
      <c r="Q306" s="61"/>
      <c r="R306" s="61" t="str">
        <f t="shared" si="1"/>
        <v>2023</v>
      </c>
      <c r="S306" s="62">
        <f t="shared" si="2"/>
        <v>12</v>
      </c>
      <c r="T306" s="61" t="str">
        <f t="shared" si="3"/>
        <v>2023-Q4</v>
      </c>
      <c r="U306" s="63" t="str">
        <f t="shared" si="4"/>
        <v>2023-12</v>
      </c>
      <c r="V306" s="64" t="str">
        <f t="shared" si="5"/>
        <v>2023-H2</v>
      </c>
      <c r="W306" s="32"/>
      <c r="X306" s="32"/>
    </row>
    <row r="307">
      <c r="A307" s="77">
        <f>HYPERLINK("https://polkadot.subsquare.io/referenda/305", 305)</f>
        <v>305</v>
      </c>
      <c r="B307" s="40" t="s">
        <v>2010</v>
      </c>
      <c r="C307" s="40" t="s">
        <v>1846</v>
      </c>
      <c r="D307" s="78">
        <v>11877.0</v>
      </c>
      <c r="E307" s="79">
        <v>62275.172016620636</v>
      </c>
      <c r="F307" s="40" t="s">
        <v>1853</v>
      </c>
      <c r="G307" s="78">
        <v>30700.1</v>
      </c>
      <c r="H307" s="78">
        <v>1.4889755656037E7</v>
      </c>
      <c r="I307" s="80">
        <v>45251.0</v>
      </c>
      <c r="J307" s="80">
        <v>45280.0</v>
      </c>
      <c r="K307" s="79">
        <v>94649.38012933731</v>
      </c>
      <c r="L307" s="70" t="s">
        <v>90</v>
      </c>
      <c r="M307" s="70" t="s">
        <v>90</v>
      </c>
      <c r="N307" s="61"/>
      <c r="O307" s="86"/>
      <c r="P307" s="86"/>
      <c r="Q307" s="86"/>
      <c r="R307" s="61" t="str">
        <f t="shared" si="1"/>
        <v>2023</v>
      </c>
      <c r="S307" s="62">
        <f t="shared" si="2"/>
        <v>12</v>
      </c>
      <c r="T307" s="61" t="str">
        <f t="shared" si="3"/>
        <v>2023-Q4</v>
      </c>
      <c r="U307" s="63" t="str">
        <f t="shared" si="4"/>
        <v>2023-12</v>
      </c>
      <c r="V307" s="64" t="str">
        <f t="shared" si="5"/>
        <v>2023-H2</v>
      </c>
      <c r="W307" s="32"/>
      <c r="X307" s="32"/>
    </row>
    <row r="308">
      <c r="A308" s="77">
        <f>HYPERLINK("https://polkadot.subsquare.io/referenda/306", 306)</f>
        <v>306</v>
      </c>
      <c r="B308" s="40" t="s">
        <v>2020</v>
      </c>
      <c r="C308" s="40" t="s">
        <v>1851</v>
      </c>
      <c r="D308" s="78">
        <v>0.0</v>
      </c>
      <c r="E308" s="79">
        <v>0.0</v>
      </c>
      <c r="F308" s="40" t="s">
        <v>1853</v>
      </c>
      <c r="G308" s="78">
        <v>1.4313621314417174E7</v>
      </c>
      <c r="H308" s="78">
        <v>741892.3146520681</v>
      </c>
      <c r="I308" s="80">
        <v>45252.0</v>
      </c>
      <c r="J308" s="80">
        <v>45277.0</v>
      </c>
      <c r="K308" s="79">
        <v>0.0</v>
      </c>
      <c r="L308" s="81" t="s">
        <v>90</v>
      </c>
      <c r="M308" s="81" t="s">
        <v>90</v>
      </c>
      <c r="N308" s="86"/>
      <c r="O308" s="61"/>
      <c r="P308" s="61"/>
      <c r="Q308" s="61"/>
      <c r="R308" s="61" t="str">
        <f t="shared" si="1"/>
        <v>2023</v>
      </c>
      <c r="S308" s="62">
        <f t="shared" si="2"/>
        <v>12</v>
      </c>
      <c r="T308" s="61" t="str">
        <f t="shared" si="3"/>
        <v>2023-Q4</v>
      </c>
      <c r="U308" s="63" t="str">
        <f t="shared" si="4"/>
        <v>2023-12</v>
      </c>
      <c r="V308" s="64" t="str">
        <f t="shared" si="5"/>
        <v>2023-H2</v>
      </c>
      <c r="W308" s="32"/>
      <c r="X308" s="32"/>
    </row>
    <row r="309">
      <c r="A309" s="77">
        <f>HYPERLINK("https://polkadot.subsquare.io/referenda/307", 307)</f>
        <v>307</v>
      </c>
      <c r="B309" s="40" t="s">
        <v>1086</v>
      </c>
      <c r="C309" s="40" t="s">
        <v>1851</v>
      </c>
      <c r="D309" s="78">
        <v>3.0</v>
      </c>
      <c r="E309" s="79">
        <v>15.990258693695068</v>
      </c>
      <c r="F309" s="40" t="s">
        <v>982</v>
      </c>
      <c r="G309" s="78">
        <v>2062021.4808090366</v>
      </c>
      <c r="H309" s="78">
        <v>1904666.5772655963</v>
      </c>
      <c r="I309" s="80">
        <v>45252.0</v>
      </c>
      <c r="J309" s="80">
        <v>45264.0</v>
      </c>
      <c r="K309" s="79">
        <v>18.73999786376953</v>
      </c>
      <c r="L309" s="70" t="s">
        <v>81</v>
      </c>
      <c r="M309" s="70" t="s">
        <v>89</v>
      </c>
      <c r="N309" s="61"/>
      <c r="O309" s="86"/>
      <c r="P309" s="86"/>
      <c r="Q309" s="86"/>
      <c r="R309" s="61" t="str">
        <f t="shared" si="1"/>
        <v>2023</v>
      </c>
      <c r="S309" s="62">
        <f t="shared" si="2"/>
        <v>12</v>
      </c>
      <c r="T309" s="61" t="str">
        <f t="shared" si="3"/>
        <v>2023-Q4</v>
      </c>
      <c r="U309" s="63" t="str">
        <f t="shared" si="4"/>
        <v>2023-12</v>
      </c>
      <c r="V309" s="64" t="str">
        <f t="shared" si="5"/>
        <v>2023-H2</v>
      </c>
      <c r="W309" s="32"/>
      <c r="X309" s="32"/>
    </row>
    <row r="310">
      <c r="A310" s="77">
        <f>HYPERLINK("https://polkadot.subsquare.io/referenda/308", 308)</f>
        <v>308</v>
      </c>
      <c r="B310" s="40" t="s">
        <v>2021</v>
      </c>
      <c r="C310" s="40" t="s">
        <v>1861</v>
      </c>
      <c r="D310" s="78">
        <v>8300.0</v>
      </c>
      <c r="E310" s="79">
        <v>44239.71571922302</v>
      </c>
      <c r="F310" s="40" t="s">
        <v>1848</v>
      </c>
      <c r="G310" s="78">
        <v>0.0</v>
      </c>
      <c r="H310" s="78">
        <v>1.2043104141175348E7</v>
      </c>
      <c r="I310" s="80">
        <v>45253.0</v>
      </c>
      <c r="J310" s="80">
        <v>45267.0</v>
      </c>
      <c r="K310" s="79">
        <v>59076.24592781067</v>
      </c>
      <c r="L310" s="81" t="s">
        <v>90</v>
      </c>
      <c r="M310" s="81" t="s">
        <v>90</v>
      </c>
      <c r="N310" s="86"/>
      <c r="O310" s="61"/>
      <c r="P310" s="61"/>
      <c r="Q310" s="61"/>
      <c r="R310" s="61" t="str">
        <f t="shared" si="1"/>
        <v>2023</v>
      </c>
      <c r="S310" s="62">
        <f t="shared" si="2"/>
        <v>12</v>
      </c>
      <c r="T310" s="61" t="str">
        <f t="shared" si="3"/>
        <v>2023-Q4</v>
      </c>
      <c r="U310" s="63" t="str">
        <f t="shared" si="4"/>
        <v>2023-12</v>
      </c>
      <c r="V310" s="64" t="str">
        <f t="shared" si="5"/>
        <v>2023-H2</v>
      </c>
      <c r="W310" s="32"/>
      <c r="X310" s="32"/>
    </row>
    <row r="311">
      <c r="A311" s="77">
        <f>HYPERLINK("https://polkadot.subsquare.io/referenda/309", 309)</f>
        <v>309</v>
      </c>
      <c r="B311" s="40" t="s">
        <v>2022</v>
      </c>
      <c r="C311" s="40" t="s">
        <v>1846</v>
      </c>
      <c r="D311" s="78">
        <v>572.63</v>
      </c>
      <c r="E311" s="79">
        <v>3049.3286376714705</v>
      </c>
      <c r="F311" s="40" t="s">
        <v>1869</v>
      </c>
      <c r="G311" s="78">
        <v>65403.9885414647</v>
      </c>
      <c r="H311" s="78">
        <v>5150529.064133251</v>
      </c>
      <c r="I311" s="80">
        <v>45253.0</v>
      </c>
      <c r="J311" s="80">
        <v>45260.0</v>
      </c>
      <c r="K311" s="79">
        <v>3176.135282006264</v>
      </c>
      <c r="L311" s="70" t="s">
        <v>90</v>
      </c>
      <c r="M311" s="70" t="s">
        <v>90</v>
      </c>
      <c r="N311" s="61"/>
      <c r="O311" s="86"/>
      <c r="P311" s="86"/>
      <c r="Q311" s="86"/>
      <c r="R311" s="61" t="str">
        <f t="shared" si="1"/>
        <v>2023</v>
      </c>
      <c r="S311" s="62">
        <f t="shared" si="2"/>
        <v>11</v>
      </c>
      <c r="T311" s="61" t="str">
        <f t="shared" si="3"/>
        <v>2023-Q4</v>
      </c>
      <c r="U311" s="63" t="str">
        <f t="shared" si="4"/>
        <v>2023-11</v>
      </c>
      <c r="V311" s="64" t="str">
        <f t="shared" si="5"/>
        <v>2023-H2</v>
      </c>
      <c r="W311" s="32"/>
      <c r="X311" s="32"/>
    </row>
    <row r="312">
      <c r="A312" s="77">
        <f>HYPERLINK("https://polkadot.subsquare.io/referenda/310", 310)</f>
        <v>310</v>
      </c>
      <c r="B312" s="40" t="s">
        <v>1087</v>
      </c>
      <c r="C312" s="40" t="s">
        <v>1851</v>
      </c>
      <c r="D312" s="78">
        <v>79975.0</v>
      </c>
      <c r="E312" s="79">
        <v>412789.20645713806</v>
      </c>
      <c r="F312" s="40" t="s">
        <v>1853</v>
      </c>
      <c r="G312" s="78">
        <v>4.4187135340540595E7</v>
      </c>
      <c r="H312" s="78">
        <v>2880687.5613671164</v>
      </c>
      <c r="I312" s="80">
        <v>45254.0</v>
      </c>
      <c r="J312" s="80">
        <v>45273.0</v>
      </c>
      <c r="K312" s="79">
        <v>556365.502512455</v>
      </c>
      <c r="L312" s="81" t="s">
        <v>46</v>
      </c>
      <c r="M312" s="81" t="s">
        <v>106</v>
      </c>
      <c r="N312" s="86"/>
      <c r="O312" s="61"/>
      <c r="P312" s="61"/>
      <c r="Q312" s="61"/>
      <c r="R312" s="61" t="str">
        <f t="shared" si="1"/>
        <v>2023</v>
      </c>
      <c r="S312" s="62">
        <f t="shared" si="2"/>
        <v>12</v>
      </c>
      <c r="T312" s="61" t="str">
        <f t="shared" si="3"/>
        <v>2023-Q4</v>
      </c>
      <c r="U312" s="63" t="str">
        <f t="shared" si="4"/>
        <v>2023-12</v>
      </c>
      <c r="V312" s="64" t="str">
        <f t="shared" si="5"/>
        <v>2023-H2</v>
      </c>
      <c r="W312" s="32"/>
      <c r="X312" s="32"/>
    </row>
    <row r="313">
      <c r="A313" s="77">
        <f>HYPERLINK("https://polkadot.subsquare.io/referenda/311", 311)</f>
        <v>311</v>
      </c>
      <c r="B313" s="40" t="s">
        <v>1088</v>
      </c>
      <c r="C313" s="40" t="s">
        <v>1851</v>
      </c>
      <c r="D313" s="78">
        <v>78676.0</v>
      </c>
      <c r="E313" s="79">
        <v>406084.44647979736</v>
      </c>
      <c r="F313" s="40" t="s">
        <v>1853</v>
      </c>
      <c r="G313" s="78">
        <v>5.226050330335246E7</v>
      </c>
      <c r="H313" s="78">
        <v>3533785.757928237</v>
      </c>
      <c r="I313" s="80">
        <v>45255.0</v>
      </c>
      <c r="J313" s="80">
        <v>45273.0</v>
      </c>
      <c r="K313" s="79">
        <v>547328.6936626434</v>
      </c>
      <c r="L313" s="70" t="s">
        <v>49</v>
      </c>
      <c r="M313" s="70" t="s">
        <v>955</v>
      </c>
      <c r="N313" s="61"/>
      <c r="O313" s="86"/>
      <c r="P313" s="86"/>
      <c r="Q313" s="86"/>
      <c r="R313" s="61" t="str">
        <f t="shared" si="1"/>
        <v>2023</v>
      </c>
      <c r="S313" s="62">
        <f t="shared" si="2"/>
        <v>12</v>
      </c>
      <c r="T313" s="61" t="str">
        <f t="shared" si="3"/>
        <v>2023-Q4</v>
      </c>
      <c r="U313" s="63" t="str">
        <f t="shared" si="4"/>
        <v>2023-12</v>
      </c>
      <c r="V313" s="64" t="str">
        <f t="shared" si="5"/>
        <v>2023-H2</v>
      </c>
      <c r="W313" s="32"/>
      <c r="X313" s="32"/>
    </row>
    <row r="314">
      <c r="A314" s="77">
        <f>HYPERLINK("https://polkadot.subsquare.io/referenda/312", 312)</f>
        <v>312</v>
      </c>
      <c r="B314" s="40" t="s">
        <v>1089</v>
      </c>
      <c r="C314" s="40" t="s">
        <v>1851</v>
      </c>
      <c r="D314" s="78">
        <v>70475.0</v>
      </c>
      <c r="E314" s="79">
        <v>371451.0351061821</v>
      </c>
      <c r="F314" s="40" t="s">
        <v>1853</v>
      </c>
      <c r="G314" s="78">
        <v>1.570833500163753E7</v>
      </c>
      <c r="H314" s="78">
        <v>1922098.1391802235</v>
      </c>
      <c r="I314" s="80">
        <v>45255.0</v>
      </c>
      <c r="J314" s="80">
        <v>45279.0</v>
      </c>
      <c r="K314" s="79">
        <v>561624.5739340782</v>
      </c>
      <c r="L314" s="81" t="s">
        <v>46</v>
      </c>
      <c r="M314" s="81" t="s">
        <v>119</v>
      </c>
      <c r="N314" s="86"/>
      <c r="O314" s="61"/>
      <c r="P314" s="61"/>
      <c r="Q314" s="61"/>
      <c r="R314" s="61" t="str">
        <f t="shared" si="1"/>
        <v>2023</v>
      </c>
      <c r="S314" s="62">
        <f t="shared" si="2"/>
        <v>12</v>
      </c>
      <c r="T314" s="61" t="str">
        <f t="shared" si="3"/>
        <v>2023-Q4</v>
      </c>
      <c r="U314" s="63" t="str">
        <f t="shared" si="4"/>
        <v>2023-12</v>
      </c>
      <c r="V314" s="64" t="str">
        <f t="shared" si="5"/>
        <v>2023-H2</v>
      </c>
      <c r="W314" s="32"/>
      <c r="X314" s="32"/>
    </row>
    <row r="315">
      <c r="A315" s="77">
        <f>HYPERLINK("https://polkadot.subsquare.io/referenda/313", 313)</f>
        <v>313</v>
      </c>
      <c r="B315" s="40" t="s">
        <v>2023</v>
      </c>
      <c r="C315" s="40" t="s">
        <v>1846</v>
      </c>
      <c r="D315" s="78">
        <v>999.99</v>
      </c>
      <c r="E315" s="79">
        <v>5270.625336585045</v>
      </c>
      <c r="F315" s="40" t="s">
        <v>1869</v>
      </c>
      <c r="G315" s="78">
        <v>6228798.944682249</v>
      </c>
      <c r="H315" s="78">
        <v>9559054.407856146</v>
      </c>
      <c r="I315" s="80">
        <v>45255.0</v>
      </c>
      <c r="J315" s="80">
        <v>45262.0</v>
      </c>
      <c r="K315" s="79">
        <v>5911.51286380291</v>
      </c>
      <c r="L315" s="70" t="s">
        <v>90</v>
      </c>
      <c r="M315" s="70" t="s">
        <v>90</v>
      </c>
      <c r="N315" s="61"/>
      <c r="O315" s="86"/>
      <c r="P315" s="86"/>
      <c r="Q315" s="86"/>
      <c r="R315" s="61" t="str">
        <f t="shared" si="1"/>
        <v>2023</v>
      </c>
      <c r="S315" s="62">
        <f t="shared" si="2"/>
        <v>12</v>
      </c>
      <c r="T315" s="61" t="str">
        <f t="shared" si="3"/>
        <v>2023-Q4</v>
      </c>
      <c r="U315" s="63" t="str">
        <f t="shared" si="4"/>
        <v>2023-12</v>
      </c>
      <c r="V315" s="64" t="str">
        <f t="shared" si="5"/>
        <v>2023-H2</v>
      </c>
      <c r="W315" s="32"/>
      <c r="X315" s="32"/>
    </row>
    <row r="316">
      <c r="A316" s="77">
        <f>HYPERLINK("https://polkadot.subsquare.io/referenda/314", 314)</f>
        <v>314</v>
      </c>
      <c r="B316" s="40" t="s">
        <v>2024</v>
      </c>
      <c r="C316" s="40" t="s">
        <v>1861</v>
      </c>
      <c r="D316" s="78">
        <v>100.0</v>
      </c>
      <c r="E316" s="79">
        <v>527.0678043365479</v>
      </c>
      <c r="F316" s="40" t="s">
        <v>982</v>
      </c>
      <c r="G316" s="78">
        <v>16010.0</v>
      </c>
      <c r="H316" s="78">
        <v>9081070.894132078</v>
      </c>
      <c r="I316" s="80">
        <v>45255.0</v>
      </c>
      <c r="J316" s="80">
        <v>45269.0</v>
      </c>
      <c r="K316" s="79">
        <v>712.3778820037842</v>
      </c>
      <c r="L316" s="81" t="s">
        <v>90</v>
      </c>
      <c r="M316" s="81" t="s">
        <v>90</v>
      </c>
      <c r="N316" s="86"/>
      <c r="O316" s="61"/>
      <c r="P316" s="61"/>
      <c r="Q316" s="61"/>
      <c r="R316" s="61" t="str">
        <f t="shared" si="1"/>
        <v>2023</v>
      </c>
      <c r="S316" s="62">
        <f t="shared" si="2"/>
        <v>12</v>
      </c>
      <c r="T316" s="61" t="str">
        <f t="shared" si="3"/>
        <v>2023-Q4</v>
      </c>
      <c r="U316" s="63" t="str">
        <f t="shared" si="4"/>
        <v>2023-12</v>
      </c>
      <c r="V316" s="64" t="str">
        <f t="shared" si="5"/>
        <v>2023-H2</v>
      </c>
      <c r="W316" s="32"/>
      <c r="X316" s="32"/>
    </row>
    <row r="317">
      <c r="A317" s="77">
        <f>HYPERLINK("https://polkadot.subsquare.io/referenda/315", 315)</f>
        <v>315</v>
      </c>
      <c r="B317" s="40" t="s">
        <v>2024</v>
      </c>
      <c r="C317" s="40" t="s">
        <v>1861</v>
      </c>
      <c r="D317" s="78">
        <v>100.0</v>
      </c>
      <c r="E317" s="79">
        <v>527.0678043365479</v>
      </c>
      <c r="F317" s="40" t="s">
        <v>982</v>
      </c>
      <c r="G317" s="78">
        <v>15000.0</v>
      </c>
      <c r="H317" s="78">
        <v>9079163.107378144</v>
      </c>
      <c r="I317" s="80">
        <v>45255.0</v>
      </c>
      <c r="J317" s="80">
        <v>45269.0</v>
      </c>
      <c r="K317" s="79">
        <v>712.3778820037842</v>
      </c>
      <c r="L317" s="70" t="s">
        <v>90</v>
      </c>
      <c r="M317" s="70" t="s">
        <v>90</v>
      </c>
      <c r="N317" s="61"/>
      <c r="O317" s="86"/>
      <c r="P317" s="86"/>
      <c r="Q317" s="86"/>
      <c r="R317" s="61" t="str">
        <f t="shared" si="1"/>
        <v>2023</v>
      </c>
      <c r="S317" s="62">
        <f t="shared" si="2"/>
        <v>12</v>
      </c>
      <c r="T317" s="61" t="str">
        <f t="shared" si="3"/>
        <v>2023-Q4</v>
      </c>
      <c r="U317" s="63" t="str">
        <f t="shared" si="4"/>
        <v>2023-12</v>
      </c>
      <c r="V317" s="64" t="str">
        <f t="shared" si="5"/>
        <v>2023-H2</v>
      </c>
      <c r="W317" s="32"/>
      <c r="X317" s="32"/>
    </row>
    <row r="318">
      <c r="A318" s="77">
        <f>HYPERLINK("https://polkadot.subsquare.io/referenda/316", 316)</f>
        <v>316</v>
      </c>
      <c r="B318" s="40" t="s">
        <v>2024</v>
      </c>
      <c r="C318" s="40" t="s">
        <v>1861</v>
      </c>
      <c r="D318" s="78">
        <v>100.0</v>
      </c>
      <c r="E318" s="79">
        <v>527.0678043365479</v>
      </c>
      <c r="F318" s="40" t="s">
        <v>982</v>
      </c>
      <c r="G318" s="78">
        <v>15021.1</v>
      </c>
      <c r="H318" s="78">
        <v>9066651.136159636</v>
      </c>
      <c r="I318" s="80">
        <v>45255.0</v>
      </c>
      <c r="J318" s="80">
        <v>45269.0</v>
      </c>
      <c r="K318" s="79">
        <v>712.3778820037842</v>
      </c>
      <c r="L318" s="81" t="s">
        <v>90</v>
      </c>
      <c r="M318" s="81" t="s">
        <v>90</v>
      </c>
      <c r="N318" s="86"/>
      <c r="O318" s="61"/>
      <c r="P318" s="61"/>
      <c r="Q318" s="61"/>
      <c r="R318" s="61" t="str">
        <f t="shared" si="1"/>
        <v>2023</v>
      </c>
      <c r="S318" s="62">
        <f t="shared" si="2"/>
        <v>12</v>
      </c>
      <c r="T318" s="61" t="str">
        <f t="shared" si="3"/>
        <v>2023-Q4</v>
      </c>
      <c r="U318" s="63" t="str">
        <f t="shared" si="4"/>
        <v>2023-12</v>
      </c>
      <c r="V318" s="64" t="str">
        <f t="shared" si="5"/>
        <v>2023-H2</v>
      </c>
      <c r="W318" s="32"/>
      <c r="X318" s="32"/>
    </row>
    <row r="319">
      <c r="A319" s="77">
        <f>HYPERLINK("https://polkadot.subsquare.io/referenda/317", 317)</f>
        <v>317</v>
      </c>
      <c r="B319" s="40" t="s">
        <v>2024</v>
      </c>
      <c r="C319" s="40" t="s">
        <v>1861</v>
      </c>
      <c r="D319" s="78">
        <v>100.0</v>
      </c>
      <c r="E319" s="79">
        <v>527.0678043365479</v>
      </c>
      <c r="F319" s="40" t="s">
        <v>982</v>
      </c>
      <c r="G319" s="78">
        <v>35000.00000001</v>
      </c>
      <c r="H319" s="78">
        <v>9056271.240118047</v>
      </c>
      <c r="I319" s="80">
        <v>45255.0</v>
      </c>
      <c r="J319" s="80">
        <v>45269.0</v>
      </c>
      <c r="K319" s="79">
        <v>712.3778820037842</v>
      </c>
      <c r="L319" s="70" t="s">
        <v>90</v>
      </c>
      <c r="M319" s="70" t="s">
        <v>90</v>
      </c>
      <c r="N319" s="61"/>
      <c r="O319" s="86"/>
      <c r="P319" s="86"/>
      <c r="Q319" s="86"/>
      <c r="R319" s="61" t="str">
        <f t="shared" si="1"/>
        <v>2023</v>
      </c>
      <c r="S319" s="62">
        <f t="shared" si="2"/>
        <v>12</v>
      </c>
      <c r="T319" s="61" t="str">
        <f t="shared" si="3"/>
        <v>2023-Q4</v>
      </c>
      <c r="U319" s="63" t="str">
        <f t="shared" si="4"/>
        <v>2023-12</v>
      </c>
      <c r="V319" s="64" t="str">
        <f t="shared" si="5"/>
        <v>2023-H2</v>
      </c>
      <c r="W319" s="32"/>
      <c r="X319" s="32"/>
    </row>
    <row r="320">
      <c r="A320" s="77">
        <f>HYPERLINK("https://polkadot.subsquare.io/referenda/318", 318)</f>
        <v>318</v>
      </c>
      <c r="B320" s="40" t="s">
        <v>2024</v>
      </c>
      <c r="C320" s="40" t="s">
        <v>1861</v>
      </c>
      <c r="D320" s="78">
        <v>100.0</v>
      </c>
      <c r="E320" s="79">
        <v>527.0678043365479</v>
      </c>
      <c r="F320" s="40" t="s">
        <v>982</v>
      </c>
      <c r="G320" s="78">
        <v>0.0</v>
      </c>
      <c r="H320" s="78">
        <v>9072226.717987042</v>
      </c>
      <c r="I320" s="80">
        <v>45255.0</v>
      </c>
      <c r="J320" s="80">
        <v>45269.0</v>
      </c>
      <c r="K320" s="79">
        <v>712.3778820037842</v>
      </c>
      <c r="L320" s="81" t="s">
        <v>90</v>
      </c>
      <c r="M320" s="81" t="s">
        <v>90</v>
      </c>
      <c r="N320" s="86"/>
      <c r="O320" s="61"/>
      <c r="P320" s="61"/>
      <c r="Q320" s="61"/>
      <c r="R320" s="61" t="str">
        <f t="shared" si="1"/>
        <v>2023</v>
      </c>
      <c r="S320" s="62">
        <f t="shared" si="2"/>
        <v>12</v>
      </c>
      <c r="T320" s="61" t="str">
        <f t="shared" si="3"/>
        <v>2023-Q4</v>
      </c>
      <c r="U320" s="63" t="str">
        <f t="shared" si="4"/>
        <v>2023-12</v>
      </c>
      <c r="V320" s="64" t="str">
        <f t="shared" si="5"/>
        <v>2023-H2</v>
      </c>
      <c r="W320" s="32"/>
      <c r="X320" s="32"/>
    </row>
    <row r="321">
      <c r="A321" s="77">
        <f>HYPERLINK("https://polkadot.subsquare.io/referenda/319", 319)</f>
        <v>319</v>
      </c>
      <c r="B321" s="40" t="s">
        <v>2024</v>
      </c>
      <c r="C321" s="40" t="s">
        <v>1861</v>
      </c>
      <c r="D321" s="78">
        <v>100.0</v>
      </c>
      <c r="E321" s="79">
        <v>527.0678043365479</v>
      </c>
      <c r="F321" s="40" t="s">
        <v>982</v>
      </c>
      <c r="G321" s="78">
        <v>1.0E-9</v>
      </c>
      <c r="H321" s="78">
        <v>9096245.933938928</v>
      </c>
      <c r="I321" s="80">
        <v>45255.0</v>
      </c>
      <c r="J321" s="80">
        <v>45269.0</v>
      </c>
      <c r="K321" s="79">
        <v>712.3778820037842</v>
      </c>
      <c r="L321" s="70" t="s">
        <v>90</v>
      </c>
      <c r="M321" s="70" t="s">
        <v>90</v>
      </c>
      <c r="N321" s="61"/>
      <c r="O321" s="86"/>
      <c r="P321" s="86"/>
      <c r="Q321" s="86"/>
      <c r="R321" s="61" t="str">
        <f t="shared" si="1"/>
        <v>2023</v>
      </c>
      <c r="S321" s="62">
        <f t="shared" si="2"/>
        <v>12</v>
      </c>
      <c r="T321" s="61" t="str">
        <f t="shared" si="3"/>
        <v>2023-Q4</v>
      </c>
      <c r="U321" s="63" t="str">
        <f t="shared" si="4"/>
        <v>2023-12</v>
      </c>
      <c r="V321" s="64" t="str">
        <f t="shared" si="5"/>
        <v>2023-H2</v>
      </c>
      <c r="W321" s="32"/>
      <c r="X321" s="32"/>
    </row>
    <row r="322">
      <c r="A322" s="77">
        <f>HYPERLINK("https://polkadot.subsquare.io/referenda/320", 320)</f>
        <v>320</v>
      </c>
      <c r="B322" s="77" t="s">
        <v>1090</v>
      </c>
      <c r="C322" s="40" t="s">
        <v>1851</v>
      </c>
      <c r="D322" s="78">
        <v>80.0</v>
      </c>
      <c r="E322" s="79">
        <v>421.6542434692383</v>
      </c>
      <c r="F322" s="40" t="s">
        <v>982</v>
      </c>
      <c r="G322" s="78">
        <v>4865870.116532736</v>
      </c>
      <c r="H322" s="78">
        <v>159094.2235388797</v>
      </c>
      <c r="I322" s="80">
        <v>45256.0</v>
      </c>
      <c r="J322" s="80">
        <v>45259.0</v>
      </c>
      <c r="K322" s="79">
        <v>445.9104919433594</v>
      </c>
      <c r="L322" s="81" t="s">
        <v>46</v>
      </c>
      <c r="M322" s="81" t="s">
        <v>102</v>
      </c>
      <c r="N322" s="86"/>
      <c r="O322" s="61"/>
      <c r="P322" s="61"/>
      <c r="Q322" s="61"/>
      <c r="R322" s="61" t="str">
        <f t="shared" si="1"/>
        <v>2023</v>
      </c>
      <c r="S322" s="62">
        <f t="shared" si="2"/>
        <v>11</v>
      </c>
      <c r="T322" s="61" t="str">
        <f t="shared" si="3"/>
        <v>2023-Q4</v>
      </c>
      <c r="U322" s="63" t="str">
        <f t="shared" si="4"/>
        <v>2023-11</v>
      </c>
      <c r="V322" s="64" t="str">
        <f t="shared" si="5"/>
        <v>2023-H2</v>
      </c>
      <c r="W322" s="32"/>
      <c r="X322" s="32"/>
    </row>
    <row r="323">
      <c r="A323" s="77">
        <f>HYPERLINK("https://polkadot.subsquare.io/referenda/321", 321)</f>
        <v>321</v>
      </c>
      <c r="B323" s="40" t="s">
        <v>2025</v>
      </c>
      <c r="C323" s="40" t="s">
        <v>1861</v>
      </c>
      <c r="D323" s="78">
        <v>100.0</v>
      </c>
      <c r="E323" s="79">
        <v>527.0678043365479</v>
      </c>
      <c r="F323" s="40" t="s">
        <v>982</v>
      </c>
      <c r="G323" s="78">
        <v>1000.1000010001</v>
      </c>
      <c r="H323" s="78">
        <v>9046297.11486128</v>
      </c>
      <c r="I323" s="80">
        <v>45256.0</v>
      </c>
      <c r="J323" s="80">
        <v>45270.0</v>
      </c>
      <c r="K323" s="79">
        <v>712.3778820037842</v>
      </c>
      <c r="L323" s="70" t="s">
        <v>90</v>
      </c>
      <c r="M323" s="70" t="s">
        <v>90</v>
      </c>
      <c r="N323" s="61"/>
      <c r="O323" s="86"/>
      <c r="P323" s="86"/>
      <c r="Q323" s="86"/>
      <c r="R323" s="61" t="str">
        <f t="shared" si="1"/>
        <v>2023</v>
      </c>
      <c r="S323" s="62">
        <f t="shared" si="2"/>
        <v>12</v>
      </c>
      <c r="T323" s="61" t="str">
        <f t="shared" si="3"/>
        <v>2023-Q4</v>
      </c>
      <c r="U323" s="63" t="str">
        <f t="shared" si="4"/>
        <v>2023-12</v>
      </c>
      <c r="V323" s="64" t="str">
        <f t="shared" si="5"/>
        <v>2023-H2</v>
      </c>
      <c r="W323" s="32"/>
      <c r="X323" s="32"/>
    </row>
    <row r="324">
      <c r="A324" s="77">
        <f>HYPERLINK("https://polkadot.subsquare.io/referenda/322", 322)</f>
        <v>322</v>
      </c>
      <c r="B324" s="40" t="s">
        <v>2026</v>
      </c>
      <c r="C324" s="40" t="s">
        <v>1846</v>
      </c>
      <c r="D324" s="78">
        <v>900.0</v>
      </c>
      <c r="E324" s="79">
        <v>4651.2800216674805</v>
      </c>
      <c r="F324" s="40" t="s">
        <v>1869</v>
      </c>
      <c r="G324" s="78">
        <v>90810.5760615647</v>
      </c>
      <c r="H324" s="78">
        <v>2049280.2389882293</v>
      </c>
      <c r="I324" s="80">
        <v>45256.0</v>
      </c>
      <c r="J324" s="80">
        <v>45263.0</v>
      </c>
      <c r="K324" s="79">
        <v>5438.993310928345</v>
      </c>
      <c r="L324" s="81" t="s">
        <v>90</v>
      </c>
      <c r="M324" s="81" t="s">
        <v>90</v>
      </c>
      <c r="N324" s="86"/>
      <c r="O324" s="61"/>
      <c r="P324" s="61"/>
      <c r="Q324" s="61"/>
      <c r="R324" s="61" t="str">
        <f t="shared" si="1"/>
        <v>2023</v>
      </c>
      <c r="S324" s="62">
        <f t="shared" si="2"/>
        <v>12</v>
      </c>
      <c r="T324" s="61" t="str">
        <f t="shared" si="3"/>
        <v>2023-Q4</v>
      </c>
      <c r="U324" s="63" t="str">
        <f t="shared" si="4"/>
        <v>2023-12</v>
      </c>
      <c r="V324" s="64" t="str">
        <f t="shared" si="5"/>
        <v>2023-H2</v>
      </c>
      <c r="W324" s="32"/>
      <c r="X324" s="32"/>
    </row>
    <row r="325">
      <c r="A325" s="77">
        <f>HYPERLINK("https://polkadot.subsquare.io/referenda/323", 323)</f>
        <v>323</v>
      </c>
      <c r="B325" s="40" t="s">
        <v>2027</v>
      </c>
      <c r="C325" s="40" t="s">
        <v>1846</v>
      </c>
      <c r="D325" s="78">
        <v>0.0</v>
      </c>
      <c r="E325" s="79">
        <v>0.0</v>
      </c>
      <c r="F325" s="40" t="s">
        <v>1848</v>
      </c>
      <c r="G325" s="78">
        <v>123349.5885424647</v>
      </c>
      <c r="H325" s="78">
        <v>1.4678337131542116E7</v>
      </c>
      <c r="I325" s="80">
        <v>45256.0</v>
      </c>
      <c r="J325" s="80">
        <v>45285.0</v>
      </c>
      <c r="K325" s="79">
        <v>0.0</v>
      </c>
      <c r="L325" s="70" t="s">
        <v>90</v>
      </c>
      <c r="M325" s="70" t="s">
        <v>90</v>
      </c>
      <c r="N325" s="61"/>
      <c r="O325" s="86"/>
      <c r="P325" s="86"/>
      <c r="Q325" s="86"/>
      <c r="R325" s="61" t="str">
        <f t="shared" si="1"/>
        <v>2023</v>
      </c>
      <c r="S325" s="62">
        <f t="shared" si="2"/>
        <v>12</v>
      </c>
      <c r="T325" s="61" t="str">
        <f t="shared" si="3"/>
        <v>2023-Q4</v>
      </c>
      <c r="U325" s="63" t="str">
        <f t="shared" si="4"/>
        <v>2023-12</v>
      </c>
      <c r="V325" s="64" t="str">
        <f t="shared" si="5"/>
        <v>2023-H2</v>
      </c>
      <c r="W325" s="32"/>
      <c r="X325" s="32"/>
    </row>
    <row r="326">
      <c r="A326" s="77">
        <f>HYPERLINK("https://polkadot.subsquare.io/referenda/324", 324)</f>
        <v>324</v>
      </c>
      <c r="B326" s="40" t="s">
        <v>1091</v>
      </c>
      <c r="C326" s="40" t="s">
        <v>1851</v>
      </c>
      <c r="D326" s="78">
        <v>35395.0</v>
      </c>
      <c r="E326" s="79">
        <v>182924.50707435608</v>
      </c>
      <c r="F326" s="40" t="s">
        <v>1853</v>
      </c>
      <c r="G326" s="78">
        <v>4.069527459459643E7</v>
      </c>
      <c r="H326" s="78">
        <v>1.4061017817724539E7</v>
      </c>
      <c r="I326" s="80">
        <v>45256.0</v>
      </c>
      <c r="J326" s="80">
        <v>45276.0</v>
      </c>
      <c r="K326" s="79">
        <v>237685.1772427559</v>
      </c>
      <c r="L326" s="81" t="s">
        <v>81</v>
      </c>
      <c r="M326" s="81" t="s">
        <v>87</v>
      </c>
      <c r="N326" s="86"/>
      <c r="O326" s="61"/>
      <c r="P326" s="61"/>
      <c r="Q326" s="61"/>
      <c r="R326" s="61" t="str">
        <f t="shared" si="1"/>
        <v>2023</v>
      </c>
      <c r="S326" s="62">
        <f t="shared" si="2"/>
        <v>12</v>
      </c>
      <c r="T326" s="61" t="str">
        <f t="shared" si="3"/>
        <v>2023-Q4</v>
      </c>
      <c r="U326" s="63" t="str">
        <f t="shared" si="4"/>
        <v>2023-12</v>
      </c>
      <c r="V326" s="64" t="str">
        <f t="shared" si="5"/>
        <v>2023-H2</v>
      </c>
      <c r="W326" s="32"/>
      <c r="X326" s="32"/>
    </row>
    <row r="327">
      <c r="A327" s="77">
        <f>HYPERLINK("https://polkadot.subsquare.io/referenda/325", 325)</f>
        <v>325</v>
      </c>
      <c r="B327" s="40" t="s">
        <v>1092</v>
      </c>
      <c r="C327" s="40" t="s">
        <v>1851</v>
      </c>
      <c r="D327" s="78">
        <v>8000.0</v>
      </c>
      <c r="E327" s="79">
        <v>41344.71130371094</v>
      </c>
      <c r="F327" s="40" t="s">
        <v>1848</v>
      </c>
      <c r="G327" s="78">
        <v>5.0609674107939035E7</v>
      </c>
      <c r="H327" s="78">
        <v>1068235.7683779332</v>
      </c>
      <c r="I327" s="80">
        <v>45257.0</v>
      </c>
      <c r="J327" s="80">
        <v>45270.0</v>
      </c>
      <c r="K327" s="79">
        <v>60881.42395019531</v>
      </c>
      <c r="L327" s="70" t="s">
        <v>81</v>
      </c>
      <c r="M327" s="70" t="s">
        <v>93</v>
      </c>
      <c r="N327" s="61"/>
      <c r="O327" s="86"/>
      <c r="P327" s="86"/>
      <c r="Q327" s="86"/>
      <c r="R327" s="61" t="str">
        <f t="shared" si="1"/>
        <v>2023</v>
      </c>
      <c r="S327" s="62">
        <f t="shared" si="2"/>
        <v>12</v>
      </c>
      <c r="T327" s="61" t="str">
        <f t="shared" si="3"/>
        <v>2023-Q4</v>
      </c>
      <c r="U327" s="63" t="str">
        <f t="shared" si="4"/>
        <v>2023-12</v>
      </c>
      <c r="V327" s="64" t="str">
        <f t="shared" si="5"/>
        <v>2023-H2</v>
      </c>
      <c r="W327" s="32"/>
      <c r="X327" s="32"/>
    </row>
    <row r="328">
      <c r="A328" s="77">
        <f>HYPERLINK("https://polkadot.subsquare.io/referenda/326", 326)</f>
        <v>326</v>
      </c>
      <c r="B328" s="40" t="s">
        <v>2028</v>
      </c>
      <c r="C328" s="40" t="s">
        <v>1861</v>
      </c>
      <c r="D328" s="78">
        <v>40.0</v>
      </c>
      <c r="E328" s="79">
        <v>218.63176345825195</v>
      </c>
      <c r="F328" s="40" t="s">
        <v>1853</v>
      </c>
      <c r="G328" s="78">
        <v>0.0</v>
      </c>
      <c r="H328" s="78">
        <v>2.998679216326582E7</v>
      </c>
      <c r="I328" s="80">
        <v>45257.0</v>
      </c>
      <c r="J328" s="80">
        <v>45271.0</v>
      </c>
      <c r="K328" s="79">
        <v>300.8437919616699</v>
      </c>
      <c r="L328" s="81" t="s">
        <v>90</v>
      </c>
      <c r="M328" s="81" t="s">
        <v>90</v>
      </c>
      <c r="N328" s="86"/>
      <c r="O328" s="61"/>
      <c r="P328" s="61"/>
      <c r="Q328" s="61"/>
      <c r="R328" s="61" t="str">
        <f t="shared" si="1"/>
        <v>2023</v>
      </c>
      <c r="S328" s="62">
        <f t="shared" si="2"/>
        <v>12</v>
      </c>
      <c r="T328" s="61" t="str">
        <f t="shared" si="3"/>
        <v>2023-Q4</v>
      </c>
      <c r="U328" s="63" t="str">
        <f t="shared" si="4"/>
        <v>2023-12</v>
      </c>
      <c r="V328" s="64" t="str">
        <f t="shared" si="5"/>
        <v>2023-H2</v>
      </c>
      <c r="W328" s="32"/>
      <c r="X328" s="32"/>
    </row>
    <row r="329">
      <c r="A329" s="77">
        <f>HYPERLINK("https://polkadot.subsquare.io/referenda/327", 327)</f>
        <v>327</v>
      </c>
      <c r="B329" s="40" t="s">
        <v>2029</v>
      </c>
      <c r="C329" s="40" t="s">
        <v>1861</v>
      </c>
      <c r="D329" s="78">
        <v>12000.0</v>
      </c>
      <c r="E329" s="79">
        <v>65589.52903747559</v>
      </c>
      <c r="F329" s="40" t="s">
        <v>1853</v>
      </c>
      <c r="G329" s="78">
        <v>9500.1</v>
      </c>
      <c r="H329" s="78">
        <v>4082832.44442956</v>
      </c>
      <c r="I329" s="80">
        <v>45257.0</v>
      </c>
      <c r="J329" s="80">
        <v>45271.0</v>
      </c>
      <c r="K329" s="79">
        <v>90253.13758850098</v>
      </c>
      <c r="L329" s="70" t="s">
        <v>90</v>
      </c>
      <c r="M329" s="70" t="s">
        <v>90</v>
      </c>
      <c r="N329" s="61"/>
      <c r="O329" s="86"/>
      <c r="P329" s="86"/>
      <c r="Q329" s="86"/>
      <c r="R329" s="61" t="str">
        <f t="shared" si="1"/>
        <v>2023</v>
      </c>
      <c r="S329" s="62">
        <f t="shared" si="2"/>
        <v>12</v>
      </c>
      <c r="T329" s="61" t="str">
        <f t="shared" si="3"/>
        <v>2023-Q4</v>
      </c>
      <c r="U329" s="63" t="str">
        <f t="shared" si="4"/>
        <v>2023-12</v>
      </c>
      <c r="V329" s="64" t="str">
        <f t="shared" si="5"/>
        <v>2023-H2</v>
      </c>
      <c r="W329" s="32"/>
      <c r="X329" s="32"/>
    </row>
    <row r="330">
      <c r="A330" s="77">
        <f>HYPERLINK("https://polkadot.subsquare.io/referenda/328", 328)</f>
        <v>328</v>
      </c>
      <c r="B330" s="40" t="s">
        <v>1093</v>
      </c>
      <c r="C330" s="40" t="s">
        <v>1851</v>
      </c>
      <c r="D330" s="78">
        <v>42865.0</v>
      </c>
      <c r="E330" s="79">
        <v>234291.26351594925</v>
      </c>
      <c r="F330" s="40" t="s">
        <v>1853</v>
      </c>
      <c r="G330" s="78">
        <v>5.362030762578072E7</v>
      </c>
      <c r="H330" s="78">
        <v>791064.4653407662</v>
      </c>
      <c r="I330" s="80">
        <v>45257.0</v>
      </c>
      <c r="J330" s="80">
        <v>45275.0</v>
      </c>
      <c r="K330" s="79">
        <v>294728.0863070488</v>
      </c>
      <c r="L330" s="81" t="s">
        <v>81</v>
      </c>
      <c r="M330" s="81" t="s">
        <v>89</v>
      </c>
      <c r="N330" s="86"/>
      <c r="O330" s="61"/>
      <c r="P330" s="61"/>
      <c r="Q330" s="61"/>
      <c r="R330" s="61" t="str">
        <f t="shared" si="1"/>
        <v>2023</v>
      </c>
      <c r="S330" s="62">
        <f t="shared" si="2"/>
        <v>12</v>
      </c>
      <c r="T330" s="61" t="str">
        <f t="shared" si="3"/>
        <v>2023-Q4</v>
      </c>
      <c r="U330" s="63" t="str">
        <f t="shared" si="4"/>
        <v>2023-12</v>
      </c>
      <c r="V330" s="64" t="str">
        <f t="shared" si="5"/>
        <v>2023-H2</v>
      </c>
      <c r="W330" s="32"/>
      <c r="X330" s="32"/>
    </row>
    <row r="331">
      <c r="A331" s="77">
        <f>HYPERLINK("https://polkadot.subsquare.io/referenda/329", 329)</f>
        <v>329</v>
      </c>
      <c r="B331" s="40" t="s">
        <v>2030</v>
      </c>
      <c r="C331" s="40" t="s">
        <v>1846</v>
      </c>
      <c r="D331" s="78">
        <v>22195.0</v>
      </c>
      <c r="E331" s="79">
        <v>121313.29974889755</v>
      </c>
      <c r="F331" s="40" t="s">
        <v>1853</v>
      </c>
      <c r="G331" s="78">
        <v>1100.601</v>
      </c>
      <c r="H331" s="78">
        <v>1.3020459373797458E7</v>
      </c>
      <c r="I331" s="80">
        <v>45258.0</v>
      </c>
      <c r="J331" s="80">
        <v>45286.0</v>
      </c>
      <c r="K331" s="79">
        <v>187550.28578281403</v>
      </c>
      <c r="L331" s="70" t="s">
        <v>90</v>
      </c>
      <c r="M331" s="70" t="s">
        <v>90</v>
      </c>
      <c r="N331" s="61"/>
      <c r="O331" s="86"/>
      <c r="P331" s="86"/>
      <c r="Q331" s="86"/>
      <c r="R331" s="61" t="str">
        <f t="shared" si="1"/>
        <v>2023</v>
      </c>
      <c r="S331" s="62">
        <f t="shared" si="2"/>
        <v>12</v>
      </c>
      <c r="T331" s="61" t="str">
        <f t="shared" si="3"/>
        <v>2023-Q4</v>
      </c>
      <c r="U331" s="63" t="str">
        <f t="shared" si="4"/>
        <v>2023-12</v>
      </c>
      <c r="V331" s="64" t="str">
        <f t="shared" si="5"/>
        <v>2023-H2</v>
      </c>
      <c r="W331" s="32"/>
      <c r="X331" s="32"/>
    </row>
    <row r="332">
      <c r="A332" s="77">
        <f>HYPERLINK("https://polkadot.subsquare.io/referenda/330", 330)</f>
        <v>330</v>
      </c>
      <c r="B332" s="40" t="s">
        <v>2031</v>
      </c>
      <c r="C332" s="40" t="s">
        <v>1861</v>
      </c>
      <c r="D332" s="78">
        <v>9999.0</v>
      </c>
      <c r="E332" s="79">
        <v>54744.92454957962</v>
      </c>
      <c r="F332" s="40" t="s">
        <v>1848</v>
      </c>
      <c r="G332" s="78">
        <v>27.20000001</v>
      </c>
      <c r="H332" s="78">
        <v>4256236.002121974</v>
      </c>
      <c r="I332" s="80">
        <v>45258.0</v>
      </c>
      <c r="J332" s="80">
        <v>45272.0</v>
      </c>
      <c r="K332" s="79">
        <v>69560.47089242935</v>
      </c>
      <c r="L332" s="81" t="s">
        <v>90</v>
      </c>
      <c r="M332" s="81" t="s">
        <v>90</v>
      </c>
      <c r="N332" s="86"/>
      <c r="O332" s="61"/>
      <c r="P332" s="61"/>
      <c r="Q332" s="61"/>
      <c r="R332" s="61" t="str">
        <f t="shared" si="1"/>
        <v>2023</v>
      </c>
      <c r="S332" s="62">
        <f t="shared" si="2"/>
        <v>12</v>
      </c>
      <c r="T332" s="61" t="str">
        <f t="shared" si="3"/>
        <v>2023-Q4</v>
      </c>
      <c r="U332" s="63" t="str">
        <f t="shared" si="4"/>
        <v>2023-12</v>
      </c>
      <c r="V332" s="64" t="str">
        <f t="shared" si="5"/>
        <v>2023-H2</v>
      </c>
      <c r="W332" s="32"/>
      <c r="X332" s="32"/>
    </row>
    <row r="333">
      <c r="A333" s="77">
        <f>HYPERLINK("https://polkadot.subsquare.io/referenda/331", 331)</f>
        <v>331</v>
      </c>
      <c r="B333" s="40" t="s">
        <v>1094</v>
      </c>
      <c r="C333" s="40" t="s">
        <v>1851</v>
      </c>
      <c r="D333" s="78">
        <v>13560.0</v>
      </c>
      <c r="E333" s="79">
        <v>75581.82838439941</v>
      </c>
      <c r="F333" s="40" t="s">
        <v>1853</v>
      </c>
      <c r="G333" s="78">
        <v>4.344460132650781E7</v>
      </c>
      <c r="H333" s="78">
        <v>1940628.4257413351</v>
      </c>
      <c r="I333" s="80">
        <v>45259.0</v>
      </c>
      <c r="J333" s="80">
        <v>45278.0</v>
      </c>
      <c r="K333" s="79">
        <v>113382.04055786133</v>
      </c>
      <c r="L333" s="70" t="s">
        <v>81</v>
      </c>
      <c r="M333" s="70" t="s">
        <v>89</v>
      </c>
      <c r="N333" s="61"/>
      <c r="O333" s="86"/>
      <c r="P333" s="86"/>
      <c r="Q333" s="86"/>
      <c r="R333" s="61" t="str">
        <f t="shared" si="1"/>
        <v>2023</v>
      </c>
      <c r="S333" s="62">
        <f t="shared" si="2"/>
        <v>12</v>
      </c>
      <c r="T333" s="61" t="str">
        <f t="shared" si="3"/>
        <v>2023-Q4</v>
      </c>
      <c r="U333" s="63" t="str">
        <f t="shared" si="4"/>
        <v>2023-12</v>
      </c>
      <c r="V333" s="64" t="str">
        <f t="shared" si="5"/>
        <v>2023-H2</v>
      </c>
      <c r="W333" s="32"/>
      <c r="X333" s="32"/>
    </row>
    <row r="334">
      <c r="A334" s="77">
        <f>HYPERLINK("https://polkadot.subsquare.io/referenda/332", 332)</f>
        <v>332</v>
      </c>
      <c r="B334" s="40" t="s">
        <v>1095</v>
      </c>
      <c r="C334" s="40" t="s">
        <v>1851</v>
      </c>
      <c r="D334" s="78">
        <v>1000.0</v>
      </c>
      <c r="E334" s="79">
        <v>5573.881149291992</v>
      </c>
      <c r="F334" s="40" t="s">
        <v>1869</v>
      </c>
      <c r="G334" s="78">
        <v>1938416.8089000662</v>
      </c>
      <c r="H334" s="78">
        <v>676917.0</v>
      </c>
      <c r="I334" s="80">
        <v>45260.0</v>
      </c>
      <c r="J334" s="80">
        <v>45266.0</v>
      </c>
      <c r="K334" s="79">
        <v>6839.678764343262</v>
      </c>
      <c r="L334" s="81" t="s">
        <v>46</v>
      </c>
      <c r="M334" s="81" t="s">
        <v>102</v>
      </c>
      <c r="N334" s="86"/>
      <c r="O334" s="61"/>
      <c r="P334" s="61"/>
      <c r="Q334" s="61"/>
      <c r="R334" s="61" t="str">
        <f t="shared" si="1"/>
        <v>2023</v>
      </c>
      <c r="S334" s="62">
        <f t="shared" si="2"/>
        <v>12</v>
      </c>
      <c r="T334" s="61" t="str">
        <f t="shared" si="3"/>
        <v>2023-Q4</v>
      </c>
      <c r="U334" s="63" t="str">
        <f t="shared" si="4"/>
        <v>2023-12</v>
      </c>
      <c r="V334" s="64" t="str">
        <f t="shared" si="5"/>
        <v>2023-H2</v>
      </c>
      <c r="W334" s="32"/>
      <c r="X334" s="32"/>
    </row>
    <row r="335">
      <c r="A335" s="77">
        <f>HYPERLINK("https://polkadot.subsquare.io/referenda/333", 333)</f>
        <v>333</v>
      </c>
      <c r="B335" s="40" t="s">
        <v>2032</v>
      </c>
      <c r="C335" s="40" t="s">
        <v>1846</v>
      </c>
      <c r="D335" s="78">
        <v>5000.0</v>
      </c>
      <c r="E335" s="79">
        <v>28131.635189056396</v>
      </c>
      <c r="F335" s="40" t="s">
        <v>1848</v>
      </c>
      <c r="G335" s="78">
        <v>2452744.3595240074</v>
      </c>
      <c r="H335" s="78">
        <v>1.2555287763410358E7</v>
      </c>
      <c r="I335" s="80">
        <v>45262.0</v>
      </c>
      <c r="J335" s="80">
        <v>45291.0</v>
      </c>
      <c r="K335" s="79">
        <v>42063.47942352295</v>
      </c>
      <c r="L335" s="70" t="s">
        <v>90</v>
      </c>
      <c r="M335" s="70" t="s">
        <v>90</v>
      </c>
      <c r="N335" s="61"/>
      <c r="O335" s="86"/>
      <c r="P335" s="86"/>
      <c r="Q335" s="86"/>
      <c r="R335" s="61" t="str">
        <f t="shared" si="1"/>
        <v>2023</v>
      </c>
      <c r="S335" s="62">
        <f t="shared" si="2"/>
        <v>12</v>
      </c>
      <c r="T335" s="61" t="str">
        <f t="shared" si="3"/>
        <v>2023-Q4</v>
      </c>
      <c r="U335" s="63" t="str">
        <f t="shared" si="4"/>
        <v>2023-12</v>
      </c>
      <c r="V335" s="64" t="str">
        <f t="shared" si="5"/>
        <v>2023-H2</v>
      </c>
      <c r="W335" s="32"/>
      <c r="X335" s="32"/>
    </row>
    <row r="336">
      <c r="A336" s="77">
        <f>HYPERLINK("https://polkadot.subsquare.io/referenda/334", 334)</f>
        <v>334</v>
      </c>
      <c r="B336" s="40" t="s">
        <v>1096</v>
      </c>
      <c r="C336" s="40" t="s">
        <v>1851</v>
      </c>
      <c r="D336" s="78">
        <v>6431.0</v>
      </c>
      <c r="E336" s="79">
        <v>38017.319400310516</v>
      </c>
      <c r="F336" s="40" t="s">
        <v>1848</v>
      </c>
      <c r="G336" s="78">
        <v>5.3048548260518506E7</v>
      </c>
      <c r="H336" s="78">
        <v>1290903.2647381595</v>
      </c>
      <c r="I336" s="80">
        <v>45262.0</v>
      </c>
      <c r="J336" s="80">
        <v>45282.0</v>
      </c>
      <c r="K336" s="79">
        <v>55615.090220451355</v>
      </c>
      <c r="L336" s="81" t="s">
        <v>50</v>
      </c>
      <c r="M336" s="81" t="s">
        <v>108</v>
      </c>
      <c r="N336" s="86"/>
      <c r="O336" s="61"/>
      <c r="P336" s="61"/>
      <c r="Q336" s="61"/>
      <c r="R336" s="61" t="str">
        <f t="shared" si="1"/>
        <v>2023</v>
      </c>
      <c r="S336" s="62">
        <f t="shared" si="2"/>
        <v>12</v>
      </c>
      <c r="T336" s="61" t="str">
        <f t="shared" si="3"/>
        <v>2023-Q4</v>
      </c>
      <c r="U336" s="63" t="str">
        <f t="shared" si="4"/>
        <v>2023-12</v>
      </c>
      <c r="V336" s="64" t="str">
        <f t="shared" si="5"/>
        <v>2023-H2</v>
      </c>
      <c r="W336" s="32"/>
      <c r="X336" s="32"/>
    </row>
    <row r="337">
      <c r="A337" s="77">
        <f>HYPERLINK("https://polkadot.subsquare.io/referenda/335", 335)</f>
        <v>335</v>
      </c>
      <c r="B337" s="40" t="s">
        <v>2033</v>
      </c>
      <c r="C337" s="40" t="s">
        <v>1851</v>
      </c>
      <c r="D337" s="78">
        <v>0.0</v>
      </c>
      <c r="E337" s="79">
        <v>0.0</v>
      </c>
      <c r="F337" s="40" t="s">
        <v>1886</v>
      </c>
      <c r="G337" s="78">
        <v>3.1116971862839773E7</v>
      </c>
      <c r="H337" s="78">
        <v>54320.6865210526</v>
      </c>
      <c r="I337" s="80">
        <v>45263.0</v>
      </c>
      <c r="J337" s="80">
        <v>45288.0</v>
      </c>
      <c r="K337" s="79">
        <v>0.0</v>
      </c>
      <c r="L337" s="70" t="s">
        <v>90</v>
      </c>
      <c r="M337" s="70" t="s">
        <v>90</v>
      </c>
      <c r="N337" s="61"/>
      <c r="O337" s="86"/>
      <c r="P337" s="86"/>
      <c r="Q337" s="86"/>
      <c r="R337" s="61" t="str">
        <f t="shared" si="1"/>
        <v>2023</v>
      </c>
      <c r="S337" s="62">
        <f t="shared" si="2"/>
        <v>12</v>
      </c>
      <c r="T337" s="61" t="str">
        <f t="shared" si="3"/>
        <v>2023-Q4</v>
      </c>
      <c r="U337" s="63" t="str">
        <f t="shared" si="4"/>
        <v>2023-12</v>
      </c>
      <c r="V337" s="64" t="str">
        <f t="shared" si="5"/>
        <v>2023-H2</v>
      </c>
      <c r="W337" s="32"/>
      <c r="X337" s="32"/>
    </row>
    <row r="338">
      <c r="A338" s="77">
        <f>HYPERLINK("https://polkadot.subsquare.io/referenda/336", 336)</f>
        <v>336</v>
      </c>
      <c r="B338" s="40" t="s">
        <v>1107</v>
      </c>
      <c r="C338" s="40" t="s">
        <v>1846</v>
      </c>
      <c r="D338" s="78">
        <v>1086847.0</v>
      </c>
      <c r="E338" s="79">
        <v>6568170.625558376</v>
      </c>
      <c r="F338" s="40" t="s">
        <v>1853</v>
      </c>
      <c r="G338" s="78">
        <v>0.0</v>
      </c>
      <c r="H338" s="78">
        <v>1.3739780149511142E7</v>
      </c>
      <c r="I338" s="80">
        <v>45264.0</v>
      </c>
      <c r="J338" s="80">
        <v>45292.0</v>
      </c>
      <c r="K338" s="79">
        <v>8305492.200950623</v>
      </c>
      <c r="L338" s="81" t="s">
        <v>90</v>
      </c>
      <c r="M338" s="81" t="s">
        <v>90</v>
      </c>
      <c r="N338" s="86"/>
      <c r="O338" s="61"/>
      <c r="P338" s="61"/>
      <c r="Q338" s="61"/>
      <c r="R338" s="61" t="str">
        <f t="shared" si="1"/>
        <v>2024</v>
      </c>
      <c r="S338" s="62">
        <f t="shared" si="2"/>
        <v>1</v>
      </c>
      <c r="T338" s="61" t="str">
        <f t="shared" si="3"/>
        <v>2024-Q1</v>
      </c>
      <c r="U338" s="63" t="str">
        <f t="shared" si="4"/>
        <v>2024-01</v>
      </c>
      <c r="V338" s="64" t="str">
        <f t="shared" si="5"/>
        <v>2024-H1</v>
      </c>
      <c r="W338" s="32"/>
      <c r="X338" s="32"/>
    </row>
    <row r="339">
      <c r="A339" s="77">
        <f>HYPERLINK("https://polkadot.subsquare.io/referenda/337", 337)</f>
        <v>337</v>
      </c>
      <c r="B339" s="40" t="s">
        <v>2034</v>
      </c>
      <c r="C339" s="40" t="s">
        <v>1846</v>
      </c>
      <c r="D339" s="78">
        <v>9000.0</v>
      </c>
      <c r="E339" s="79">
        <v>56219.993591308594</v>
      </c>
      <c r="F339" s="40" t="s">
        <v>1848</v>
      </c>
      <c r="G339" s="78">
        <v>705123.0032703419</v>
      </c>
      <c r="H339" s="78">
        <v>1.3567024466198064E7</v>
      </c>
      <c r="I339" s="80">
        <v>45264.0</v>
      </c>
      <c r="J339" s="80">
        <v>45292.0</v>
      </c>
      <c r="K339" s="79">
        <v>70933.28332901001</v>
      </c>
      <c r="L339" s="70" t="s">
        <v>90</v>
      </c>
      <c r="M339" s="70" t="s">
        <v>90</v>
      </c>
      <c r="N339" s="61"/>
      <c r="O339" s="86"/>
      <c r="P339" s="86"/>
      <c r="Q339" s="86"/>
      <c r="R339" s="61" t="str">
        <f t="shared" si="1"/>
        <v>2024</v>
      </c>
      <c r="S339" s="62">
        <f t="shared" si="2"/>
        <v>1</v>
      </c>
      <c r="T339" s="61" t="str">
        <f t="shared" si="3"/>
        <v>2024-Q1</v>
      </c>
      <c r="U339" s="63" t="str">
        <f t="shared" si="4"/>
        <v>2024-01</v>
      </c>
      <c r="V339" s="64" t="str">
        <f t="shared" si="5"/>
        <v>2024-H1</v>
      </c>
      <c r="W339" s="32"/>
      <c r="X339" s="32"/>
    </row>
    <row r="340">
      <c r="A340" s="77">
        <f>HYPERLINK("https://polkadot.subsquare.io/referenda/338", 338)</f>
        <v>338</v>
      </c>
      <c r="B340" s="40" t="s">
        <v>1097</v>
      </c>
      <c r="C340" s="40" t="s">
        <v>1851</v>
      </c>
      <c r="D340" s="78">
        <v>71503.0</v>
      </c>
      <c r="E340" s="79">
        <v>446655.3557510376</v>
      </c>
      <c r="F340" s="40" t="s">
        <v>1853</v>
      </c>
      <c r="G340" s="78">
        <v>4.391815148159021E7</v>
      </c>
      <c r="H340" s="78">
        <v>1.1631872381211E7</v>
      </c>
      <c r="I340" s="80">
        <v>45264.0</v>
      </c>
      <c r="J340" s="80">
        <v>45284.0</v>
      </c>
      <c r="K340" s="79">
        <v>630603.3177213669</v>
      </c>
      <c r="L340" s="81" t="s">
        <v>81</v>
      </c>
      <c r="M340" s="85" t="s">
        <v>86</v>
      </c>
      <c r="N340" s="86"/>
      <c r="O340" s="61"/>
      <c r="P340" s="61"/>
      <c r="Q340" s="61"/>
      <c r="R340" s="61" t="str">
        <f t="shared" si="1"/>
        <v>2023</v>
      </c>
      <c r="S340" s="62">
        <f t="shared" si="2"/>
        <v>12</v>
      </c>
      <c r="T340" s="61" t="str">
        <f t="shared" si="3"/>
        <v>2023-Q4</v>
      </c>
      <c r="U340" s="63" t="str">
        <f t="shared" si="4"/>
        <v>2023-12</v>
      </c>
      <c r="V340" s="64" t="str">
        <f t="shared" si="5"/>
        <v>2023-H2</v>
      </c>
      <c r="W340" s="32"/>
      <c r="X340" s="32"/>
    </row>
    <row r="341">
      <c r="A341" s="77">
        <f>HYPERLINK("https://polkadot.subsquare.io/referenda/339", 339)</f>
        <v>339</v>
      </c>
      <c r="B341" s="40" t="s">
        <v>2035</v>
      </c>
      <c r="C341" s="40" t="s">
        <v>1846</v>
      </c>
      <c r="D341" s="78">
        <v>5210.0</v>
      </c>
      <c r="E341" s="79">
        <v>32545.129623413086</v>
      </c>
      <c r="F341" s="40" t="s">
        <v>1848</v>
      </c>
      <c r="G341" s="78">
        <v>2341030.322045777</v>
      </c>
      <c r="H341" s="78">
        <v>1.216534161806062E7</v>
      </c>
      <c r="I341" s="80">
        <v>45264.0</v>
      </c>
      <c r="J341" s="80">
        <v>45293.0</v>
      </c>
      <c r="K341" s="79">
        <v>38791.37742519379</v>
      </c>
      <c r="L341" s="70" t="s">
        <v>90</v>
      </c>
      <c r="M341" s="70" t="s">
        <v>90</v>
      </c>
      <c r="N341" s="61"/>
      <c r="O341" s="86"/>
      <c r="P341" s="86"/>
      <c r="Q341" s="86"/>
      <c r="R341" s="61" t="str">
        <f t="shared" si="1"/>
        <v>2024</v>
      </c>
      <c r="S341" s="62">
        <f t="shared" si="2"/>
        <v>1</v>
      </c>
      <c r="T341" s="61" t="str">
        <f t="shared" si="3"/>
        <v>2024-Q1</v>
      </c>
      <c r="U341" s="63" t="str">
        <f t="shared" si="4"/>
        <v>2024-01</v>
      </c>
      <c r="V341" s="64" t="str">
        <f t="shared" si="5"/>
        <v>2024-H1</v>
      </c>
      <c r="W341" s="32"/>
      <c r="X341" s="32"/>
    </row>
    <row r="342">
      <c r="A342" s="77">
        <f>HYPERLINK("https://polkadot.subsquare.io/referenda/340", 340)</f>
        <v>340</v>
      </c>
      <c r="B342" s="40" t="s">
        <v>2036</v>
      </c>
      <c r="C342" s="40" t="s">
        <v>1943</v>
      </c>
      <c r="D342" s="78">
        <v>0.0</v>
      </c>
      <c r="E342" s="79">
        <v>0.0</v>
      </c>
      <c r="F342" s="40" t="s">
        <v>1868</v>
      </c>
      <c r="G342" s="78">
        <v>1.1784649916953847E7</v>
      </c>
      <c r="H342" s="78">
        <v>41025.6078432547</v>
      </c>
      <c r="I342" s="80">
        <v>45264.0</v>
      </c>
      <c r="J342" s="80">
        <v>45292.0</v>
      </c>
      <c r="K342" s="79">
        <v>0.0</v>
      </c>
      <c r="L342" s="81" t="s">
        <v>90</v>
      </c>
      <c r="M342" s="81" t="s">
        <v>90</v>
      </c>
      <c r="N342" s="86"/>
      <c r="O342" s="61"/>
      <c r="P342" s="61"/>
      <c r="Q342" s="61"/>
      <c r="R342" s="61" t="str">
        <f t="shared" si="1"/>
        <v>2024</v>
      </c>
      <c r="S342" s="62">
        <f t="shared" si="2"/>
        <v>1</v>
      </c>
      <c r="T342" s="61" t="str">
        <f t="shared" si="3"/>
        <v>2024-Q1</v>
      </c>
      <c r="U342" s="63" t="str">
        <f t="shared" si="4"/>
        <v>2024-01</v>
      </c>
      <c r="V342" s="64" t="str">
        <f t="shared" si="5"/>
        <v>2024-H1</v>
      </c>
      <c r="W342" s="32"/>
      <c r="X342" s="32"/>
    </row>
    <row r="343">
      <c r="A343" s="77">
        <f>HYPERLINK("https://polkadot.subsquare.io/referenda/341", 341)</f>
        <v>341</v>
      </c>
      <c r="B343" s="40" t="s">
        <v>2037</v>
      </c>
      <c r="C343" s="40" t="s">
        <v>1968</v>
      </c>
      <c r="D343" s="78">
        <v>149657.0</v>
      </c>
      <c r="E343" s="79">
        <v>934857.2867660522</v>
      </c>
      <c r="F343" s="40" t="s">
        <v>1855</v>
      </c>
      <c r="G343" s="78">
        <v>820167.5394027361</v>
      </c>
      <c r="H343" s="78">
        <v>1.5501114562934028E7</v>
      </c>
      <c r="I343" s="80">
        <v>45264.0</v>
      </c>
      <c r="J343" s="80">
        <v>45274.0</v>
      </c>
      <c r="K343" s="79">
        <v>1016502.2154192924</v>
      </c>
      <c r="L343" s="70" t="s">
        <v>90</v>
      </c>
      <c r="M343" s="70" t="s">
        <v>90</v>
      </c>
      <c r="N343" s="61"/>
      <c r="O343" s="86"/>
      <c r="P343" s="86"/>
      <c r="Q343" s="86"/>
      <c r="R343" s="61" t="str">
        <f t="shared" si="1"/>
        <v>2023</v>
      </c>
      <c r="S343" s="62">
        <f t="shared" si="2"/>
        <v>12</v>
      </c>
      <c r="T343" s="61" t="str">
        <f t="shared" si="3"/>
        <v>2023-Q4</v>
      </c>
      <c r="U343" s="63" t="str">
        <f t="shared" si="4"/>
        <v>2023-12</v>
      </c>
      <c r="V343" s="64" t="str">
        <f t="shared" si="5"/>
        <v>2023-H2</v>
      </c>
      <c r="W343" s="32"/>
      <c r="X343" s="32"/>
    </row>
    <row r="344">
      <c r="A344" s="77">
        <f>HYPERLINK("https://polkadot.subsquare.io/referenda/342", 342)</f>
        <v>342</v>
      </c>
      <c r="B344" s="40" t="s">
        <v>1098</v>
      </c>
      <c r="C344" s="40" t="s">
        <v>1851</v>
      </c>
      <c r="D344" s="78">
        <v>26706.0</v>
      </c>
      <c r="E344" s="79">
        <v>166823.46098327637</v>
      </c>
      <c r="F344" s="40" t="s">
        <v>1853</v>
      </c>
      <c r="G344" s="78">
        <v>4.077124636234969E7</v>
      </c>
      <c r="H344" s="78">
        <v>1.2772067327100229E7</v>
      </c>
      <c r="I344" s="80">
        <v>45264.0</v>
      </c>
      <c r="J344" s="80">
        <v>45284.0</v>
      </c>
      <c r="K344" s="79">
        <v>232424.17905807495</v>
      </c>
      <c r="L344" s="81" t="s">
        <v>81</v>
      </c>
      <c r="M344" s="81" t="s">
        <v>84</v>
      </c>
      <c r="N344" s="86"/>
      <c r="O344" s="61"/>
      <c r="P344" s="61"/>
      <c r="Q344" s="61"/>
      <c r="R344" s="61" t="str">
        <f t="shared" si="1"/>
        <v>2023</v>
      </c>
      <c r="S344" s="62">
        <f t="shared" si="2"/>
        <v>12</v>
      </c>
      <c r="T344" s="61" t="str">
        <f t="shared" si="3"/>
        <v>2023-Q4</v>
      </c>
      <c r="U344" s="63" t="str">
        <f t="shared" si="4"/>
        <v>2023-12</v>
      </c>
      <c r="V344" s="64" t="str">
        <f t="shared" si="5"/>
        <v>2023-H2</v>
      </c>
      <c r="W344" s="32"/>
      <c r="X344" s="32"/>
    </row>
    <row r="345">
      <c r="A345" s="77">
        <f>HYPERLINK("https://polkadot.subsquare.io/referenda/343", 343)</f>
        <v>343</v>
      </c>
      <c r="B345" s="40" t="s">
        <v>1099</v>
      </c>
      <c r="C345" s="40" t="s">
        <v>1851</v>
      </c>
      <c r="D345" s="78">
        <v>11239.0</v>
      </c>
      <c r="E345" s="79">
        <v>76871.14963245392</v>
      </c>
      <c r="F345" s="40" t="s">
        <v>1853</v>
      </c>
      <c r="G345" s="78">
        <v>4.012783179648351E7</v>
      </c>
      <c r="H345" s="78">
        <v>1.4090210882136062E7</v>
      </c>
      <c r="I345" s="80">
        <v>45265.0</v>
      </c>
      <c r="J345" s="80">
        <v>45294.0</v>
      </c>
      <c r="K345" s="79">
        <v>80233.32316684723</v>
      </c>
      <c r="L345" s="70" t="s">
        <v>81</v>
      </c>
      <c r="M345" s="70" t="s">
        <v>88</v>
      </c>
      <c r="N345" s="61"/>
      <c r="O345" s="86"/>
      <c r="P345" s="86"/>
      <c r="Q345" s="86"/>
      <c r="R345" s="61" t="str">
        <f t="shared" si="1"/>
        <v>2024</v>
      </c>
      <c r="S345" s="62">
        <f t="shared" si="2"/>
        <v>1</v>
      </c>
      <c r="T345" s="61" t="str">
        <f t="shared" si="3"/>
        <v>2024-Q1</v>
      </c>
      <c r="U345" s="63" t="str">
        <f t="shared" si="4"/>
        <v>2024-01</v>
      </c>
      <c r="V345" s="64" t="str">
        <f t="shared" si="5"/>
        <v>2024-H1</v>
      </c>
      <c r="W345" s="32"/>
      <c r="X345" s="32"/>
    </row>
    <row r="346">
      <c r="A346" s="77">
        <f>HYPERLINK("https://polkadot.subsquare.io/referenda/344", 344)</f>
        <v>344</v>
      </c>
      <c r="B346" s="40" t="s">
        <v>1100</v>
      </c>
      <c r="C346" s="40" t="s">
        <v>1851</v>
      </c>
      <c r="D346" s="78">
        <v>16981.0</v>
      </c>
      <c r="E346" s="79">
        <v>116144.58509731293</v>
      </c>
      <c r="F346" s="40" t="s">
        <v>1853</v>
      </c>
      <c r="G346" s="78">
        <v>4.0139274507129185E7</v>
      </c>
      <c r="H346" s="78">
        <v>1.5664451232700586E7</v>
      </c>
      <c r="I346" s="80">
        <v>45265.0</v>
      </c>
      <c r="J346" s="80">
        <v>45285.0</v>
      </c>
      <c r="K346" s="79">
        <v>143491.3900823593</v>
      </c>
      <c r="L346" s="81" t="s">
        <v>81</v>
      </c>
      <c r="M346" s="81" t="s">
        <v>84</v>
      </c>
      <c r="N346" s="86"/>
      <c r="O346" s="61"/>
      <c r="P346" s="61"/>
      <c r="Q346" s="61"/>
      <c r="R346" s="61" t="str">
        <f t="shared" si="1"/>
        <v>2023</v>
      </c>
      <c r="S346" s="62">
        <f t="shared" si="2"/>
        <v>12</v>
      </c>
      <c r="T346" s="61" t="str">
        <f t="shared" si="3"/>
        <v>2023-Q4</v>
      </c>
      <c r="U346" s="63" t="str">
        <f t="shared" si="4"/>
        <v>2023-12</v>
      </c>
      <c r="V346" s="64" t="str">
        <f t="shared" si="5"/>
        <v>2023-H2</v>
      </c>
      <c r="W346" s="32"/>
      <c r="X346" s="32"/>
    </row>
    <row r="347">
      <c r="A347" s="77">
        <f>HYPERLINK("https://polkadot.subsquare.io/referenda/345", 345)</f>
        <v>345</v>
      </c>
      <c r="B347" s="40" t="s">
        <v>2038</v>
      </c>
      <c r="C347" s="40" t="s">
        <v>1846</v>
      </c>
      <c r="D347" s="78">
        <v>21000.0</v>
      </c>
      <c r="E347" s="79">
        <v>143633.2540512085</v>
      </c>
      <c r="F347" s="40" t="s">
        <v>1853</v>
      </c>
      <c r="G347" s="78">
        <v>642341.841820502</v>
      </c>
      <c r="H347" s="78">
        <v>2377607.5034548435</v>
      </c>
      <c r="I347" s="80">
        <v>45265.0</v>
      </c>
      <c r="J347" s="80">
        <v>45294.0</v>
      </c>
      <c r="K347" s="79">
        <v>156356.79960250854</v>
      </c>
      <c r="L347" s="70" t="s">
        <v>81</v>
      </c>
      <c r="M347" s="70" t="s">
        <v>89</v>
      </c>
      <c r="N347" s="61"/>
      <c r="O347" s="86"/>
      <c r="P347" s="86"/>
      <c r="Q347" s="86"/>
      <c r="R347" s="61" t="str">
        <f t="shared" si="1"/>
        <v>2024</v>
      </c>
      <c r="S347" s="62">
        <f t="shared" si="2"/>
        <v>1</v>
      </c>
      <c r="T347" s="61" t="str">
        <f t="shared" si="3"/>
        <v>2024-Q1</v>
      </c>
      <c r="U347" s="63" t="str">
        <f t="shared" si="4"/>
        <v>2024-01</v>
      </c>
      <c r="V347" s="64" t="str">
        <f t="shared" si="5"/>
        <v>2024-H1</v>
      </c>
      <c r="W347" s="32"/>
      <c r="X347" s="32"/>
    </row>
    <row r="348">
      <c r="A348" s="77">
        <f>HYPERLINK("https://polkadot.subsquare.io/referenda/346", 346)</f>
        <v>346</v>
      </c>
      <c r="B348" s="40" t="s">
        <v>2039</v>
      </c>
      <c r="C348" s="40" t="s">
        <v>1851</v>
      </c>
      <c r="D348" s="78">
        <v>0.0</v>
      </c>
      <c r="E348" s="79">
        <v>0.0</v>
      </c>
      <c r="F348" s="40" t="s">
        <v>1853</v>
      </c>
      <c r="G348" s="78">
        <v>1.277154673353161E7</v>
      </c>
      <c r="H348" s="78">
        <v>519658.0743996018</v>
      </c>
      <c r="I348" s="80">
        <v>45266.0</v>
      </c>
      <c r="J348" s="80">
        <v>45292.0</v>
      </c>
      <c r="K348" s="79">
        <v>0.0</v>
      </c>
      <c r="L348" s="81" t="s">
        <v>49</v>
      </c>
      <c r="M348" s="81" t="s">
        <v>140</v>
      </c>
      <c r="N348" s="86"/>
      <c r="O348" s="61" t="s">
        <v>1881</v>
      </c>
      <c r="P348" s="61" t="s">
        <v>1881</v>
      </c>
      <c r="Q348" s="61"/>
      <c r="R348" s="61" t="str">
        <f t="shared" si="1"/>
        <v>2024</v>
      </c>
      <c r="S348" s="62">
        <f t="shared" si="2"/>
        <v>1</v>
      </c>
      <c r="T348" s="61" t="str">
        <f t="shared" si="3"/>
        <v>2024-Q1</v>
      </c>
      <c r="U348" s="63" t="str">
        <f t="shared" si="4"/>
        <v>2024-01</v>
      </c>
      <c r="V348" s="64" t="str">
        <f t="shared" si="5"/>
        <v>2024-H1</v>
      </c>
      <c r="W348" s="32"/>
      <c r="X348" s="32"/>
    </row>
    <row r="349">
      <c r="A349" s="77">
        <f>HYPERLINK("https://polkadot.subsquare.io/referenda/347", 347)</f>
        <v>347</v>
      </c>
      <c r="B349" s="40" t="s">
        <v>1101</v>
      </c>
      <c r="C349" s="40" t="s">
        <v>1851</v>
      </c>
      <c r="D349" s="78">
        <v>610.0</v>
      </c>
      <c r="E349" s="79">
        <v>4341.748194694519</v>
      </c>
      <c r="F349" s="40" t="s">
        <v>1869</v>
      </c>
      <c r="G349" s="78">
        <v>1299312.8215687599</v>
      </c>
      <c r="H349" s="78">
        <v>327389.0237545887</v>
      </c>
      <c r="I349" s="80">
        <v>45266.0</v>
      </c>
      <c r="J349" s="80">
        <v>45273.0</v>
      </c>
      <c r="K349" s="79">
        <v>4243.613085746765</v>
      </c>
      <c r="L349" s="70" t="s">
        <v>48</v>
      </c>
      <c r="M349" s="70" t="s">
        <v>134</v>
      </c>
      <c r="N349" s="61"/>
      <c r="O349" s="86"/>
      <c r="P349" s="86"/>
      <c r="Q349" s="86"/>
      <c r="R349" s="61" t="str">
        <f t="shared" si="1"/>
        <v>2023</v>
      </c>
      <c r="S349" s="62">
        <f t="shared" si="2"/>
        <v>12</v>
      </c>
      <c r="T349" s="61" t="str">
        <f t="shared" si="3"/>
        <v>2023-Q4</v>
      </c>
      <c r="U349" s="63" t="str">
        <f t="shared" si="4"/>
        <v>2023-12</v>
      </c>
      <c r="V349" s="64" t="str">
        <f t="shared" si="5"/>
        <v>2023-H2</v>
      </c>
      <c r="W349" s="32"/>
      <c r="X349" s="32"/>
    </row>
    <row r="350">
      <c r="A350" s="77">
        <f>HYPERLINK("https://polkadot.subsquare.io/referenda/348", 348)</f>
        <v>348</v>
      </c>
      <c r="B350" s="40" t="s">
        <v>2040</v>
      </c>
      <c r="C350" s="40" t="s">
        <v>1851</v>
      </c>
      <c r="D350" s="78">
        <v>0.0</v>
      </c>
      <c r="E350" s="79">
        <v>0.0</v>
      </c>
      <c r="F350" s="40" t="s">
        <v>1970</v>
      </c>
      <c r="G350" s="78">
        <v>1.0395602393778948E7</v>
      </c>
      <c r="H350" s="78">
        <v>183939.6872152575</v>
      </c>
      <c r="I350" s="80">
        <v>45266.0</v>
      </c>
      <c r="J350" s="80">
        <v>45274.0</v>
      </c>
      <c r="K350" s="79">
        <v>0.0</v>
      </c>
      <c r="L350" s="81"/>
      <c r="M350" s="81"/>
      <c r="N350" s="86"/>
      <c r="O350" s="61"/>
      <c r="P350" s="61"/>
      <c r="Q350" s="61"/>
      <c r="R350" s="61" t="str">
        <f t="shared" si="1"/>
        <v>2023</v>
      </c>
      <c r="S350" s="62">
        <f t="shared" si="2"/>
        <v>12</v>
      </c>
      <c r="T350" s="61" t="str">
        <f t="shared" si="3"/>
        <v>2023-Q4</v>
      </c>
      <c r="U350" s="63" t="str">
        <f t="shared" si="4"/>
        <v>2023-12</v>
      </c>
      <c r="V350" s="64" t="str">
        <f t="shared" si="5"/>
        <v>2023-H2</v>
      </c>
      <c r="W350" s="32"/>
      <c r="X350" s="32"/>
    </row>
    <row r="351">
      <c r="A351" s="77">
        <f>HYPERLINK("https://polkadot.subsquare.io/referenda/349", 349)</f>
        <v>349</v>
      </c>
      <c r="B351" s="40" t="s">
        <v>1102</v>
      </c>
      <c r="C351" s="40" t="s">
        <v>1851</v>
      </c>
      <c r="D351" s="78">
        <v>482.0</v>
      </c>
      <c r="E351" s="79">
        <v>3430.6928358078003</v>
      </c>
      <c r="F351" s="40" t="s">
        <v>1869</v>
      </c>
      <c r="G351" s="78">
        <v>2186348.418541134</v>
      </c>
      <c r="H351" s="78">
        <v>138903.5726849249</v>
      </c>
      <c r="I351" s="80">
        <v>45267.0</v>
      </c>
      <c r="J351" s="80">
        <v>45272.0</v>
      </c>
      <c r="K351" s="79">
        <v>3353.1500120162964</v>
      </c>
      <c r="L351" s="70" t="s">
        <v>48</v>
      </c>
      <c r="M351" s="70" t="s">
        <v>131</v>
      </c>
      <c r="N351" s="61"/>
      <c r="O351" s="86"/>
      <c r="P351" s="86"/>
      <c r="Q351" s="86"/>
      <c r="R351" s="61" t="str">
        <f t="shared" si="1"/>
        <v>2023</v>
      </c>
      <c r="S351" s="62">
        <f t="shared" si="2"/>
        <v>12</v>
      </c>
      <c r="T351" s="61" t="str">
        <f t="shared" si="3"/>
        <v>2023-Q4</v>
      </c>
      <c r="U351" s="63" t="str">
        <f t="shared" si="4"/>
        <v>2023-12</v>
      </c>
      <c r="V351" s="64" t="str">
        <f t="shared" si="5"/>
        <v>2023-H2</v>
      </c>
      <c r="W351" s="32"/>
      <c r="X351" s="32"/>
    </row>
    <row r="352">
      <c r="A352" s="77">
        <f>HYPERLINK("https://polkadot.subsquare.io/referenda/350", 350)</f>
        <v>350</v>
      </c>
      <c r="B352" s="40" t="s">
        <v>1103</v>
      </c>
      <c r="C352" s="40" t="s">
        <v>1851</v>
      </c>
      <c r="D352" s="78">
        <v>99950.0</v>
      </c>
      <c r="E352" s="79">
        <v>711406.1181306839</v>
      </c>
      <c r="F352" s="40" t="s">
        <v>1853</v>
      </c>
      <c r="G352" s="78">
        <v>4.290680056530482E7</v>
      </c>
      <c r="H352" s="78">
        <v>1290236.0674714393</v>
      </c>
      <c r="I352" s="80">
        <v>45267.0</v>
      </c>
      <c r="J352" s="80">
        <v>45287.0</v>
      </c>
      <c r="K352" s="79">
        <v>836667.7529335022</v>
      </c>
      <c r="L352" s="81" t="s">
        <v>81</v>
      </c>
      <c r="M352" s="85" t="s">
        <v>91</v>
      </c>
      <c r="N352" s="86"/>
      <c r="O352" s="61"/>
      <c r="P352" s="61"/>
      <c r="Q352" s="61"/>
      <c r="R352" s="61" t="str">
        <f t="shared" si="1"/>
        <v>2023</v>
      </c>
      <c r="S352" s="62">
        <f t="shared" si="2"/>
        <v>12</v>
      </c>
      <c r="T352" s="61" t="str">
        <f t="shared" si="3"/>
        <v>2023-Q4</v>
      </c>
      <c r="U352" s="63" t="str">
        <f t="shared" si="4"/>
        <v>2023-12</v>
      </c>
      <c r="V352" s="64" t="str">
        <f t="shared" si="5"/>
        <v>2023-H2</v>
      </c>
      <c r="W352" s="32"/>
      <c r="X352" s="32"/>
    </row>
    <row r="353">
      <c r="A353" s="77">
        <f>HYPERLINK("https://polkadot.subsquare.io/referenda/351", 351)</f>
        <v>351</v>
      </c>
      <c r="B353" s="40" t="s">
        <v>2041</v>
      </c>
      <c r="C353" s="40" t="s">
        <v>1861</v>
      </c>
      <c r="D353" s="78">
        <v>0.0</v>
      </c>
      <c r="E353" s="79">
        <v>0.0</v>
      </c>
      <c r="F353" s="40" t="s">
        <v>1857</v>
      </c>
      <c r="G353" s="78">
        <v>29367.0693732923</v>
      </c>
      <c r="H353" s="78">
        <v>4576366.465971193</v>
      </c>
      <c r="I353" s="80">
        <v>45267.0</v>
      </c>
      <c r="J353" s="80">
        <v>45281.0</v>
      </c>
      <c r="K353" s="79">
        <v>0.0</v>
      </c>
      <c r="L353" s="70"/>
      <c r="M353" s="70"/>
      <c r="N353" s="61"/>
      <c r="O353" s="86"/>
      <c r="P353" s="86"/>
      <c r="Q353" s="86"/>
      <c r="R353" s="61" t="str">
        <f t="shared" si="1"/>
        <v>2023</v>
      </c>
      <c r="S353" s="62">
        <f t="shared" si="2"/>
        <v>12</v>
      </c>
      <c r="T353" s="61" t="str">
        <f t="shared" si="3"/>
        <v>2023-Q4</v>
      </c>
      <c r="U353" s="63" t="str">
        <f t="shared" si="4"/>
        <v>2023-12</v>
      </c>
      <c r="V353" s="64" t="str">
        <f t="shared" si="5"/>
        <v>2023-H2</v>
      </c>
      <c r="W353" s="32"/>
      <c r="X353" s="32"/>
    </row>
    <row r="354">
      <c r="A354" s="77">
        <f>HYPERLINK("https://polkadot.subsquare.io/referenda/352", 352)</f>
        <v>352</v>
      </c>
      <c r="B354" s="40" t="s">
        <v>2042</v>
      </c>
      <c r="C354" s="40" t="s">
        <v>1846</v>
      </c>
      <c r="D354" s="78">
        <v>450.0</v>
      </c>
      <c r="E354" s="79">
        <v>3303.708815574646</v>
      </c>
      <c r="F354" s="40" t="s">
        <v>1869</v>
      </c>
      <c r="G354" s="78">
        <v>174575.1980649949</v>
      </c>
      <c r="H354" s="78">
        <v>1076030.0025477984</v>
      </c>
      <c r="I354" s="80">
        <v>45267.0</v>
      </c>
      <c r="J354" s="80">
        <v>45275.0</v>
      </c>
      <c r="K354" s="79">
        <v>3094.0776586532593</v>
      </c>
      <c r="L354" s="81"/>
      <c r="M354" s="81"/>
      <c r="N354" s="86"/>
      <c r="O354" s="61"/>
      <c r="P354" s="61"/>
      <c r="Q354" s="61"/>
      <c r="R354" s="61" t="str">
        <f t="shared" si="1"/>
        <v>2023</v>
      </c>
      <c r="S354" s="62">
        <f t="shared" si="2"/>
        <v>12</v>
      </c>
      <c r="T354" s="61" t="str">
        <f t="shared" si="3"/>
        <v>2023-Q4</v>
      </c>
      <c r="U354" s="63" t="str">
        <f t="shared" si="4"/>
        <v>2023-12</v>
      </c>
      <c r="V354" s="64" t="str">
        <f t="shared" si="5"/>
        <v>2023-H2</v>
      </c>
      <c r="W354" s="32"/>
      <c r="X354" s="32"/>
    </row>
    <row r="355">
      <c r="A355" s="77">
        <f>HYPERLINK("https://polkadot.subsquare.io/referenda/353", 353)</f>
        <v>353</v>
      </c>
      <c r="B355" s="40" t="s">
        <v>2043</v>
      </c>
      <c r="C355" s="40" t="s">
        <v>1846</v>
      </c>
      <c r="D355" s="78">
        <v>1950.0</v>
      </c>
      <c r="E355" s="79">
        <v>14316.0715341568</v>
      </c>
      <c r="F355" s="40" t="s">
        <v>1848</v>
      </c>
      <c r="G355" s="78">
        <v>1284846.0818512216</v>
      </c>
      <c r="H355" s="78">
        <v>1.3562709451485574E7</v>
      </c>
      <c r="I355" s="80">
        <v>45268.0</v>
      </c>
      <c r="J355" s="80">
        <v>45296.0</v>
      </c>
      <c r="K355" s="79">
        <v>13446.874380111694</v>
      </c>
      <c r="L355" s="70"/>
      <c r="M355" s="70"/>
      <c r="N355" s="61"/>
      <c r="O355" s="86"/>
      <c r="P355" s="86"/>
      <c r="Q355" s="86"/>
      <c r="R355" s="61" t="str">
        <f t="shared" si="1"/>
        <v>2024</v>
      </c>
      <c r="S355" s="62">
        <f t="shared" si="2"/>
        <v>1</v>
      </c>
      <c r="T355" s="61" t="str">
        <f t="shared" si="3"/>
        <v>2024-Q1</v>
      </c>
      <c r="U355" s="63" t="str">
        <f t="shared" si="4"/>
        <v>2024-01</v>
      </c>
      <c r="V355" s="64" t="str">
        <f t="shared" si="5"/>
        <v>2024-H1</v>
      </c>
      <c r="W355" s="32"/>
      <c r="X355" s="32"/>
    </row>
    <row r="356">
      <c r="A356" s="77">
        <f>HYPERLINK("https://polkadot.subsquare.io/referenda/354", 354)</f>
        <v>354</v>
      </c>
      <c r="B356" s="40" t="s">
        <v>2044</v>
      </c>
      <c r="C356" s="40" t="s">
        <v>1861</v>
      </c>
      <c r="D356" s="78">
        <v>48750.0</v>
      </c>
      <c r="E356" s="79">
        <v>326951.47812366486</v>
      </c>
      <c r="F356" s="40" t="s">
        <v>1853</v>
      </c>
      <c r="G356" s="78">
        <v>18965.6761885379</v>
      </c>
      <c r="H356" s="78">
        <v>3.3445472574286193E7</v>
      </c>
      <c r="I356" s="80">
        <v>45268.0</v>
      </c>
      <c r="J356" s="80">
        <v>45282.0</v>
      </c>
      <c r="K356" s="79">
        <v>449897.15695381165</v>
      </c>
      <c r="L356" s="81"/>
      <c r="M356" s="81"/>
      <c r="N356" s="86"/>
      <c r="O356" s="61"/>
      <c r="P356" s="61"/>
      <c r="Q356" s="61"/>
      <c r="R356" s="61" t="str">
        <f t="shared" si="1"/>
        <v>2023</v>
      </c>
      <c r="S356" s="62">
        <f t="shared" si="2"/>
        <v>12</v>
      </c>
      <c r="T356" s="61" t="str">
        <f t="shared" si="3"/>
        <v>2023-Q4</v>
      </c>
      <c r="U356" s="63" t="str">
        <f t="shared" si="4"/>
        <v>2023-12</v>
      </c>
      <c r="V356" s="64" t="str">
        <f t="shared" si="5"/>
        <v>2023-H2</v>
      </c>
      <c r="W356" s="32"/>
      <c r="X356" s="32"/>
    </row>
    <row r="357">
      <c r="A357" s="77">
        <f>HYPERLINK("https://polkadot.subsquare.io/referenda/355", 355)</f>
        <v>355</v>
      </c>
      <c r="B357" s="40" t="s">
        <v>1104</v>
      </c>
      <c r="C357" s="40" t="s">
        <v>1851</v>
      </c>
      <c r="D357" s="78">
        <v>22252.0</v>
      </c>
      <c r="E357" s="79">
        <v>149237.42135810852</v>
      </c>
      <c r="F357" s="40" t="s">
        <v>1853</v>
      </c>
      <c r="G357" s="78">
        <v>1.4242921524911059E7</v>
      </c>
      <c r="H357" s="78">
        <v>1032051.3668829323</v>
      </c>
      <c r="I357" s="80">
        <v>45269.0</v>
      </c>
      <c r="J357" s="80">
        <v>45293.0</v>
      </c>
      <c r="K357" s="79">
        <v>165678.6430835724</v>
      </c>
      <c r="L357" s="70" t="s">
        <v>49</v>
      </c>
      <c r="M357" s="70" t="s">
        <v>146</v>
      </c>
      <c r="N357" s="61"/>
      <c r="O357" s="86"/>
      <c r="P357" s="86"/>
      <c r="Q357" s="86"/>
      <c r="R357" s="61" t="str">
        <f t="shared" si="1"/>
        <v>2024</v>
      </c>
      <c r="S357" s="62">
        <f t="shared" si="2"/>
        <v>1</v>
      </c>
      <c r="T357" s="61" t="str">
        <f t="shared" si="3"/>
        <v>2024-Q1</v>
      </c>
      <c r="U357" s="63" t="str">
        <f t="shared" si="4"/>
        <v>2024-01</v>
      </c>
      <c r="V357" s="64" t="str">
        <f t="shared" si="5"/>
        <v>2024-H1</v>
      </c>
      <c r="W357" s="32"/>
      <c r="X357" s="32"/>
    </row>
    <row r="358">
      <c r="A358" s="77">
        <f>HYPERLINK("https://polkadot.subsquare.io/referenda/356", 356)</f>
        <v>356</v>
      </c>
      <c r="B358" s="40" t="s">
        <v>1105</v>
      </c>
      <c r="C358" s="40" t="s">
        <v>1851</v>
      </c>
      <c r="D358" s="78">
        <v>11059.0</v>
      </c>
      <c r="E358" s="79">
        <v>74169.36198091507</v>
      </c>
      <c r="F358" s="40" t="s">
        <v>1853</v>
      </c>
      <c r="G358" s="78">
        <v>6.330314211125132E7</v>
      </c>
      <c r="H358" s="78">
        <v>4.726606633080685E7</v>
      </c>
      <c r="I358" s="80">
        <v>45269.0</v>
      </c>
      <c r="J358" s="80">
        <v>45299.0</v>
      </c>
      <c r="K358" s="79">
        <v>90354.11908721924</v>
      </c>
      <c r="L358" s="81" t="s">
        <v>81</v>
      </c>
      <c r="M358" s="81" t="s">
        <v>87</v>
      </c>
      <c r="N358" s="86"/>
      <c r="O358" s="61"/>
      <c r="P358" s="61"/>
      <c r="Q358" s="61"/>
      <c r="R358" s="61" t="str">
        <f t="shared" si="1"/>
        <v>2024</v>
      </c>
      <c r="S358" s="62">
        <f t="shared" si="2"/>
        <v>1</v>
      </c>
      <c r="T358" s="61" t="str">
        <f t="shared" si="3"/>
        <v>2024-Q1</v>
      </c>
      <c r="U358" s="63" t="str">
        <f t="shared" si="4"/>
        <v>2024-01</v>
      </c>
      <c r="V358" s="64" t="str">
        <f t="shared" si="5"/>
        <v>2024-H1</v>
      </c>
      <c r="W358" s="32"/>
      <c r="X358" s="32"/>
    </row>
    <row r="359">
      <c r="A359" s="77">
        <f>HYPERLINK("https://polkadot.subsquare.io/referenda/357", 357)</f>
        <v>357</v>
      </c>
      <c r="B359" s="40" t="s">
        <v>1105</v>
      </c>
      <c r="C359" s="40" t="s">
        <v>1851</v>
      </c>
      <c r="D359" s="78">
        <v>1000.0</v>
      </c>
      <c r="E359" s="79">
        <v>6706.6969871521</v>
      </c>
      <c r="F359" s="40" t="s">
        <v>1869</v>
      </c>
      <c r="G359" s="78">
        <v>4.0012051951830134E7</v>
      </c>
      <c r="H359" s="78">
        <v>1.9504448335955422E7</v>
      </c>
      <c r="I359" s="80">
        <v>45269.0</v>
      </c>
      <c r="J359" s="80">
        <v>45273.0</v>
      </c>
      <c r="K359" s="79">
        <v>7085.906982421875</v>
      </c>
      <c r="L359" s="70" t="s">
        <v>81</v>
      </c>
      <c r="M359" s="70" t="s">
        <v>87</v>
      </c>
      <c r="N359" s="61"/>
      <c r="O359" s="86"/>
      <c r="P359" s="86"/>
      <c r="Q359" s="86"/>
      <c r="R359" s="61" t="str">
        <f t="shared" si="1"/>
        <v>2023</v>
      </c>
      <c r="S359" s="62">
        <f t="shared" si="2"/>
        <v>12</v>
      </c>
      <c r="T359" s="61" t="str">
        <f t="shared" si="3"/>
        <v>2023-Q4</v>
      </c>
      <c r="U359" s="63" t="str">
        <f t="shared" si="4"/>
        <v>2023-12</v>
      </c>
      <c r="V359" s="64" t="str">
        <f t="shared" si="5"/>
        <v>2023-H2</v>
      </c>
      <c r="W359" s="32"/>
      <c r="X359" s="32"/>
    </row>
    <row r="360">
      <c r="A360" s="77">
        <f>HYPERLINK("https://polkadot.subsquare.io/referenda/358", 358)</f>
        <v>358</v>
      </c>
      <c r="B360" s="40" t="s">
        <v>1106</v>
      </c>
      <c r="C360" s="40" t="s">
        <v>1851</v>
      </c>
      <c r="D360" s="78">
        <v>41667.0</v>
      </c>
      <c r="E360" s="79">
        <v>279447.94336366653</v>
      </c>
      <c r="F360" s="40" t="s">
        <v>1853</v>
      </c>
      <c r="G360" s="78">
        <v>5.441849491967519E7</v>
      </c>
      <c r="H360" s="78">
        <v>223081.331658338</v>
      </c>
      <c r="I360" s="80">
        <v>45269.0</v>
      </c>
      <c r="J360" s="80">
        <v>45286.0</v>
      </c>
      <c r="K360" s="79">
        <v>345528.823677063</v>
      </c>
      <c r="L360" s="81" t="s">
        <v>46</v>
      </c>
      <c r="M360" s="81" t="s">
        <v>110</v>
      </c>
      <c r="N360" s="86"/>
      <c r="O360" s="61"/>
      <c r="P360" s="61"/>
      <c r="Q360" s="61"/>
      <c r="R360" s="61" t="str">
        <f t="shared" si="1"/>
        <v>2023</v>
      </c>
      <c r="S360" s="62">
        <f t="shared" si="2"/>
        <v>12</v>
      </c>
      <c r="T360" s="61" t="str">
        <f t="shared" si="3"/>
        <v>2023-Q4</v>
      </c>
      <c r="U360" s="63" t="str">
        <f t="shared" si="4"/>
        <v>2023-12</v>
      </c>
      <c r="V360" s="64" t="str">
        <f t="shared" si="5"/>
        <v>2023-H2</v>
      </c>
      <c r="W360" s="32"/>
      <c r="X360" s="32"/>
    </row>
    <row r="361">
      <c r="A361" s="77">
        <f>HYPERLINK("https://polkadot.subsquare.io/referenda/359", 359)</f>
        <v>359</v>
      </c>
      <c r="B361" s="40" t="s">
        <v>1107</v>
      </c>
      <c r="C361" s="40" t="s">
        <v>1851</v>
      </c>
      <c r="D361" s="78">
        <v>10541.327</v>
      </c>
      <c r="E361" s="79">
        <v>80221.37476058006</v>
      </c>
      <c r="F361" s="40" t="s">
        <v>1853</v>
      </c>
      <c r="G361" s="78">
        <v>4.026127863549032E7</v>
      </c>
      <c r="H361" s="78">
        <v>3.0980686016067643E7</v>
      </c>
      <c r="I361" s="80">
        <v>45271.0</v>
      </c>
      <c r="J361" s="80">
        <v>45297.0</v>
      </c>
      <c r="K361" s="79">
        <v>78827.49714700603</v>
      </c>
      <c r="L361" s="70" t="s">
        <v>48</v>
      </c>
      <c r="M361" s="70" t="s">
        <v>134</v>
      </c>
      <c r="N361" s="61"/>
      <c r="O361" s="86"/>
      <c r="P361" s="86"/>
      <c r="Q361" s="86"/>
      <c r="R361" s="61" t="str">
        <f t="shared" si="1"/>
        <v>2024</v>
      </c>
      <c r="S361" s="62">
        <f t="shared" si="2"/>
        <v>1</v>
      </c>
      <c r="T361" s="61" t="str">
        <f t="shared" si="3"/>
        <v>2024-Q1</v>
      </c>
      <c r="U361" s="63" t="str">
        <f t="shared" si="4"/>
        <v>2024-01</v>
      </c>
      <c r="V361" s="64" t="str">
        <f t="shared" si="5"/>
        <v>2024-H1</v>
      </c>
      <c r="W361" s="32"/>
      <c r="X361" s="32"/>
    </row>
    <row r="362">
      <c r="A362" s="77">
        <f>HYPERLINK("https://polkadot.subsquare.io/referenda/360", 360)</f>
        <v>360</v>
      </c>
      <c r="B362" s="40" t="s">
        <v>1108</v>
      </c>
      <c r="C362" s="40" t="s">
        <v>1851</v>
      </c>
      <c r="D362" s="78">
        <v>26448.736</v>
      </c>
      <c r="E362" s="79">
        <v>201279.58867034913</v>
      </c>
      <c r="F362" s="40" t="s">
        <v>1853</v>
      </c>
      <c r="G362" s="78">
        <v>1.322039321812113E7</v>
      </c>
      <c r="H362" s="78">
        <v>249230.6466693924</v>
      </c>
      <c r="I362" s="80">
        <v>45271.0</v>
      </c>
      <c r="J362" s="80">
        <v>45296.0</v>
      </c>
      <c r="K362" s="79">
        <v>182386.0669255066</v>
      </c>
      <c r="L362" s="81" t="s">
        <v>46</v>
      </c>
      <c r="M362" s="81" t="s">
        <v>114</v>
      </c>
      <c r="N362" s="86"/>
      <c r="O362" s="61"/>
      <c r="P362" s="61"/>
      <c r="Q362" s="61"/>
      <c r="R362" s="61" t="str">
        <f t="shared" si="1"/>
        <v>2024</v>
      </c>
      <c r="S362" s="62">
        <f t="shared" si="2"/>
        <v>1</v>
      </c>
      <c r="T362" s="61" t="str">
        <f t="shared" si="3"/>
        <v>2024-Q1</v>
      </c>
      <c r="U362" s="63" t="str">
        <f t="shared" si="4"/>
        <v>2024-01</v>
      </c>
      <c r="V362" s="64" t="str">
        <f t="shared" si="5"/>
        <v>2024-H1</v>
      </c>
      <c r="W362" s="32"/>
      <c r="X362" s="32"/>
    </row>
    <row r="363">
      <c r="A363" s="77">
        <f>HYPERLINK("https://polkadot.subsquare.io/referenda/361", 361)</f>
        <v>361</v>
      </c>
      <c r="B363" s="40" t="s">
        <v>1109</v>
      </c>
      <c r="C363" s="40" t="s">
        <v>1851</v>
      </c>
      <c r="D363" s="78">
        <v>500.0</v>
      </c>
      <c r="E363" s="79">
        <v>3760.547399520874</v>
      </c>
      <c r="F363" s="40" t="s">
        <v>1869</v>
      </c>
      <c r="G363" s="78">
        <v>956373.4506632377</v>
      </c>
      <c r="H363" s="78">
        <v>494514.9063194007</v>
      </c>
      <c r="I363" s="80">
        <v>45271.0</v>
      </c>
      <c r="J363" s="80">
        <v>45277.0</v>
      </c>
      <c r="K363" s="79">
        <v>3471.3475704193115</v>
      </c>
      <c r="L363" s="70" t="s">
        <v>81</v>
      </c>
      <c r="M363" s="71" t="s">
        <v>97</v>
      </c>
      <c r="N363" s="61"/>
      <c r="O363" s="86"/>
      <c r="P363" s="86"/>
      <c r="Q363" s="86"/>
      <c r="R363" s="61" t="str">
        <f t="shared" si="1"/>
        <v>2023</v>
      </c>
      <c r="S363" s="62">
        <f t="shared" si="2"/>
        <v>12</v>
      </c>
      <c r="T363" s="61" t="str">
        <f t="shared" si="3"/>
        <v>2023-Q4</v>
      </c>
      <c r="U363" s="63" t="str">
        <f t="shared" si="4"/>
        <v>2023-12</v>
      </c>
      <c r="V363" s="64" t="str">
        <f t="shared" si="5"/>
        <v>2023-H2</v>
      </c>
      <c r="W363" s="32"/>
      <c r="X363" s="32"/>
    </row>
    <row r="364">
      <c r="A364" s="77">
        <f>HYPERLINK("https://polkadot.subsquare.io/referenda/362", 362)</f>
        <v>362</v>
      </c>
      <c r="B364" s="40" t="s">
        <v>1110</v>
      </c>
      <c r="C364" s="40" t="s">
        <v>1851</v>
      </c>
      <c r="D364" s="78">
        <v>25910.7234</v>
      </c>
      <c r="E364" s="79">
        <v>194877.0070031493</v>
      </c>
      <c r="F364" s="40" t="s">
        <v>1853</v>
      </c>
      <c r="G364" s="78">
        <v>4.3493004495830566E7</v>
      </c>
      <c r="H364" s="78">
        <v>3909868.2863627267</v>
      </c>
      <c r="I364" s="80">
        <v>45271.0</v>
      </c>
      <c r="J364" s="80">
        <v>45299.0</v>
      </c>
      <c r="K364" s="79">
        <v>211695.50481233367</v>
      </c>
      <c r="L364" s="81" t="s">
        <v>46</v>
      </c>
      <c r="M364" s="85" t="s">
        <v>116</v>
      </c>
      <c r="N364" s="86"/>
      <c r="O364" s="61"/>
      <c r="P364" s="61"/>
      <c r="Q364" s="61"/>
      <c r="R364" s="61" t="str">
        <f t="shared" si="1"/>
        <v>2024</v>
      </c>
      <c r="S364" s="62">
        <f t="shared" si="2"/>
        <v>1</v>
      </c>
      <c r="T364" s="61" t="str">
        <f t="shared" si="3"/>
        <v>2024-Q1</v>
      </c>
      <c r="U364" s="63" t="str">
        <f t="shared" si="4"/>
        <v>2024-01</v>
      </c>
      <c r="V364" s="64" t="str">
        <f t="shared" si="5"/>
        <v>2024-H1</v>
      </c>
      <c r="W364" s="32"/>
      <c r="X364" s="32"/>
    </row>
    <row r="365">
      <c r="A365" s="77">
        <f>HYPERLINK("https://polkadot.subsquare.io/referenda/363", 363)</f>
        <v>363</v>
      </c>
      <c r="B365" s="40" t="s">
        <v>2045</v>
      </c>
      <c r="C365" s="40" t="s">
        <v>1851</v>
      </c>
      <c r="D365" s="78">
        <v>0.0</v>
      </c>
      <c r="E365" s="79">
        <v>0.0</v>
      </c>
      <c r="F365" s="40" t="s">
        <v>1853</v>
      </c>
      <c r="G365" s="78">
        <v>1.276356410238278E7</v>
      </c>
      <c r="H365" s="78">
        <v>269077.8850926468</v>
      </c>
      <c r="I365" s="80">
        <v>45271.0</v>
      </c>
      <c r="J365" s="80">
        <v>45296.0</v>
      </c>
      <c r="K365" s="79">
        <v>0.0</v>
      </c>
      <c r="L365" s="70" t="s">
        <v>49</v>
      </c>
      <c r="M365" s="70" t="s">
        <v>140</v>
      </c>
      <c r="N365" s="61"/>
      <c r="O365" s="86" t="s">
        <v>1881</v>
      </c>
      <c r="P365" s="86" t="s">
        <v>1881</v>
      </c>
      <c r="Q365" s="86"/>
      <c r="R365" s="61" t="str">
        <f t="shared" si="1"/>
        <v>2024</v>
      </c>
      <c r="S365" s="62">
        <f t="shared" si="2"/>
        <v>1</v>
      </c>
      <c r="T365" s="61" t="str">
        <f t="shared" si="3"/>
        <v>2024-Q1</v>
      </c>
      <c r="U365" s="63" t="str">
        <f t="shared" si="4"/>
        <v>2024-01</v>
      </c>
      <c r="V365" s="64" t="str">
        <f t="shared" si="5"/>
        <v>2024-H1</v>
      </c>
      <c r="W365" s="32"/>
      <c r="X365" s="32"/>
    </row>
    <row r="366">
      <c r="A366" s="77">
        <f>HYPERLINK("https://polkadot.subsquare.io/referenda/364", 364)</f>
        <v>364</v>
      </c>
      <c r="B366" s="40" t="s">
        <v>1111</v>
      </c>
      <c r="C366" s="40" t="s">
        <v>1851</v>
      </c>
      <c r="D366" s="78">
        <v>2500.0</v>
      </c>
      <c r="E366" s="79">
        <v>18802.73699760437</v>
      </c>
      <c r="F366" s="40" t="s">
        <v>1848</v>
      </c>
      <c r="G366" s="78">
        <v>4.397089448350183E7</v>
      </c>
      <c r="H366" s="78">
        <v>274160.0845947794</v>
      </c>
      <c r="I366" s="80">
        <v>45272.0</v>
      </c>
      <c r="J366" s="80">
        <v>45286.0</v>
      </c>
      <c r="K366" s="79">
        <v>20731.563568115234</v>
      </c>
      <c r="L366" s="81" t="s">
        <v>48</v>
      </c>
      <c r="M366" s="81" t="s">
        <v>134</v>
      </c>
      <c r="N366" s="86"/>
      <c r="O366" s="61"/>
      <c r="P366" s="61"/>
      <c r="Q366" s="61"/>
      <c r="R366" s="61" t="str">
        <f t="shared" si="1"/>
        <v>2023</v>
      </c>
      <c r="S366" s="62">
        <f t="shared" si="2"/>
        <v>12</v>
      </c>
      <c r="T366" s="61" t="str">
        <f t="shared" si="3"/>
        <v>2023-Q4</v>
      </c>
      <c r="U366" s="63" t="str">
        <f t="shared" si="4"/>
        <v>2023-12</v>
      </c>
      <c r="V366" s="64" t="str">
        <f t="shared" si="5"/>
        <v>2023-H2</v>
      </c>
      <c r="W366" s="32"/>
      <c r="X366" s="32"/>
    </row>
    <row r="367">
      <c r="A367" s="77">
        <f>HYPERLINK("https://polkadot.subsquare.io/referenda/365", 365)</f>
        <v>365</v>
      </c>
      <c r="B367" s="40" t="s">
        <v>1112</v>
      </c>
      <c r="C367" s="40" t="s">
        <v>1851</v>
      </c>
      <c r="D367" s="78">
        <v>26058.0</v>
      </c>
      <c r="E367" s="79">
        <v>181278.80293178558</v>
      </c>
      <c r="F367" s="40" t="s">
        <v>1853</v>
      </c>
      <c r="G367" s="78">
        <v>4.395592366645032E7</v>
      </c>
      <c r="H367" s="78">
        <v>1011940.9997326778</v>
      </c>
      <c r="I367" s="80">
        <v>45272.0</v>
      </c>
      <c r="J367" s="80">
        <v>45291.0</v>
      </c>
      <c r="K367" s="79">
        <v>199130.61891174316</v>
      </c>
      <c r="L367" s="70" t="s">
        <v>81</v>
      </c>
      <c r="M367" s="70" t="s">
        <v>89</v>
      </c>
      <c r="N367" s="61"/>
      <c r="O367" s="86"/>
      <c r="P367" s="86"/>
      <c r="Q367" s="86"/>
      <c r="R367" s="61" t="str">
        <f t="shared" si="1"/>
        <v>2023</v>
      </c>
      <c r="S367" s="62">
        <f t="shared" si="2"/>
        <v>12</v>
      </c>
      <c r="T367" s="61" t="str">
        <f t="shared" si="3"/>
        <v>2023-Q4</v>
      </c>
      <c r="U367" s="63" t="str">
        <f t="shared" si="4"/>
        <v>2023-12</v>
      </c>
      <c r="V367" s="64" t="str">
        <f t="shared" si="5"/>
        <v>2023-H2</v>
      </c>
      <c r="W367" s="32"/>
      <c r="X367" s="32"/>
    </row>
    <row r="368">
      <c r="A368" s="77">
        <f>HYPERLINK("https://polkadot.subsquare.io/referenda/366", 366)</f>
        <v>366</v>
      </c>
      <c r="B368" s="40" t="s">
        <v>1113</v>
      </c>
      <c r="C368" s="40" t="s">
        <v>1851</v>
      </c>
      <c r="D368" s="78">
        <v>325000.0</v>
      </c>
      <c r="E368" s="79">
        <v>2260941.3981437683</v>
      </c>
      <c r="F368" s="40" t="s">
        <v>1855</v>
      </c>
      <c r="G368" s="78">
        <v>5.909476852444479E7</v>
      </c>
      <c r="H368" s="78">
        <v>2.5844408056053836E7</v>
      </c>
      <c r="I368" s="80">
        <v>45273.0</v>
      </c>
      <c r="J368" s="80">
        <v>45301.0</v>
      </c>
      <c r="K368" s="79">
        <v>2460014.033317566</v>
      </c>
      <c r="L368" s="81" t="s">
        <v>46</v>
      </c>
      <c r="M368" s="70" t="s">
        <v>104</v>
      </c>
      <c r="N368" s="86"/>
      <c r="O368" s="61"/>
      <c r="P368" s="61" t="s">
        <v>1881</v>
      </c>
      <c r="Q368" s="61"/>
      <c r="R368" s="61" t="str">
        <f t="shared" si="1"/>
        <v>2024</v>
      </c>
      <c r="S368" s="62">
        <f t="shared" si="2"/>
        <v>1</v>
      </c>
      <c r="T368" s="61" t="str">
        <f t="shared" si="3"/>
        <v>2024-Q1</v>
      </c>
      <c r="U368" s="63" t="str">
        <f t="shared" si="4"/>
        <v>2024-01</v>
      </c>
      <c r="V368" s="64" t="str">
        <f t="shared" si="5"/>
        <v>2024-H1</v>
      </c>
      <c r="W368" s="32"/>
      <c r="X368" s="32"/>
    </row>
    <row r="369">
      <c r="A369" s="77">
        <f>HYPERLINK("https://polkadot.subsquare.io/referenda/367", 367)</f>
        <v>367</v>
      </c>
      <c r="B369" s="40" t="s">
        <v>2046</v>
      </c>
      <c r="C369" s="40" t="s">
        <v>1861</v>
      </c>
      <c r="D369" s="78">
        <v>176852.0</v>
      </c>
      <c r="E369" s="79">
        <v>1253156.8216552734</v>
      </c>
      <c r="F369" s="40" t="s">
        <v>1855</v>
      </c>
      <c r="G369" s="78">
        <v>6135.6418470812</v>
      </c>
      <c r="H369" s="78">
        <v>3718934.734625527</v>
      </c>
      <c r="I369" s="80">
        <v>45273.0</v>
      </c>
      <c r="J369" s="80">
        <v>45287.0</v>
      </c>
      <c r="K369" s="79">
        <v>1480403.8563461304</v>
      </c>
      <c r="L369" s="70"/>
      <c r="M369" s="70"/>
      <c r="N369" s="61"/>
      <c r="O369" s="86"/>
      <c r="P369" s="86"/>
      <c r="Q369" s="86"/>
      <c r="R369" s="61" t="str">
        <f t="shared" si="1"/>
        <v>2023</v>
      </c>
      <c r="S369" s="62">
        <f t="shared" si="2"/>
        <v>12</v>
      </c>
      <c r="T369" s="61" t="str">
        <f t="shared" si="3"/>
        <v>2023-Q4</v>
      </c>
      <c r="U369" s="63" t="str">
        <f t="shared" si="4"/>
        <v>2023-12</v>
      </c>
      <c r="V369" s="64" t="str">
        <f t="shared" si="5"/>
        <v>2023-H2</v>
      </c>
      <c r="W369" s="32"/>
      <c r="X369" s="32"/>
    </row>
    <row r="370">
      <c r="A370" s="77">
        <f>HYPERLINK("https://polkadot.subsquare.io/referenda/368", 368)</f>
        <v>368</v>
      </c>
      <c r="B370" s="40" t="s">
        <v>1114</v>
      </c>
      <c r="C370" s="40" t="s">
        <v>1851</v>
      </c>
      <c r="D370" s="78">
        <v>282.0</v>
      </c>
      <c r="E370" s="79">
        <v>1893.6917638778687</v>
      </c>
      <c r="F370" s="40" t="s">
        <v>1869</v>
      </c>
      <c r="G370" s="78">
        <v>4.0552992542348444E7</v>
      </c>
      <c r="H370" s="78">
        <v>518229.6316276019</v>
      </c>
      <c r="I370" s="80">
        <v>45276.0</v>
      </c>
      <c r="J370" s="80">
        <v>45280.0</v>
      </c>
      <c r="K370" s="79">
        <v>2352.4765434265137</v>
      </c>
      <c r="L370" s="81" t="s">
        <v>81</v>
      </c>
      <c r="M370" s="85" t="s">
        <v>97</v>
      </c>
      <c r="N370" s="86"/>
      <c r="O370" s="61"/>
      <c r="P370" s="61"/>
      <c r="Q370" s="61"/>
      <c r="R370" s="61" t="str">
        <f t="shared" si="1"/>
        <v>2023</v>
      </c>
      <c r="S370" s="62">
        <f t="shared" si="2"/>
        <v>12</v>
      </c>
      <c r="T370" s="61" t="str">
        <f t="shared" si="3"/>
        <v>2023-Q4</v>
      </c>
      <c r="U370" s="63" t="str">
        <f t="shared" si="4"/>
        <v>2023-12</v>
      </c>
      <c r="V370" s="64" t="str">
        <f t="shared" si="5"/>
        <v>2023-H2</v>
      </c>
      <c r="W370" s="32"/>
      <c r="X370" s="32"/>
    </row>
    <row r="371">
      <c r="A371" s="77">
        <f>HYPERLINK("https://polkadot.subsquare.io/referenda/369", 369)</f>
        <v>369</v>
      </c>
      <c r="B371" s="40" t="s">
        <v>1115</v>
      </c>
      <c r="C371" s="40" t="s">
        <v>1851</v>
      </c>
      <c r="D371" s="78">
        <v>1798.0</v>
      </c>
      <c r="E371" s="79">
        <v>12482.965863227844</v>
      </c>
      <c r="F371" s="40" t="s">
        <v>1848</v>
      </c>
      <c r="G371" s="78">
        <v>4.067533323733385E7</v>
      </c>
      <c r="H371" s="78">
        <v>2435626.2892413517</v>
      </c>
      <c r="I371" s="80">
        <v>45277.0</v>
      </c>
      <c r="J371" s="80">
        <v>45299.0</v>
      </c>
      <c r="K371" s="79">
        <v>14331.968091011047</v>
      </c>
      <c r="L371" s="70" t="s">
        <v>81</v>
      </c>
      <c r="M371" s="70" t="s">
        <v>89</v>
      </c>
      <c r="N371" s="61"/>
      <c r="O371" s="86"/>
      <c r="P371" s="86"/>
      <c r="Q371" s="86"/>
      <c r="R371" s="61" t="str">
        <f t="shared" si="1"/>
        <v>2024</v>
      </c>
      <c r="S371" s="62">
        <f t="shared" si="2"/>
        <v>1</v>
      </c>
      <c r="T371" s="61" t="str">
        <f t="shared" si="3"/>
        <v>2024-Q1</v>
      </c>
      <c r="U371" s="63" t="str">
        <f t="shared" si="4"/>
        <v>2024-01</v>
      </c>
      <c r="V371" s="64" t="str">
        <f t="shared" si="5"/>
        <v>2024-H1</v>
      </c>
      <c r="W371" s="32"/>
      <c r="X371" s="32"/>
    </row>
    <row r="372">
      <c r="A372" s="77">
        <f>HYPERLINK("https://polkadot.subsquare.io/referenda/582", 582)</f>
        <v>582</v>
      </c>
      <c r="B372" s="40" t="s">
        <v>1204</v>
      </c>
      <c r="C372" s="40" t="s">
        <v>1851</v>
      </c>
      <c r="D372" s="78">
        <v>17406.0</v>
      </c>
      <c r="E372" s="79">
        <v>172448.17348480225</v>
      </c>
      <c r="F372" s="40" t="s">
        <v>1853</v>
      </c>
      <c r="G372" s="78">
        <v>4.06707686570151E7</v>
      </c>
      <c r="H372" s="78">
        <v>2.216339798449999E7</v>
      </c>
      <c r="I372" s="80">
        <v>45367.0</v>
      </c>
      <c r="J372" s="80">
        <v>45392.0</v>
      </c>
      <c r="K372" s="79">
        <v>111711.32175922394</v>
      </c>
      <c r="L372" s="81" t="s">
        <v>46</v>
      </c>
      <c r="M372" s="85" t="s">
        <v>116</v>
      </c>
      <c r="N372" s="86"/>
      <c r="O372" s="61"/>
      <c r="P372" s="61"/>
      <c r="Q372" s="61"/>
      <c r="R372" s="61" t="str">
        <f t="shared" si="1"/>
        <v>2024</v>
      </c>
      <c r="S372" s="62">
        <f t="shared" si="2"/>
        <v>4</v>
      </c>
      <c r="T372" s="61" t="str">
        <f t="shared" si="3"/>
        <v>2024-Q2</v>
      </c>
      <c r="U372" s="63" t="str">
        <f t="shared" si="4"/>
        <v>2024-04</v>
      </c>
      <c r="V372" s="64" t="str">
        <f t="shared" si="5"/>
        <v>2024-H1</v>
      </c>
      <c r="W372" s="32"/>
      <c r="X372" s="32"/>
    </row>
    <row r="373">
      <c r="A373" s="77">
        <f>HYPERLINK("https://polkadot.subsquare.io/referenda/371", 371)</f>
        <v>371</v>
      </c>
      <c r="B373" s="40" t="s">
        <v>1117</v>
      </c>
      <c r="C373" s="40" t="s">
        <v>1851</v>
      </c>
      <c r="D373" s="78">
        <v>10356.9</v>
      </c>
      <c r="E373" s="79">
        <v>71904.79930415153</v>
      </c>
      <c r="F373" s="40" t="s">
        <v>1853</v>
      </c>
      <c r="G373" s="78">
        <v>4.261972314879799E7</v>
      </c>
      <c r="H373" s="78">
        <v>991871.0199275773</v>
      </c>
      <c r="I373" s="80">
        <v>45278.0</v>
      </c>
      <c r="J373" s="80">
        <v>45303.0</v>
      </c>
      <c r="K373" s="79">
        <v>77860.96796979904</v>
      </c>
      <c r="L373" s="70" t="s">
        <v>48</v>
      </c>
      <c r="M373" s="70" t="s">
        <v>131</v>
      </c>
      <c r="N373" s="61"/>
      <c r="O373" s="86"/>
      <c r="P373" s="86"/>
      <c r="Q373" s="86"/>
      <c r="R373" s="61" t="str">
        <f t="shared" si="1"/>
        <v>2024</v>
      </c>
      <c r="S373" s="62">
        <f t="shared" si="2"/>
        <v>1</v>
      </c>
      <c r="T373" s="61" t="str">
        <f t="shared" si="3"/>
        <v>2024-Q1</v>
      </c>
      <c r="U373" s="63" t="str">
        <f t="shared" si="4"/>
        <v>2024-01</v>
      </c>
      <c r="V373" s="64" t="str">
        <f t="shared" si="5"/>
        <v>2024-H1</v>
      </c>
      <c r="W373" s="32"/>
      <c r="X373" s="32"/>
    </row>
    <row r="374">
      <c r="A374" s="77">
        <f>HYPERLINK("https://polkadot.subsquare.io/referenda/372", 372)</f>
        <v>372</v>
      </c>
      <c r="B374" s="40" t="s">
        <v>1118</v>
      </c>
      <c r="C374" s="40" t="s">
        <v>1851</v>
      </c>
      <c r="D374" s="78">
        <v>45234.77</v>
      </c>
      <c r="E374" s="79">
        <v>378230.8648057174</v>
      </c>
      <c r="F374" s="40" t="s">
        <v>1853</v>
      </c>
      <c r="G374" s="78">
        <v>1.4931890672529168E7</v>
      </c>
      <c r="H374" s="78">
        <v>593090.0741094392</v>
      </c>
      <c r="I374" s="80">
        <v>45278.0</v>
      </c>
      <c r="J374" s="80">
        <v>45303.0</v>
      </c>
      <c r="K374" s="79">
        <v>331439.63108577725</v>
      </c>
      <c r="L374" s="81" t="s">
        <v>49</v>
      </c>
      <c r="M374" s="70" t="s">
        <v>104</v>
      </c>
      <c r="N374" s="86"/>
      <c r="O374" s="61"/>
      <c r="P374" s="61"/>
      <c r="Q374" s="61"/>
      <c r="R374" s="61" t="str">
        <f t="shared" si="1"/>
        <v>2024</v>
      </c>
      <c r="S374" s="62">
        <f t="shared" si="2"/>
        <v>1</v>
      </c>
      <c r="T374" s="61" t="str">
        <f t="shared" si="3"/>
        <v>2024-Q1</v>
      </c>
      <c r="U374" s="63" t="str">
        <f t="shared" si="4"/>
        <v>2024-01</v>
      </c>
      <c r="V374" s="64" t="str">
        <f t="shared" si="5"/>
        <v>2024-H1</v>
      </c>
      <c r="W374" s="32"/>
      <c r="X374" s="32"/>
    </row>
    <row r="375">
      <c r="A375" s="77">
        <f>HYPERLINK("https://polkadot.subsquare.io/referenda/373", 373)</f>
        <v>373</v>
      </c>
      <c r="B375" s="40" t="s">
        <v>1119</v>
      </c>
      <c r="C375" s="40" t="s">
        <v>1851</v>
      </c>
      <c r="D375" s="78">
        <v>25796.18</v>
      </c>
      <c r="E375" s="79">
        <v>215694.95036857604</v>
      </c>
      <c r="F375" s="40" t="s">
        <v>1853</v>
      </c>
      <c r="G375" s="78">
        <v>4.225674058329386E7</v>
      </c>
      <c r="H375" s="78">
        <v>148096.4512357278</v>
      </c>
      <c r="I375" s="80">
        <v>45279.0</v>
      </c>
      <c r="J375" s="80">
        <v>45298.0</v>
      </c>
      <c r="K375" s="79">
        <v>205622.93027251243</v>
      </c>
      <c r="L375" s="70" t="s">
        <v>46</v>
      </c>
      <c r="M375" s="70" t="s">
        <v>108</v>
      </c>
      <c r="N375" s="61"/>
      <c r="O375" s="86"/>
      <c r="P375" s="86"/>
      <c r="Q375" s="86"/>
      <c r="R375" s="61" t="str">
        <f t="shared" si="1"/>
        <v>2024</v>
      </c>
      <c r="S375" s="62">
        <f t="shared" si="2"/>
        <v>1</v>
      </c>
      <c r="T375" s="61" t="str">
        <f t="shared" si="3"/>
        <v>2024-Q1</v>
      </c>
      <c r="U375" s="63" t="str">
        <f t="shared" si="4"/>
        <v>2024-01</v>
      </c>
      <c r="V375" s="64" t="str">
        <f t="shared" si="5"/>
        <v>2024-H1</v>
      </c>
      <c r="W375" s="32"/>
      <c r="X375" s="32"/>
    </row>
    <row r="376">
      <c r="A376" s="77">
        <f>HYPERLINK("https://polkadot.subsquare.io/referenda/374", 374)</f>
        <v>374</v>
      </c>
      <c r="B376" s="40" t="s">
        <v>1120</v>
      </c>
      <c r="C376" s="40" t="s">
        <v>1851</v>
      </c>
      <c r="D376" s="78">
        <v>20632.0</v>
      </c>
      <c r="E376" s="79">
        <v>164419.1303215027</v>
      </c>
      <c r="F376" s="40" t="s">
        <v>1853</v>
      </c>
      <c r="G376" s="78">
        <v>8.023698548943074E7</v>
      </c>
      <c r="H376" s="78">
        <v>7.174655661314608E7</v>
      </c>
      <c r="I376" s="80">
        <v>45279.0</v>
      </c>
      <c r="J376" s="80">
        <v>45310.0</v>
      </c>
      <c r="K376" s="79">
        <v>130660.90535736084</v>
      </c>
      <c r="L376" s="81" t="s">
        <v>81</v>
      </c>
      <c r="M376" s="81" t="s">
        <v>84</v>
      </c>
      <c r="N376" s="86"/>
      <c r="O376" s="61"/>
      <c r="P376" s="61"/>
      <c r="Q376" s="61"/>
      <c r="R376" s="61" t="str">
        <f t="shared" si="1"/>
        <v>2024</v>
      </c>
      <c r="S376" s="62">
        <f t="shared" si="2"/>
        <v>1</v>
      </c>
      <c r="T376" s="61" t="str">
        <f t="shared" si="3"/>
        <v>2024-Q1</v>
      </c>
      <c r="U376" s="63" t="str">
        <f t="shared" si="4"/>
        <v>2024-01</v>
      </c>
      <c r="V376" s="64" t="str">
        <f t="shared" si="5"/>
        <v>2024-H1</v>
      </c>
      <c r="W376" s="32"/>
      <c r="X376" s="32"/>
    </row>
    <row r="377">
      <c r="A377" s="77">
        <f>HYPERLINK("https://polkadot.subsquare.io/referenda/375", 375)</f>
        <v>375</v>
      </c>
      <c r="B377" s="40" t="s">
        <v>1121</v>
      </c>
      <c r="C377" s="40" t="s">
        <v>1851</v>
      </c>
      <c r="D377" s="78">
        <v>248986.130762</v>
      </c>
      <c r="E377" s="79">
        <v>1984203.328906746</v>
      </c>
      <c r="F377" s="40" t="s">
        <v>1855</v>
      </c>
      <c r="G377" s="78">
        <v>5.584778703853539E7</v>
      </c>
      <c r="H377" s="78">
        <v>1232153.0395348016</v>
      </c>
      <c r="I377" s="80">
        <v>45279.0</v>
      </c>
      <c r="J377" s="80">
        <v>45303.0</v>
      </c>
      <c r="K377" s="79">
        <v>1871824.6919622933</v>
      </c>
      <c r="L377" s="70" t="s">
        <v>48</v>
      </c>
      <c r="M377" s="71" t="s">
        <v>131</v>
      </c>
      <c r="N377" s="61"/>
      <c r="O377" s="86"/>
      <c r="P377" s="86"/>
      <c r="Q377" s="86"/>
      <c r="R377" s="61" t="str">
        <f t="shared" si="1"/>
        <v>2024</v>
      </c>
      <c r="S377" s="62">
        <f t="shared" si="2"/>
        <v>1</v>
      </c>
      <c r="T377" s="61" t="str">
        <f t="shared" si="3"/>
        <v>2024-Q1</v>
      </c>
      <c r="U377" s="63" t="str">
        <f t="shared" si="4"/>
        <v>2024-01</v>
      </c>
      <c r="V377" s="64" t="str">
        <f t="shared" si="5"/>
        <v>2024-H1</v>
      </c>
      <c r="W377" s="32"/>
      <c r="X377" s="32"/>
    </row>
    <row r="378">
      <c r="A378" s="77">
        <f>HYPERLINK("https://polkadot.subsquare.io/referenda/376", 376)</f>
        <v>376</v>
      </c>
      <c r="B378" s="40" t="s">
        <v>1122</v>
      </c>
      <c r="C378" s="40" t="s">
        <v>1851</v>
      </c>
      <c r="D378" s="78">
        <v>57781.69</v>
      </c>
      <c r="E378" s="79">
        <v>460469.9117054415</v>
      </c>
      <c r="F378" s="40" t="s">
        <v>1853</v>
      </c>
      <c r="G378" s="78">
        <v>4.232410623543862E7</v>
      </c>
      <c r="H378" s="78">
        <v>587990.8043387294</v>
      </c>
      <c r="I378" s="80">
        <v>45279.0</v>
      </c>
      <c r="J378" s="80">
        <v>45299.0</v>
      </c>
      <c r="K378" s="79">
        <v>460581.38894587994</v>
      </c>
      <c r="L378" s="81" t="s">
        <v>81</v>
      </c>
      <c r="M378" s="81" t="s">
        <v>84</v>
      </c>
      <c r="N378" s="86"/>
      <c r="O378" s="61"/>
      <c r="P378" s="61"/>
      <c r="Q378" s="61"/>
      <c r="R378" s="61" t="str">
        <f t="shared" si="1"/>
        <v>2024</v>
      </c>
      <c r="S378" s="62">
        <f t="shared" si="2"/>
        <v>1</v>
      </c>
      <c r="T378" s="61" t="str">
        <f t="shared" si="3"/>
        <v>2024-Q1</v>
      </c>
      <c r="U378" s="63" t="str">
        <f t="shared" si="4"/>
        <v>2024-01</v>
      </c>
      <c r="V378" s="64" t="str">
        <f t="shared" si="5"/>
        <v>2024-H1</v>
      </c>
      <c r="W378" s="32"/>
      <c r="X378" s="32"/>
    </row>
    <row r="379">
      <c r="A379" s="77">
        <f>HYPERLINK("https://polkadot.subsquare.io/referenda/559", 559)</f>
        <v>559</v>
      </c>
      <c r="B379" s="40" t="s">
        <v>1196</v>
      </c>
      <c r="C379" s="40" t="s">
        <v>1851</v>
      </c>
      <c r="D379" s="78">
        <v>1000.0</v>
      </c>
      <c r="E379" s="79">
        <v>10522.542953491211</v>
      </c>
      <c r="F379" s="40" t="s">
        <v>1869</v>
      </c>
      <c r="G379" s="78">
        <v>2.260301831403366E7</v>
      </c>
      <c r="H379" s="78">
        <v>23028.0</v>
      </c>
      <c r="I379" s="80">
        <v>45357.0</v>
      </c>
      <c r="J379" s="80">
        <v>45360.0</v>
      </c>
      <c r="K379" s="79">
        <v>10726.625442504883</v>
      </c>
      <c r="L379" s="70" t="s">
        <v>46</v>
      </c>
      <c r="M379" s="70" t="s">
        <v>116</v>
      </c>
      <c r="N379" s="61"/>
      <c r="O379" s="86"/>
      <c r="P379" s="86"/>
      <c r="Q379" s="86"/>
      <c r="R379" s="61" t="str">
        <f t="shared" si="1"/>
        <v>2024</v>
      </c>
      <c r="S379" s="62">
        <f t="shared" si="2"/>
        <v>3</v>
      </c>
      <c r="T379" s="61" t="str">
        <f t="shared" si="3"/>
        <v>2024-Q1</v>
      </c>
      <c r="U379" s="63" t="str">
        <f t="shared" si="4"/>
        <v>2024-03</v>
      </c>
      <c r="V379" s="64" t="str">
        <f t="shared" si="5"/>
        <v>2024-H1</v>
      </c>
      <c r="W379" s="32"/>
      <c r="X379" s="32"/>
    </row>
    <row r="380">
      <c r="A380" s="77">
        <f>HYPERLINK("https://polkadot.subsquare.io/referenda/378", 378)</f>
        <v>378</v>
      </c>
      <c r="B380" s="40" t="s">
        <v>1124</v>
      </c>
      <c r="C380" s="40" t="s">
        <v>1851</v>
      </c>
      <c r="D380" s="78">
        <v>40.0</v>
      </c>
      <c r="E380" s="79">
        <v>318.7652778625488</v>
      </c>
      <c r="F380" s="40" t="s">
        <v>982</v>
      </c>
      <c r="G380" s="78">
        <v>2449152.4135266454</v>
      </c>
      <c r="H380" s="78">
        <v>434227.0788443636</v>
      </c>
      <c r="I380" s="80">
        <v>45280.0</v>
      </c>
      <c r="J380" s="80">
        <v>45285.0</v>
      </c>
      <c r="K380" s="79">
        <v>348.12278747558594</v>
      </c>
      <c r="L380" s="81" t="s">
        <v>49</v>
      </c>
      <c r="M380" s="81" t="s">
        <v>161</v>
      </c>
      <c r="N380" s="86"/>
      <c r="O380" s="61"/>
      <c r="P380" s="61"/>
      <c r="Q380" s="61"/>
      <c r="R380" s="61" t="str">
        <f t="shared" si="1"/>
        <v>2023</v>
      </c>
      <c r="S380" s="62">
        <f t="shared" si="2"/>
        <v>12</v>
      </c>
      <c r="T380" s="61" t="str">
        <f t="shared" si="3"/>
        <v>2023-Q4</v>
      </c>
      <c r="U380" s="63" t="str">
        <f t="shared" si="4"/>
        <v>2023-12</v>
      </c>
      <c r="V380" s="64" t="str">
        <f t="shared" si="5"/>
        <v>2023-H2</v>
      </c>
      <c r="W380" s="32"/>
      <c r="X380" s="32"/>
    </row>
    <row r="381">
      <c r="A381" s="77">
        <f>HYPERLINK("https://polkadot.subsquare.io/referenda/379", 379)</f>
        <v>379</v>
      </c>
      <c r="B381" s="40" t="s">
        <v>1125</v>
      </c>
      <c r="C381" s="40" t="s">
        <v>1851</v>
      </c>
      <c r="D381" s="78">
        <v>106700.0</v>
      </c>
      <c r="E381" s="79">
        <v>850306.378698349</v>
      </c>
      <c r="F381" s="40" t="s">
        <v>1855</v>
      </c>
      <c r="G381" s="78">
        <v>1.8698599488974273E7</v>
      </c>
      <c r="H381" s="78">
        <v>1643174.5648191678</v>
      </c>
      <c r="I381" s="80">
        <v>45280.0</v>
      </c>
      <c r="J381" s="80">
        <v>45310.0</v>
      </c>
      <c r="K381" s="79">
        <v>726340.8530712128</v>
      </c>
      <c r="L381" s="70" t="s">
        <v>46</v>
      </c>
      <c r="M381" s="70" t="s">
        <v>102</v>
      </c>
      <c r="N381" s="61"/>
      <c r="O381" s="86"/>
      <c r="P381" s="86"/>
      <c r="Q381" s="86"/>
      <c r="R381" s="61" t="str">
        <f t="shared" si="1"/>
        <v>2024</v>
      </c>
      <c r="S381" s="62">
        <f t="shared" si="2"/>
        <v>1</v>
      </c>
      <c r="T381" s="61" t="str">
        <f t="shared" si="3"/>
        <v>2024-Q1</v>
      </c>
      <c r="U381" s="63" t="str">
        <f t="shared" si="4"/>
        <v>2024-01</v>
      </c>
      <c r="V381" s="64" t="str">
        <f t="shared" si="5"/>
        <v>2024-H1</v>
      </c>
      <c r="W381" s="32"/>
      <c r="X381" s="32"/>
    </row>
    <row r="382">
      <c r="A382" s="77">
        <f>HYPERLINK("https://polkadot.subsquare.io/referenda/380", 380)</f>
        <v>380</v>
      </c>
      <c r="B382" s="40" t="s">
        <v>2047</v>
      </c>
      <c r="C382" s="40" t="s">
        <v>1851</v>
      </c>
      <c r="D382" s="78">
        <v>0.0</v>
      </c>
      <c r="E382" s="79">
        <v>0.0</v>
      </c>
      <c r="F382" s="40" t="s">
        <v>1852</v>
      </c>
      <c r="G382" s="78">
        <v>1.1339551889382637E8</v>
      </c>
      <c r="H382" s="78">
        <v>199727.5300445778</v>
      </c>
      <c r="I382" s="80">
        <v>45280.0</v>
      </c>
      <c r="J382" s="80">
        <v>45292.0</v>
      </c>
      <c r="K382" s="79">
        <v>0.0</v>
      </c>
      <c r="L382" s="81"/>
      <c r="M382" s="81"/>
      <c r="N382" s="86"/>
      <c r="O382" s="61"/>
      <c r="P382" s="61"/>
      <c r="Q382" s="61"/>
      <c r="R382" s="61" t="str">
        <f t="shared" si="1"/>
        <v>2024</v>
      </c>
      <c r="S382" s="62">
        <f t="shared" si="2"/>
        <v>1</v>
      </c>
      <c r="T382" s="61" t="str">
        <f t="shared" si="3"/>
        <v>2024-Q1</v>
      </c>
      <c r="U382" s="63" t="str">
        <f t="shared" si="4"/>
        <v>2024-01</v>
      </c>
      <c r="V382" s="64" t="str">
        <f t="shared" si="5"/>
        <v>2024-H1</v>
      </c>
      <c r="W382" s="32"/>
      <c r="X382" s="32"/>
    </row>
    <row r="383">
      <c r="A383" s="77">
        <f>HYPERLINK("https://polkadot.subsquare.io/referenda/381", 381)</f>
        <v>381</v>
      </c>
      <c r="B383" s="40" t="s">
        <v>2048</v>
      </c>
      <c r="C383" s="40" t="s">
        <v>1846</v>
      </c>
      <c r="D383" s="78">
        <v>55858.31</v>
      </c>
      <c r="E383" s="79">
        <v>465976.46819307323</v>
      </c>
      <c r="F383" s="40" t="s">
        <v>1853</v>
      </c>
      <c r="G383" s="78">
        <v>265094.6151087827</v>
      </c>
      <c r="H383" s="78">
        <v>9.037487260104667E7</v>
      </c>
      <c r="I383" s="80">
        <v>45280.0</v>
      </c>
      <c r="J383" s="80">
        <v>45309.0</v>
      </c>
      <c r="K383" s="79">
        <v>385360.6036603975</v>
      </c>
      <c r="L383" s="70"/>
      <c r="M383" s="70"/>
      <c r="N383" s="61"/>
      <c r="O383" s="86"/>
      <c r="P383" s="86"/>
      <c r="Q383" s="86"/>
      <c r="R383" s="61" t="str">
        <f t="shared" si="1"/>
        <v>2024</v>
      </c>
      <c r="S383" s="62">
        <f t="shared" si="2"/>
        <v>1</v>
      </c>
      <c r="T383" s="61" t="str">
        <f t="shared" si="3"/>
        <v>2024-Q1</v>
      </c>
      <c r="U383" s="63" t="str">
        <f t="shared" si="4"/>
        <v>2024-01</v>
      </c>
      <c r="V383" s="64" t="str">
        <f t="shared" si="5"/>
        <v>2024-H1</v>
      </c>
      <c r="W383" s="32"/>
      <c r="X383" s="32"/>
    </row>
    <row r="384">
      <c r="A384" s="77">
        <f>HYPERLINK("https://polkadot.subsquare.io/referenda/382", 382)</f>
        <v>382</v>
      </c>
      <c r="B384" s="40" t="s">
        <v>1126</v>
      </c>
      <c r="C384" s="40" t="s">
        <v>1851</v>
      </c>
      <c r="D384" s="78">
        <v>24000.0</v>
      </c>
      <c r="E384" s="79">
        <v>221487.83111572266</v>
      </c>
      <c r="F384" s="40" t="s">
        <v>1853</v>
      </c>
      <c r="G384" s="78">
        <v>4.072271855255669E7</v>
      </c>
      <c r="H384" s="78">
        <v>2268266.183544674</v>
      </c>
      <c r="I384" s="80">
        <v>45282.0</v>
      </c>
      <c r="J384" s="80">
        <v>45301.0</v>
      </c>
      <c r="K384" s="79">
        <v>181662.5747680664</v>
      </c>
      <c r="L384" s="81" t="s">
        <v>81</v>
      </c>
      <c r="M384" s="81" t="s">
        <v>89</v>
      </c>
      <c r="N384" s="86"/>
      <c r="O384" s="61"/>
      <c r="P384" s="61"/>
      <c r="Q384" s="61"/>
      <c r="R384" s="61" t="str">
        <f t="shared" si="1"/>
        <v>2024</v>
      </c>
      <c r="S384" s="62">
        <f t="shared" si="2"/>
        <v>1</v>
      </c>
      <c r="T384" s="61" t="str">
        <f t="shared" si="3"/>
        <v>2024-Q1</v>
      </c>
      <c r="U384" s="63" t="str">
        <f t="shared" si="4"/>
        <v>2024-01</v>
      </c>
      <c r="V384" s="64" t="str">
        <f t="shared" si="5"/>
        <v>2024-H1</v>
      </c>
      <c r="W384" s="32"/>
      <c r="X384" s="32"/>
    </row>
    <row r="385">
      <c r="A385" s="77">
        <f>HYPERLINK("https://polkadot.subsquare.io/referenda/383", 383)</f>
        <v>383</v>
      </c>
      <c r="B385" s="40" t="s">
        <v>2049</v>
      </c>
      <c r="C385" s="40" t="s">
        <v>1846</v>
      </c>
      <c r="D385" s="78">
        <v>2750.0</v>
      </c>
      <c r="E385" s="79">
        <v>23933.441638946533</v>
      </c>
      <c r="F385" s="40" t="s">
        <v>1848</v>
      </c>
      <c r="G385" s="78">
        <v>4.006224401349976E7</v>
      </c>
      <c r="H385" s="78">
        <v>6.879207631270073E7</v>
      </c>
      <c r="I385" s="80">
        <v>45284.0</v>
      </c>
      <c r="J385" s="80">
        <v>45321.0</v>
      </c>
      <c r="K385" s="79">
        <v>19074.618577957153</v>
      </c>
      <c r="L385" s="70"/>
      <c r="M385" s="70"/>
      <c r="N385" s="61"/>
      <c r="O385" s="86"/>
      <c r="P385" s="86"/>
      <c r="Q385" s="86"/>
      <c r="R385" s="61" t="str">
        <f t="shared" si="1"/>
        <v>2024</v>
      </c>
      <c r="S385" s="62">
        <f t="shared" si="2"/>
        <v>1</v>
      </c>
      <c r="T385" s="61" t="str">
        <f t="shared" si="3"/>
        <v>2024-Q1</v>
      </c>
      <c r="U385" s="63" t="str">
        <f t="shared" si="4"/>
        <v>2024-01</v>
      </c>
      <c r="V385" s="64" t="str">
        <f t="shared" si="5"/>
        <v>2024-H1</v>
      </c>
      <c r="W385" s="32"/>
      <c r="X385" s="32"/>
    </row>
    <row r="386">
      <c r="A386" s="77">
        <f>HYPERLINK("https://polkadot.subsquare.io/referenda/384", 384)</f>
        <v>384</v>
      </c>
      <c r="B386" s="40" t="s">
        <v>2050</v>
      </c>
      <c r="C386" s="40" t="s">
        <v>1846</v>
      </c>
      <c r="D386" s="78">
        <v>4267.0</v>
      </c>
      <c r="E386" s="79">
        <v>37135.99835395813</v>
      </c>
      <c r="F386" s="40" t="s">
        <v>1848</v>
      </c>
      <c r="G386" s="78">
        <v>20972.75511</v>
      </c>
      <c r="H386" s="78">
        <v>1.5959565909464313E7</v>
      </c>
      <c r="I386" s="80">
        <v>45284.0</v>
      </c>
      <c r="J386" s="80">
        <v>45313.0</v>
      </c>
      <c r="K386" s="79">
        <v>27564.14668893814</v>
      </c>
      <c r="L386" s="81"/>
      <c r="M386" s="81"/>
      <c r="N386" s="86"/>
      <c r="O386" s="61"/>
      <c r="P386" s="61"/>
      <c r="Q386" s="61"/>
      <c r="R386" s="61" t="str">
        <f t="shared" si="1"/>
        <v>2024</v>
      </c>
      <c r="S386" s="62">
        <f t="shared" si="2"/>
        <v>1</v>
      </c>
      <c r="T386" s="61" t="str">
        <f t="shared" si="3"/>
        <v>2024-Q1</v>
      </c>
      <c r="U386" s="63" t="str">
        <f t="shared" si="4"/>
        <v>2024-01</v>
      </c>
      <c r="V386" s="64" t="str">
        <f t="shared" si="5"/>
        <v>2024-H1</v>
      </c>
      <c r="W386" s="32"/>
      <c r="X386" s="32"/>
    </row>
    <row r="387">
      <c r="A387" s="77">
        <f>HYPERLINK("https://polkadot.subsquare.io/referenda/385", 385)</f>
        <v>385</v>
      </c>
      <c r="B387" s="40" t="s">
        <v>1127</v>
      </c>
      <c r="C387" s="40" t="s">
        <v>1851</v>
      </c>
      <c r="D387" s="78">
        <v>91557.0</v>
      </c>
      <c r="E387" s="79">
        <v>796826.9513225555</v>
      </c>
      <c r="F387" s="40" t="s">
        <v>1853</v>
      </c>
      <c r="G387" s="78">
        <v>8.823238309167229E7</v>
      </c>
      <c r="H387" s="78">
        <v>5.64248126469003E7</v>
      </c>
      <c r="I387" s="80">
        <v>45285.0</v>
      </c>
      <c r="J387" s="80">
        <v>45306.0</v>
      </c>
      <c r="K387" s="79">
        <v>671383.8305110931</v>
      </c>
      <c r="L387" s="70" t="s">
        <v>81</v>
      </c>
      <c r="M387" s="70" t="s">
        <v>87</v>
      </c>
      <c r="N387" s="61"/>
      <c r="O387" s="86"/>
      <c r="P387" s="86"/>
      <c r="Q387" s="86"/>
      <c r="R387" s="61" t="str">
        <f t="shared" si="1"/>
        <v>2024</v>
      </c>
      <c r="S387" s="62">
        <f t="shared" si="2"/>
        <v>1</v>
      </c>
      <c r="T387" s="61" t="str">
        <f t="shared" si="3"/>
        <v>2024-Q1</v>
      </c>
      <c r="U387" s="63" t="str">
        <f t="shared" si="4"/>
        <v>2024-01</v>
      </c>
      <c r="V387" s="64" t="str">
        <f t="shared" si="5"/>
        <v>2024-H1</v>
      </c>
      <c r="W387" s="32"/>
      <c r="X387" s="32"/>
    </row>
    <row r="388">
      <c r="A388" s="77">
        <f>HYPERLINK("https://polkadot.subsquare.io/referenda/386", 386)</f>
        <v>386</v>
      </c>
      <c r="B388" s="40" t="s">
        <v>1289</v>
      </c>
      <c r="C388" s="40" t="s">
        <v>1861</v>
      </c>
      <c r="D388" s="78">
        <v>9900.0</v>
      </c>
      <c r="E388" s="79">
        <v>83656.13107681274</v>
      </c>
      <c r="F388" s="40" t="s">
        <v>1848</v>
      </c>
      <c r="G388" s="78">
        <v>0.0</v>
      </c>
      <c r="H388" s="78">
        <v>3060994.6768448106</v>
      </c>
      <c r="I388" s="80">
        <v>45286.0</v>
      </c>
      <c r="J388" s="80">
        <v>45300.0</v>
      </c>
      <c r="K388" s="79">
        <v>74935.81209182739</v>
      </c>
      <c r="L388" s="81"/>
      <c r="M388" s="81"/>
      <c r="N388" s="86"/>
      <c r="O388" s="61"/>
      <c r="P388" s="61"/>
      <c r="Q388" s="61"/>
      <c r="R388" s="61" t="str">
        <f t="shared" si="1"/>
        <v>2024</v>
      </c>
      <c r="S388" s="62">
        <f t="shared" si="2"/>
        <v>1</v>
      </c>
      <c r="T388" s="61" t="str">
        <f t="shared" si="3"/>
        <v>2024-Q1</v>
      </c>
      <c r="U388" s="63" t="str">
        <f t="shared" si="4"/>
        <v>2024-01</v>
      </c>
      <c r="V388" s="64" t="str">
        <f t="shared" si="5"/>
        <v>2024-H1</v>
      </c>
      <c r="W388" s="32"/>
      <c r="X388" s="32"/>
    </row>
    <row r="389">
      <c r="A389" s="77">
        <f>HYPERLINK("https://polkadot.subsquare.io/referenda/387", 387)</f>
        <v>387</v>
      </c>
      <c r="B389" s="40" t="s">
        <v>1128</v>
      </c>
      <c r="C389" s="40" t="s">
        <v>1851</v>
      </c>
      <c r="D389" s="78">
        <v>64658.0</v>
      </c>
      <c r="E389" s="79">
        <v>536184.5748748779</v>
      </c>
      <c r="F389" s="40" t="s">
        <v>1853</v>
      </c>
      <c r="G389" s="78">
        <v>5.4305843981351405E7</v>
      </c>
      <c r="H389" s="78">
        <v>990415.0810611297</v>
      </c>
      <c r="I389" s="80">
        <v>45286.0</v>
      </c>
      <c r="J389" s="80">
        <v>45304.0</v>
      </c>
      <c r="K389" s="79">
        <v>486085.0705318451</v>
      </c>
      <c r="L389" s="70" t="s">
        <v>81</v>
      </c>
      <c r="M389" s="71" t="s">
        <v>91</v>
      </c>
      <c r="N389" s="61"/>
      <c r="O389" s="86"/>
      <c r="P389" s="86"/>
      <c r="Q389" s="86"/>
      <c r="R389" s="61" t="str">
        <f t="shared" si="1"/>
        <v>2024</v>
      </c>
      <c r="S389" s="62">
        <f t="shared" si="2"/>
        <v>1</v>
      </c>
      <c r="T389" s="61" t="str">
        <f t="shared" si="3"/>
        <v>2024-Q1</v>
      </c>
      <c r="U389" s="63" t="str">
        <f t="shared" si="4"/>
        <v>2024-01</v>
      </c>
      <c r="V389" s="64" t="str">
        <f t="shared" si="5"/>
        <v>2024-H1</v>
      </c>
      <c r="W389" s="32"/>
      <c r="X389" s="32"/>
    </row>
    <row r="390">
      <c r="A390" s="77">
        <f>HYPERLINK("https://polkadot.subsquare.io/referenda/388", 388)</f>
        <v>388</v>
      </c>
      <c r="B390" s="40" t="s">
        <v>2051</v>
      </c>
      <c r="C390" s="40" t="s">
        <v>1846</v>
      </c>
      <c r="D390" s="78">
        <v>21969.0</v>
      </c>
      <c r="E390" s="79">
        <v>182180.68801116943</v>
      </c>
      <c r="F390" s="40" t="s">
        <v>1853</v>
      </c>
      <c r="G390" s="78">
        <v>1.5053993907782946E7</v>
      </c>
      <c r="H390" s="78">
        <v>4.104284651147102E7</v>
      </c>
      <c r="I390" s="80">
        <v>45286.0</v>
      </c>
      <c r="J390" s="80">
        <v>45315.0</v>
      </c>
      <c r="K390" s="79">
        <v>146587.23357725143</v>
      </c>
      <c r="L390" s="81"/>
      <c r="M390" s="81"/>
      <c r="N390" s="86"/>
      <c r="O390" s="61"/>
      <c r="P390" s="61"/>
      <c r="Q390" s="61"/>
      <c r="R390" s="61" t="str">
        <f t="shared" si="1"/>
        <v>2024</v>
      </c>
      <c r="S390" s="62">
        <f t="shared" si="2"/>
        <v>1</v>
      </c>
      <c r="T390" s="61" t="str">
        <f t="shared" si="3"/>
        <v>2024-Q1</v>
      </c>
      <c r="U390" s="63" t="str">
        <f t="shared" si="4"/>
        <v>2024-01</v>
      </c>
      <c r="V390" s="64" t="str">
        <f t="shared" si="5"/>
        <v>2024-H1</v>
      </c>
      <c r="W390" s="32"/>
      <c r="X390" s="32"/>
    </row>
    <row r="391">
      <c r="A391" s="77">
        <f>HYPERLINK("https://polkadot.subsquare.io/referenda/389", 389)</f>
        <v>389</v>
      </c>
      <c r="B391" s="40" t="s">
        <v>1129</v>
      </c>
      <c r="C391" s="40" t="s">
        <v>1851</v>
      </c>
      <c r="D391" s="78">
        <v>8250.0</v>
      </c>
      <c r="E391" s="79">
        <v>68414.15977478027</v>
      </c>
      <c r="F391" s="40" t="s">
        <v>1848</v>
      </c>
      <c r="G391" s="78">
        <v>4.205530829556923E7</v>
      </c>
      <c r="H391" s="78">
        <v>2004005.13282276</v>
      </c>
      <c r="I391" s="80">
        <v>45286.0</v>
      </c>
      <c r="J391" s="80">
        <v>45301.0</v>
      </c>
      <c r="K391" s="79">
        <v>62807.127356529236</v>
      </c>
      <c r="L391" s="70" t="s">
        <v>81</v>
      </c>
      <c r="M391" s="70" t="s">
        <v>89</v>
      </c>
      <c r="N391" s="61"/>
      <c r="O391" s="86"/>
      <c r="P391" s="86"/>
      <c r="Q391" s="86"/>
      <c r="R391" s="61" t="str">
        <f t="shared" si="1"/>
        <v>2024</v>
      </c>
      <c r="S391" s="62">
        <f t="shared" si="2"/>
        <v>1</v>
      </c>
      <c r="T391" s="61" t="str">
        <f t="shared" si="3"/>
        <v>2024-Q1</v>
      </c>
      <c r="U391" s="63" t="str">
        <f t="shared" si="4"/>
        <v>2024-01</v>
      </c>
      <c r="V391" s="64" t="str">
        <f t="shared" si="5"/>
        <v>2024-H1</v>
      </c>
      <c r="W391" s="32"/>
      <c r="X391" s="32"/>
    </row>
    <row r="392">
      <c r="A392" s="77">
        <f>HYPERLINK("https://polkadot.subsquare.io/referenda/390", 390)</f>
        <v>390</v>
      </c>
      <c r="B392" s="40" t="s">
        <v>2052</v>
      </c>
      <c r="C392" s="40" t="s">
        <v>1846</v>
      </c>
      <c r="D392" s="78">
        <v>4417012.0</v>
      </c>
      <c r="E392" s="79">
        <v>3.662862602365112E7</v>
      </c>
      <c r="F392" s="40" t="s">
        <v>1853</v>
      </c>
      <c r="G392" s="78">
        <v>25251.0</v>
      </c>
      <c r="H392" s="78">
        <v>1.5925742100863248E7</v>
      </c>
      <c r="I392" s="80">
        <v>45287.0</v>
      </c>
      <c r="J392" s="80">
        <v>45315.0</v>
      </c>
      <c r="K392" s="79">
        <v>2.9462561386234283E7</v>
      </c>
      <c r="L392" s="81"/>
      <c r="M392" s="81"/>
      <c r="N392" s="86"/>
      <c r="O392" s="61"/>
      <c r="P392" s="61"/>
      <c r="Q392" s="61"/>
      <c r="R392" s="61" t="str">
        <f t="shared" si="1"/>
        <v>2024</v>
      </c>
      <c r="S392" s="62">
        <f t="shared" si="2"/>
        <v>1</v>
      </c>
      <c r="T392" s="61" t="str">
        <f t="shared" si="3"/>
        <v>2024-Q1</v>
      </c>
      <c r="U392" s="63" t="str">
        <f t="shared" si="4"/>
        <v>2024-01</v>
      </c>
      <c r="V392" s="64" t="str">
        <f t="shared" si="5"/>
        <v>2024-H1</v>
      </c>
      <c r="W392" s="32"/>
      <c r="X392" s="32"/>
    </row>
    <row r="393">
      <c r="A393" s="77">
        <f>HYPERLINK("https://polkadot.subsquare.io/referenda/391", 391)</f>
        <v>391</v>
      </c>
      <c r="B393" s="40" t="s">
        <v>1130</v>
      </c>
      <c r="C393" s="40" t="s">
        <v>1851</v>
      </c>
      <c r="D393" s="78">
        <v>540.0</v>
      </c>
      <c r="E393" s="79">
        <v>4520.265998840332</v>
      </c>
      <c r="F393" s="40" t="s">
        <v>1869</v>
      </c>
      <c r="G393" s="78">
        <v>4.616974755489394E7</v>
      </c>
      <c r="H393" s="78">
        <v>1785995.2537505461</v>
      </c>
      <c r="I393" s="80">
        <v>45287.0</v>
      </c>
      <c r="J393" s="80">
        <v>45292.0</v>
      </c>
      <c r="K393" s="79">
        <v>4255.996999740601</v>
      </c>
      <c r="L393" s="70" t="s">
        <v>81</v>
      </c>
      <c r="M393" s="70" t="s">
        <v>87</v>
      </c>
      <c r="N393" s="61"/>
      <c r="O393" s="86"/>
      <c r="P393" s="86"/>
      <c r="Q393" s="86"/>
      <c r="R393" s="61" t="str">
        <f t="shared" si="1"/>
        <v>2024</v>
      </c>
      <c r="S393" s="62">
        <f t="shared" si="2"/>
        <v>1</v>
      </c>
      <c r="T393" s="61" t="str">
        <f t="shared" si="3"/>
        <v>2024-Q1</v>
      </c>
      <c r="U393" s="63" t="str">
        <f t="shared" si="4"/>
        <v>2024-01</v>
      </c>
      <c r="V393" s="64" t="str">
        <f t="shared" si="5"/>
        <v>2024-H1</v>
      </c>
      <c r="W393" s="32"/>
      <c r="X393" s="32"/>
    </row>
    <row r="394">
      <c r="A394" s="77">
        <f>HYPERLINK("https://polkadot.subsquare.io/referenda/392", 392)</f>
        <v>392</v>
      </c>
      <c r="B394" s="40" t="s">
        <v>2053</v>
      </c>
      <c r="C394" s="40" t="s">
        <v>1846</v>
      </c>
      <c r="D394" s="78">
        <v>44170.12</v>
      </c>
      <c r="E394" s="79">
        <v>369742.02148277283</v>
      </c>
      <c r="F394" s="40" t="s">
        <v>1853</v>
      </c>
      <c r="G394" s="78">
        <v>96537.7063194007</v>
      </c>
      <c r="H394" s="78">
        <v>5.601820622872928E7</v>
      </c>
      <c r="I394" s="80">
        <v>45287.0</v>
      </c>
      <c r="J394" s="80">
        <v>45316.0</v>
      </c>
      <c r="K394" s="79">
        <v>294625.61386234284</v>
      </c>
      <c r="L394" s="81"/>
      <c r="M394" s="81"/>
      <c r="N394" s="86"/>
      <c r="O394" s="61"/>
      <c r="P394" s="61"/>
      <c r="Q394" s="61"/>
      <c r="R394" s="61" t="str">
        <f t="shared" si="1"/>
        <v>2024</v>
      </c>
      <c r="S394" s="62">
        <f t="shared" si="2"/>
        <v>1</v>
      </c>
      <c r="T394" s="61" t="str">
        <f t="shared" si="3"/>
        <v>2024-Q1</v>
      </c>
      <c r="U394" s="63" t="str">
        <f t="shared" si="4"/>
        <v>2024-01</v>
      </c>
      <c r="V394" s="64" t="str">
        <f t="shared" si="5"/>
        <v>2024-H1</v>
      </c>
      <c r="W394" s="32"/>
      <c r="X394" s="32"/>
    </row>
    <row r="395">
      <c r="A395" s="77">
        <f>HYPERLINK("https://polkadot.subsquare.io/referenda/393", 393)</f>
        <v>393</v>
      </c>
      <c r="B395" s="40" t="s">
        <v>1131</v>
      </c>
      <c r="C395" s="40" t="s">
        <v>1851</v>
      </c>
      <c r="D395" s="78">
        <v>100.0</v>
      </c>
      <c r="E395" s="79">
        <v>837.086296081543</v>
      </c>
      <c r="F395" s="40" t="s">
        <v>982</v>
      </c>
      <c r="G395" s="78">
        <v>2822333.194635843</v>
      </c>
      <c r="H395" s="78">
        <v>198463.5944890484</v>
      </c>
      <c r="I395" s="80">
        <v>45288.0</v>
      </c>
      <c r="J395" s="80">
        <v>45292.0</v>
      </c>
      <c r="K395" s="79">
        <v>788.1475925445557</v>
      </c>
      <c r="L395" s="70" t="s">
        <v>46</v>
      </c>
      <c r="M395" s="70" t="s">
        <v>102</v>
      </c>
      <c r="N395" s="61"/>
      <c r="O395" s="86"/>
      <c r="P395" s="86"/>
      <c r="Q395" s="86"/>
      <c r="R395" s="61" t="str">
        <f t="shared" si="1"/>
        <v>2024</v>
      </c>
      <c r="S395" s="62">
        <f t="shared" si="2"/>
        <v>1</v>
      </c>
      <c r="T395" s="61" t="str">
        <f t="shared" si="3"/>
        <v>2024-Q1</v>
      </c>
      <c r="U395" s="63" t="str">
        <f t="shared" si="4"/>
        <v>2024-01</v>
      </c>
      <c r="V395" s="64" t="str">
        <f t="shared" si="5"/>
        <v>2024-H1</v>
      </c>
      <c r="W395" s="32"/>
      <c r="X395" s="32"/>
    </row>
    <row r="396">
      <c r="A396" s="77">
        <f>HYPERLINK("https://polkadot.subsquare.io/referenda/394", 394)</f>
        <v>394</v>
      </c>
      <c r="B396" s="40" t="s">
        <v>2054</v>
      </c>
      <c r="C396" s="40" t="s">
        <v>1851</v>
      </c>
      <c r="D396" s="78">
        <v>0.0</v>
      </c>
      <c r="E396" s="79">
        <v>0.0</v>
      </c>
      <c r="F396" s="40" t="s">
        <v>1866</v>
      </c>
      <c r="G396" s="78">
        <v>1.6431166850760797E7</v>
      </c>
      <c r="H396" s="78">
        <v>2237044.38390566</v>
      </c>
      <c r="I396" s="80">
        <v>45290.0</v>
      </c>
      <c r="J396" s="80">
        <v>45320.0</v>
      </c>
      <c r="K396" s="79">
        <v>0.0</v>
      </c>
      <c r="L396" s="81"/>
      <c r="M396" s="81"/>
      <c r="N396" s="86"/>
      <c r="O396" s="61"/>
      <c r="P396" s="61"/>
      <c r="Q396" s="61"/>
      <c r="R396" s="61" t="str">
        <f t="shared" si="1"/>
        <v>2024</v>
      </c>
      <c r="S396" s="62">
        <f t="shared" si="2"/>
        <v>1</v>
      </c>
      <c r="T396" s="61" t="str">
        <f t="shared" si="3"/>
        <v>2024-Q1</v>
      </c>
      <c r="U396" s="63" t="str">
        <f t="shared" si="4"/>
        <v>2024-01</v>
      </c>
      <c r="V396" s="64" t="str">
        <f t="shared" si="5"/>
        <v>2024-H1</v>
      </c>
      <c r="W396" s="32"/>
      <c r="X396" s="32"/>
    </row>
    <row r="397">
      <c r="A397" s="77">
        <f>HYPERLINK("https://polkadot.subsquare.io/referenda/395", 395)</f>
        <v>395</v>
      </c>
      <c r="B397" s="40" t="s">
        <v>2055</v>
      </c>
      <c r="C397" s="40" t="s">
        <v>1861</v>
      </c>
      <c r="D397" s="78">
        <v>700.0</v>
      </c>
      <c r="E397" s="79">
        <v>5517.03314781189</v>
      </c>
      <c r="F397" s="40" t="s">
        <v>1869</v>
      </c>
      <c r="G397" s="78">
        <v>12262.1531</v>
      </c>
      <c r="H397" s="78">
        <v>1.4102289690303368E7</v>
      </c>
      <c r="I397" s="80">
        <v>45293.0</v>
      </c>
      <c r="J397" s="80">
        <v>45307.0</v>
      </c>
      <c r="K397" s="79">
        <v>4905.345916748047</v>
      </c>
      <c r="L397" s="70"/>
      <c r="M397" s="70"/>
      <c r="N397" s="61"/>
      <c r="O397" s="86"/>
      <c r="P397" s="86"/>
      <c r="Q397" s="86"/>
      <c r="R397" s="61" t="str">
        <f t="shared" si="1"/>
        <v>2024</v>
      </c>
      <c r="S397" s="62">
        <f t="shared" si="2"/>
        <v>1</v>
      </c>
      <c r="T397" s="61" t="str">
        <f t="shared" si="3"/>
        <v>2024-Q1</v>
      </c>
      <c r="U397" s="63" t="str">
        <f t="shared" si="4"/>
        <v>2024-01</v>
      </c>
      <c r="V397" s="64" t="str">
        <f t="shared" si="5"/>
        <v>2024-H1</v>
      </c>
      <c r="W397" s="32"/>
      <c r="X397" s="32"/>
    </row>
    <row r="398">
      <c r="A398" s="77">
        <f>HYPERLINK("https://polkadot.subsquare.io/referenda/541", 541)</f>
        <v>541</v>
      </c>
      <c r="B398" s="40" t="s">
        <v>1190</v>
      </c>
      <c r="C398" s="40" t="s">
        <v>1851</v>
      </c>
      <c r="D398" s="78">
        <v>4471.0</v>
      </c>
      <c r="E398" s="79">
        <v>43804.35234069824</v>
      </c>
      <c r="F398" s="40" t="s">
        <v>1848</v>
      </c>
      <c r="G398" s="78">
        <v>1.0063210331016317E7</v>
      </c>
      <c r="H398" s="78">
        <v>7938129.503976608</v>
      </c>
      <c r="I398" s="80">
        <v>45351.0</v>
      </c>
      <c r="J398" s="80">
        <v>45381.0</v>
      </c>
      <c r="K398" s="79">
        <v>38354.97998046875</v>
      </c>
      <c r="L398" s="81" t="s">
        <v>46</v>
      </c>
      <c r="M398" s="81" t="s">
        <v>116</v>
      </c>
      <c r="N398" s="61"/>
      <c r="O398" s="86"/>
      <c r="P398" s="86"/>
      <c r="Q398" s="86"/>
      <c r="R398" s="61" t="str">
        <f t="shared" si="1"/>
        <v>2024</v>
      </c>
      <c r="S398" s="62">
        <f t="shared" si="2"/>
        <v>3</v>
      </c>
      <c r="T398" s="61" t="str">
        <f t="shared" si="3"/>
        <v>2024-Q1</v>
      </c>
      <c r="U398" s="63" t="str">
        <f t="shared" si="4"/>
        <v>2024-03</v>
      </c>
      <c r="V398" s="64" t="str">
        <f t="shared" si="5"/>
        <v>2024-H1</v>
      </c>
      <c r="W398" s="32"/>
      <c r="X398" s="32"/>
    </row>
    <row r="399">
      <c r="A399" s="77">
        <f>HYPERLINK("https://polkadot.subsquare.io/referenda/397", 397)</f>
        <v>397</v>
      </c>
      <c r="B399" s="40" t="s">
        <v>1133</v>
      </c>
      <c r="C399" s="40" t="s">
        <v>1851</v>
      </c>
      <c r="D399" s="78">
        <v>2744.11</v>
      </c>
      <c r="E399" s="79">
        <v>21627.636901774407</v>
      </c>
      <c r="F399" s="40" t="s">
        <v>1848</v>
      </c>
      <c r="G399" s="78">
        <v>3868657.0971086035</v>
      </c>
      <c r="H399" s="78">
        <v>13720.3229564742</v>
      </c>
      <c r="I399" s="80">
        <v>45293.0</v>
      </c>
      <c r="J399" s="80">
        <v>45315.0</v>
      </c>
      <c r="K399" s="79">
        <v>18309.959193940165</v>
      </c>
      <c r="L399" s="70" t="s">
        <v>49</v>
      </c>
      <c r="M399" s="70" t="s">
        <v>110</v>
      </c>
      <c r="N399" s="61"/>
      <c r="O399" s="86"/>
      <c r="P399" s="86" t="s">
        <v>1881</v>
      </c>
      <c r="Q399" s="86"/>
      <c r="R399" s="61" t="str">
        <f t="shared" si="1"/>
        <v>2024</v>
      </c>
      <c r="S399" s="62">
        <f t="shared" si="2"/>
        <v>1</v>
      </c>
      <c r="T399" s="61" t="str">
        <f t="shared" si="3"/>
        <v>2024-Q1</v>
      </c>
      <c r="U399" s="63" t="str">
        <f t="shared" si="4"/>
        <v>2024-01</v>
      </c>
      <c r="V399" s="64" t="str">
        <f t="shared" si="5"/>
        <v>2024-H1</v>
      </c>
      <c r="W399" s="32"/>
      <c r="X399" s="32"/>
    </row>
    <row r="400">
      <c r="A400" s="77">
        <f>HYPERLINK("https://polkadot.subsquare.io/referenda/398", 398)</f>
        <v>398</v>
      </c>
      <c r="B400" s="40" t="s">
        <v>2056</v>
      </c>
      <c r="C400" s="40" t="s">
        <v>1846</v>
      </c>
      <c r="D400" s="78">
        <v>225.0</v>
      </c>
      <c r="E400" s="79">
        <v>1675.2514243125916</v>
      </c>
      <c r="F400" s="40" t="s">
        <v>982</v>
      </c>
      <c r="G400" s="78">
        <v>25142.16037</v>
      </c>
      <c r="H400" s="78">
        <v>3922237.799207042</v>
      </c>
      <c r="I400" s="80">
        <v>45293.0</v>
      </c>
      <c r="J400" s="80">
        <v>45300.0</v>
      </c>
      <c r="K400" s="79">
        <v>1703.0866384506226</v>
      </c>
      <c r="L400" s="81"/>
      <c r="M400" s="81"/>
      <c r="N400" s="86"/>
      <c r="O400" s="61"/>
      <c r="P400" s="61"/>
      <c r="Q400" s="61"/>
      <c r="R400" s="61" t="str">
        <f t="shared" si="1"/>
        <v>2024</v>
      </c>
      <c r="S400" s="62">
        <f t="shared" si="2"/>
        <v>1</v>
      </c>
      <c r="T400" s="61" t="str">
        <f t="shared" si="3"/>
        <v>2024-Q1</v>
      </c>
      <c r="U400" s="63" t="str">
        <f t="shared" si="4"/>
        <v>2024-01</v>
      </c>
      <c r="V400" s="64" t="str">
        <f t="shared" si="5"/>
        <v>2024-H1</v>
      </c>
      <c r="W400" s="32"/>
      <c r="X400" s="32"/>
    </row>
    <row r="401">
      <c r="A401" s="77">
        <f>HYPERLINK("https://polkadot.subsquare.io/referenda/399", 399)</f>
        <v>399</v>
      </c>
      <c r="B401" s="40" t="s">
        <v>2057</v>
      </c>
      <c r="C401" s="40" t="s">
        <v>1846</v>
      </c>
      <c r="D401" s="78">
        <v>50.0</v>
      </c>
      <c r="E401" s="79">
        <v>372.278094291687</v>
      </c>
      <c r="F401" s="40" t="s">
        <v>982</v>
      </c>
      <c r="G401" s="78">
        <v>206693.3777962458</v>
      </c>
      <c r="H401" s="78">
        <v>3255968.584409249</v>
      </c>
      <c r="I401" s="80">
        <v>45294.0</v>
      </c>
      <c r="J401" s="80">
        <v>45301.0</v>
      </c>
      <c r="K401" s="79">
        <v>378.4636974334717</v>
      </c>
      <c r="L401" s="70"/>
      <c r="M401" s="70"/>
      <c r="N401" s="61"/>
      <c r="O401" s="86"/>
      <c r="P401" s="86"/>
      <c r="Q401" s="86"/>
      <c r="R401" s="61" t="str">
        <f t="shared" si="1"/>
        <v>2024</v>
      </c>
      <c r="S401" s="62">
        <f t="shared" si="2"/>
        <v>1</v>
      </c>
      <c r="T401" s="61" t="str">
        <f t="shared" si="3"/>
        <v>2024-Q1</v>
      </c>
      <c r="U401" s="63" t="str">
        <f t="shared" si="4"/>
        <v>2024-01</v>
      </c>
      <c r="V401" s="64" t="str">
        <f t="shared" si="5"/>
        <v>2024-H1</v>
      </c>
      <c r="W401" s="32"/>
      <c r="X401" s="32"/>
    </row>
    <row r="402">
      <c r="A402" s="77">
        <f>HYPERLINK("https://polkadot.subsquare.io/referenda/400", 400)</f>
        <v>400</v>
      </c>
      <c r="B402" s="40" t="s">
        <v>2058</v>
      </c>
      <c r="C402" s="40" t="s">
        <v>1851</v>
      </c>
      <c r="D402" s="78">
        <v>0.0</v>
      </c>
      <c r="E402" s="79">
        <v>0.0</v>
      </c>
      <c r="F402" s="40" t="s">
        <v>2059</v>
      </c>
      <c r="G402" s="78">
        <v>1.3950343378647817E7</v>
      </c>
      <c r="H402" s="78">
        <v>51230.7783225472</v>
      </c>
      <c r="I402" s="80">
        <v>45294.0</v>
      </c>
      <c r="J402" s="80">
        <v>45325.0</v>
      </c>
      <c r="K402" s="79">
        <v>0.0</v>
      </c>
      <c r="L402" s="81"/>
      <c r="M402" s="81"/>
      <c r="N402" s="86"/>
      <c r="O402" s="61"/>
      <c r="P402" s="61"/>
      <c r="Q402" s="61"/>
      <c r="R402" s="61" t="str">
        <f t="shared" si="1"/>
        <v>2024</v>
      </c>
      <c r="S402" s="62">
        <f t="shared" si="2"/>
        <v>2</v>
      </c>
      <c r="T402" s="61" t="str">
        <f t="shared" si="3"/>
        <v>2024-Q1</v>
      </c>
      <c r="U402" s="63" t="str">
        <f t="shared" si="4"/>
        <v>2024-02</v>
      </c>
      <c r="V402" s="64" t="str">
        <f t="shared" si="5"/>
        <v>2024-H1</v>
      </c>
      <c r="W402" s="87">
        <f>G402/(G402+H402)</f>
        <v>0.9963410701</v>
      </c>
      <c r="X402" s="32"/>
    </row>
    <row r="403">
      <c r="A403" s="77">
        <f>HYPERLINK("https://polkadot.subsquare.io/referenda/401", 401)</f>
        <v>401</v>
      </c>
      <c r="B403" s="40" t="s">
        <v>2060</v>
      </c>
      <c r="C403" s="40" t="s">
        <v>1846</v>
      </c>
      <c r="D403" s="78">
        <v>38684.0</v>
      </c>
      <c r="E403" s="79">
        <v>288024.1159915924</v>
      </c>
      <c r="F403" s="40" t="s">
        <v>1853</v>
      </c>
      <c r="G403" s="78">
        <v>1.6332373649223462E7</v>
      </c>
      <c r="H403" s="78">
        <v>1.067607787113054E8</v>
      </c>
      <c r="I403" s="80">
        <v>45294.0</v>
      </c>
      <c r="J403" s="80">
        <v>45322.0</v>
      </c>
      <c r="K403" s="79">
        <v>264269.3607006073</v>
      </c>
      <c r="L403" s="70"/>
      <c r="M403" s="70"/>
      <c r="N403" s="61"/>
      <c r="O403" s="86"/>
      <c r="P403" s="86"/>
      <c r="Q403" s="86"/>
      <c r="R403" s="61" t="str">
        <f t="shared" si="1"/>
        <v>2024</v>
      </c>
      <c r="S403" s="62">
        <f t="shared" si="2"/>
        <v>1</v>
      </c>
      <c r="T403" s="61" t="str">
        <f t="shared" si="3"/>
        <v>2024-Q1</v>
      </c>
      <c r="U403" s="63" t="str">
        <f t="shared" si="4"/>
        <v>2024-01</v>
      </c>
      <c r="V403" s="64" t="str">
        <f t="shared" si="5"/>
        <v>2024-H1</v>
      </c>
      <c r="W403" s="32"/>
      <c r="X403" s="32"/>
    </row>
    <row r="404">
      <c r="A404" s="77">
        <f>HYPERLINK("https://polkadot.subsquare.io/referenda/402", 402)</f>
        <v>402</v>
      </c>
      <c r="B404" s="40" t="s">
        <v>158</v>
      </c>
      <c r="C404" s="40" t="s">
        <v>1851</v>
      </c>
      <c r="D404" s="78">
        <v>0.0</v>
      </c>
      <c r="E404" s="79">
        <v>0.0</v>
      </c>
      <c r="F404" s="40" t="s">
        <v>1853</v>
      </c>
      <c r="G404" s="78">
        <v>5.536930947291529E7</v>
      </c>
      <c r="H404" s="78">
        <v>1056821.963673672</v>
      </c>
      <c r="I404" s="80">
        <v>45294.0</v>
      </c>
      <c r="J404" s="80">
        <v>45311.0</v>
      </c>
      <c r="K404" s="79">
        <v>0.0</v>
      </c>
      <c r="L404" s="81"/>
      <c r="M404" s="81"/>
      <c r="N404" s="86"/>
      <c r="O404" s="61" t="s">
        <v>1881</v>
      </c>
      <c r="P404" s="61" t="s">
        <v>1881</v>
      </c>
      <c r="Q404" s="61"/>
      <c r="R404" s="61" t="str">
        <f t="shared" si="1"/>
        <v>2024</v>
      </c>
      <c r="S404" s="62">
        <f t="shared" si="2"/>
        <v>1</v>
      </c>
      <c r="T404" s="61" t="str">
        <f t="shared" si="3"/>
        <v>2024-Q1</v>
      </c>
      <c r="U404" s="63" t="str">
        <f t="shared" si="4"/>
        <v>2024-01</v>
      </c>
      <c r="V404" s="64" t="str">
        <f t="shared" si="5"/>
        <v>2024-H1</v>
      </c>
      <c r="W404" s="32"/>
      <c r="X404" s="32"/>
    </row>
    <row r="405">
      <c r="A405" s="77">
        <f>HYPERLINK("https://polkadot.subsquare.io/referenda/403", 403)</f>
        <v>403</v>
      </c>
      <c r="B405" s="40" t="s">
        <v>2061</v>
      </c>
      <c r="C405" s="40" t="s">
        <v>1851</v>
      </c>
      <c r="D405" s="78">
        <v>0.0</v>
      </c>
      <c r="E405" s="79">
        <v>0.0</v>
      </c>
      <c r="F405" s="40" t="s">
        <v>1868</v>
      </c>
      <c r="G405" s="78">
        <v>3.305601927908205E7</v>
      </c>
      <c r="H405" s="78">
        <v>6106.795392146</v>
      </c>
      <c r="I405" s="80">
        <v>45296.0</v>
      </c>
      <c r="J405" s="80">
        <v>45319.0</v>
      </c>
      <c r="K405" s="79">
        <v>0.0</v>
      </c>
      <c r="L405" s="70"/>
      <c r="M405" s="70"/>
      <c r="N405" s="61"/>
      <c r="O405" s="86"/>
      <c r="P405" s="86"/>
      <c r="Q405" s="86"/>
      <c r="R405" s="61" t="str">
        <f t="shared" si="1"/>
        <v>2024</v>
      </c>
      <c r="S405" s="62">
        <f t="shared" si="2"/>
        <v>1</v>
      </c>
      <c r="T405" s="61" t="str">
        <f t="shared" si="3"/>
        <v>2024-Q1</v>
      </c>
      <c r="U405" s="63" t="str">
        <f t="shared" si="4"/>
        <v>2024-01</v>
      </c>
      <c r="V405" s="64" t="str">
        <f t="shared" si="5"/>
        <v>2024-H1</v>
      </c>
      <c r="W405" s="32"/>
      <c r="X405" s="32"/>
    </row>
    <row r="406">
      <c r="A406" s="77">
        <f>HYPERLINK("https://polkadot.subsquare.io/referenda/404", 404)</f>
        <v>404</v>
      </c>
      <c r="B406" s="40" t="s">
        <v>2062</v>
      </c>
      <c r="C406" s="40" t="s">
        <v>1846</v>
      </c>
      <c r="D406" s="78">
        <v>1658.0</v>
      </c>
      <c r="E406" s="79">
        <v>12398.438097000122</v>
      </c>
      <c r="F406" s="40" t="s">
        <v>1848</v>
      </c>
      <c r="G406" s="78">
        <v>22474.1362587345</v>
      </c>
      <c r="H406" s="78">
        <v>1.4878924183481764E7</v>
      </c>
      <c r="I406" s="80">
        <v>45296.0</v>
      </c>
      <c r="J406" s="80">
        <v>45325.0</v>
      </c>
      <c r="K406" s="79">
        <v>11153.223294258118</v>
      </c>
      <c r="L406" s="81"/>
      <c r="M406" s="81"/>
      <c r="N406" s="86"/>
      <c r="O406" s="61"/>
      <c r="P406" s="61"/>
      <c r="Q406" s="61"/>
      <c r="R406" s="61" t="str">
        <f t="shared" si="1"/>
        <v>2024</v>
      </c>
      <c r="S406" s="62">
        <f t="shared" si="2"/>
        <v>2</v>
      </c>
      <c r="T406" s="61" t="str">
        <f t="shared" si="3"/>
        <v>2024-Q1</v>
      </c>
      <c r="U406" s="63" t="str">
        <f t="shared" si="4"/>
        <v>2024-02</v>
      </c>
      <c r="V406" s="64" t="str">
        <f t="shared" si="5"/>
        <v>2024-H1</v>
      </c>
      <c r="W406" s="32"/>
      <c r="X406" s="32"/>
    </row>
    <row r="407">
      <c r="A407" s="77">
        <f>HYPERLINK("https://polkadot.subsquare.io/referenda/405", 405)</f>
        <v>405</v>
      </c>
      <c r="B407" s="40" t="s">
        <v>2063</v>
      </c>
      <c r="C407" s="40" t="s">
        <v>1861</v>
      </c>
      <c r="D407" s="78">
        <v>160.0</v>
      </c>
      <c r="E407" s="79">
        <v>1196.4717102050781</v>
      </c>
      <c r="F407" s="40" t="s">
        <v>1857</v>
      </c>
      <c r="G407" s="78">
        <v>82271.5289358169</v>
      </c>
      <c r="H407" s="78">
        <v>1.5928880587928142E7</v>
      </c>
      <c r="I407" s="80">
        <v>45297.0</v>
      </c>
      <c r="J407" s="80">
        <v>45311.0</v>
      </c>
      <c r="K407" s="79">
        <v>1016.708984375</v>
      </c>
      <c r="L407" s="70"/>
      <c r="M407" s="70"/>
      <c r="N407" s="61"/>
      <c r="O407" s="86"/>
      <c r="P407" s="86"/>
      <c r="Q407" s="86"/>
      <c r="R407" s="61" t="str">
        <f t="shared" si="1"/>
        <v>2024</v>
      </c>
      <c r="S407" s="62">
        <f t="shared" si="2"/>
        <v>1</v>
      </c>
      <c r="T407" s="61" t="str">
        <f t="shared" si="3"/>
        <v>2024-Q1</v>
      </c>
      <c r="U407" s="63" t="str">
        <f t="shared" si="4"/>
        <v>2024-01</v>
      </c>
      <c r="V407" s="64" t="str">
        <f t="shared" si="5"/>
        <v>2024-H1</v>
      </c>
      <c r="W407" s="32"/>
      <c r="X407" s="32"/>
    </row>
    <row r="408">
      <c r="A408" s="77">
        <f>HYPERLINK("https://polkadot.subsquare.io/referenda/406", 406)</f>
        <v>406</v>
      </c>
      <c r="B408" s="40" t="s">
        <v>1134</v>
      </c>
      <c r="C408" s="40" t="s">
        <v>1851</v>
      </c>
      <c r="D408" s="78">
        <v>160.0</v>
      </c>
      <c r="E408" s="79">
        <v>1196.4717102050781</v>
      </c>
      <c r="F408" s="40" t="s">
        <v>982</v>
      </c>
      <c r="G408" s="78">
        <v>3221218.82419314</v>
      </c>
      <c r="H408" s="78">
        <v>115340.1235388797</v>
      </c>
      <c r="I408" s="80">
        <v>45297.0</v>
      </c>
      <c r="J408" s="80">
        <v>45300.0</v>
      </c>
      <c r="K408" s="79">
        <v>1307.230224609375</v>
      </c>
      <c r="L408" s="81" t="s">
        <v>81</v>
      </c>
      <c r="M408" s="85" t="s">
        <v>86</v>
      </c>
      <c r="N408" s="86"/>
      <c r="O408" s="61"/>
      <c r="P408" s="61"/>
      <c r="Q408" s="61"/>
      <c r="R408" s="61" t="str">
        <f t="shared" si="1"/>
        <v>2024</v>
      </c>
      <c r="S408" s="62">
        <f t="shared" si="2"/>
        <v>1</v>
      </c>
      <c r="T408" s="61" t="str">
        <f t="shared" si="3"/>
        <v>2024-Q1</v>
      </c>
      <c r="U408" s="63" t="str">
        <f t="shared" si="4"/>
        <v>2024-01</v>
      </c>
      <c r="V408" s="64" t="str">
        <f t="shared" si="5"/>
        <v>2024-H1</v>
      </c>
      <c r="W408" s="32"/>
      <c r="X408" s="32"/>
    </row>
    <row r="409">
      <c r="A409" s="77">
        <f>HYPERLINK("https://polkadot.subsquare.io/referenda/407", 407)</f>
        <v>407</v>
      </c>
      <c r="B409" s="40" t="s">
        <v>2064</v>
      </c>
      <c r="C409" s="40" t="s">
        <v>1846</v>
      </c>
      <c r="D409" s="78">
        <v>12489.0</v>
      </c>
      <c r="E409" s="79">
        <v>99550.58369779587</v>
      </c>
      <c r="F409" s="40" t="s">
        <v>1853</v>
      </c>
      <c r="G409" s="78">
        <v>406265.0568534576</v>
      </c>
      <c r="H409" s="78">
        <v>1457685.9115545189</v>
      </c>
      <c r="I409" s="80">
        <v>45299.0</v>
      </c>
      <c r="J409" s="80">
        <v>45327.0</v>
      </c>
      <c r="K409" s="79">
        <v>87606.16467905045</v>
      </c>
      <c r="L409" s="70"/>
      <c r="M409" s="70"/>
      <c r="N409" s="61"/>
      <c r="O409" s="86"/>
      <c r="P409" s="86"/>
      <c r="Q409" s="86"/>
      <c r="R409" s="61" t="str">
        <f t="shared" si="1"/>
        <v>2024</v>
      </c>
      <c r="S409" s="62">
        <f t="shared" si="2"/>
        <v>2</v>
      </c>
      <c r="T409" s="61" t="str">
        <f t="shared" si="3"/>
        <v>2024-Q1</v>
      </c>
      <c r="U409" s="63" t="str">
        <f t="shared" si="4"/>
        <v>2024-02</v>
      </c>
      <c r="V409" s="64" t="str">
        <f t="shared" si="5"/>
        <v>2024-H1</v>
      </c>
      <c r="W409" s="32"/>
      <c r="X409" s="32"/>
    </row>
    <row r="410">
      <c r="A410" s="77">
        <f>HYPERLINK("https://polkadot.subsquare.io/referenda/408", 408)</f>
        <v>408</v>
      </c>
      <c r="B410" s="40" t="s">
        <v>1135</v>
      </c>
      <c r="C410" s="40" t="s">
        <v>1851</v>
      </c>
      <c r="D410" s="78">
        <v>9975.0</v>
      </c>
      <c r="E410" s="79">
        <v>81497.63431549072</v>
      </c>
      <c r="F410" s="40" t="s">
        <v>1848</v>
      </c>
      <c r="G410" s="78">
        <v>1.570805249379172E7</v>
      </c>
      <c r="H410" s="78">
        <v>129349.1</v>
      </c>
      <c r="I410" s="80">
        <v>45299.0</v>
      </c>
      <c r="J410" s="80">
        <v>45317.0</v>
      </c>
      <c r="K410" s="79">
        <v>70133.04677009583</v>
      </c>
      <c r="L410" s="81" t="s">
        <v>46</v>
      </c>
      <c r="M410" s="81" t="s">
        <v>114</v>
      </c>
      <c r="N410" s="86"/>
      <c r="O410" s="61"/>
      <c r="P410" s="61"/>
      <c r="Q410" s="61"/>
      <c r="R410" s="61" t="str">
        <f t="shared" si="1"/>
        <v>2024</v>
      </c>
      <c r="S410" s="62">
        <f t="shared" si="2"/>
        <v>1</v>
      </c>
      <c r="T410" s="61" t="str">
        <f t="shared" si="3"/>
        <v>2024-Q1</v>
      </c>
      <c r="U410" s="63" t="str">
        <f t="shared" si="4"/>
        <v>2024-01</v>
      </c>
      <c r="V410" s="64" t="str">
        <f t="shared" si="5"/>
        <v>2024-H1</v>
      </c>
      <c r="W410" s="32"/>
      <c r="X410" s="32"/>
    </row>
    <row r="411">
      <c r="A411" s="77">
        <f>HYPERLINK("https://polkadot.subsquare.io/referenda/409", 409)</f>
        <v>409</v>
      </c>
      <c r="B411" s="40" t="s">
        <v>1136</v>
      </c>
      <c r="C411" s="40" t="s">
        <v>1851</v>
      </c>
      <c r="D411" s="78">
        <v>56600.0</v>
      </c>
      <c r="E411" s="79">
        <v>462432.6919555664</v>
      </c>
      <c r="F411" s="40" t="s">
        <v>1853</v>
      </c>
      <c r="G411" s="78">
        <v>5.347126750729976E7</v>
      </c>
      <c r="H411" s="78">
        <v>1.5796416238974106E7</v>
      </c>
      <c r="I411" s="80">
        <v>45299.0</v>
      </c>
      <c r="J411" s="80">
        <v>45319.0</v>
      </c>
      <c r="K411" s="79">
        <v>376714.65587615967</v>
      </c>
      <c r="L411" s="70" t="s">
        <v>81</v>
      </c>
      <c r="M411" s="71" t="s">
        <v>93</v>
      </c>
      <c r="N411" s="61"/>
      <c r="O411" s="86"/>
      <c r="P411" s="86" t="s">
        <v>1881</v>
      </c>
      <c r="Q411" s="86"/>
      <c r="R411" s="61" t="str">
        <f t="shared" si="1"/>
        <v>2024</v>
      </c>
      <c r="S411" s="62">
        <f t="shared" si="2"/>
        <v>1</v>
      </c>
      <c r="T411" s="61" t="str">
        <f t="shared" si="3"/>
        <v>2024-Q1</v>
      </c>
      <c r="U411" s="63" t="str">
        <f t="shared" si="4"/>
        <v>2024-01</v>
      </c>
      <c r="V411" s="64" t="str">
        <f t="shared" si="5"/>
        <v>2024-H1</v>
      </c>
      <c r="W411" s="32"/>
      <c r="X411" s="32"/>
    </row>
    <row r="412">
      <c r="A412" s="77">
        <f>HYPERLINK("https://polkadot.subsquare.io/referenda/410", 410)</f>
        <v>410</v>
      </c>
      <c r="B412" s="40" t="s">
        <v>2065</v>
      </c>
      <c r="C412" s="40" t="s">
        <v>1851</v>
      </c>
      <c r="D412" s="78">
        <v>0.0</v>
      </c>
      <c r="E412" s="79">
        <v>0.0</v>
      </c>
      <c r="F412" s="40" t="s">
        <v>1853</v>
      </c>
      <c r="G412" s="78">
        <v>5.484933424733982E7</v>
      </c>
      <c r="H412" s="78">
        <v>1581750.949735282</v>
      </c>
      <c r="I412" s="80">
        <v>45299.0</v>
      </c>
      <c r="J412" s="80">
        <v>45317.0</v>
      </c>
      <c r="K412" s="79">
        <v>0.0</v>
      </c>
      <c r="L412" s="81"/>
      <c r="M412" s="81"/>
      <c r="N412" s="86"/>
      <c r="O412" s="61"/>
      <c r="P412" s="61"/>
      <c r="Q412" s="61"/>
      <c r="R412" s="61" t="str">
        <f t="shared" si="1"/>
        <v>2024</v>
      </c>
      <c r="S412" s="62">
        <f t="shared" si="2"/>
        <v>1</v>
      </c>
      <c r="T412" s="61" t="str">
        <f t="shared" si="3"/>
        <v>2024-Q1</v>
      </c>
      <c r="U412" s="63" t="str">
        <f t="shared" si="4"/>
        <v>2024-01</v>
      </c>
      <c r="V412" s="64" t="str">
        <f t="shared" si="5"/>
        <v>2024-H1</v>
      </c>
      <c r="W412" s="32"/>
      <c r="X412" s="32"/>
    </row>
    <row r="413">
      <c r="A413" s="77">
        <f>HYPERLINK("https://polkadot.subsquare.io/referenda/411", 411)</f>
        <v>411</v>
      </c>
      <c r="B413" s="40" t="s">
        <v>1137</v>
      </c>
      <c r="C413" s="40" t="s">
        <v>1851</v>
      </c>
      <c r="D413" s="78">
        <v>65050.0</v>
      </c>
      <c r="E413" s="79">
        <v>531470.788192749</v>
      </c>
      <c r="F413" s="40" t="s">
        <v>1853</v>
      </c>
      <c r="G413" s="78">
        <v>1.650780816486209E7</v>
      </c>
      <c r="H413" s="78">
        <v>180610.4</v>
      </c>
      <c r="I413" s="80">
        <v>45300.0</v>
      </c>
      <c r="J413" s="80">
        <v>45322.0</v>
      </c>
      <c r="K413" s="79">
        <v>451201.43218040466</v>
      </c>
      <c r="L413" s="70" t="s">
        <v>81</v>
      </c>
      <c r="M413" s="71" t="s">
        <v>91</v>
      </c>
      <c r="N413" s="61"/>
      <c r="O413" s="86"/>
      <c r="P413" s="86"/>
      <c r="Q413" s="86"/>
      <c r="R413" s="61" t="str">
        <f t="shared" si="1"/>
        <v>2024</v>
      </c>
      <c r="S413" s="62">
        <f t="shared" si="2"/>
        <v>1</v>
      </c>
      <c r="T413" s="61" t="str">
        <f t="shared" si="3"/>
        <v>2024-Q1</v>
      </c>
      <c r="U413" s="63" t="str">
        <f t="shared" si="4"/>
        <v>2024-01</v>
      </c>
      <c r="V413" s="64" t="str">
        <f t="shared" si="5"/>
        <v>2024-H1</v>
      </c>
      <c r="W413" s="32"/>
      <c r="X413" s="32"/>
    </row>
    <row r="414">
      <c r="A414" s="77">
        <f>HYPERLINK("https://polkadot.subsquare.io/referenda/412", 412)</f>
        <v>412</v>
      </c>
      <c r="B414" s="40" t="s">
        <v>1138</v>
      </c>
      <c r="C414" s="40" t="s">
        <v>1851</v>
      </c>
      <c r="D414" s="78">
        <v>3157.89</v>
      </c>
      <c r="E414" s="79">
        <v>23902.934509763716</v>
      </c>
      <c r="F414" s="40" t="s">
        <v>1848</v>
      </c>
      <c r="G414" s="78">
        <v>4.920106429207879E7</v>
      </c>
      <c r="H414" s="78">
        <v>1.7424925035762724E7</v>
      </c>
      <c r="I414" s="80">
        <v>45300.0</v>
      </c>
      <c r="J414" s="80">
        <v>45317.0</v>
      </c>
      <c r="K414" s="79">
        <v>21597.210963349342</v>
      </c>
      <c r="L414" s="81" t="s">
        <v>81</v>
      </c>
      <c r="M414" s="81" t="s">
        <v>88</v>
      </c>
      <c r="N414" s="86"/>
      <c r="O414" s="61"/>
      <c r="P414" s="61"/>
      <c r="Q414" s="61"/>
      <c r="R414" s="61" t="str">
        <f t="shared" si="1"/>
        <v>2024</v>
      </c>
      <c r="S414" s="62">
        <f t="shared" si="2"/>
        <v>1</v>
      </c>
      <c r="T414" s="61" t="str">
        <f t="shared" si="3"/>
        <v>2024-Q1</v>
      </c>
      <c r="U414" s="63" t="str">
        <f t="shared" si="4"/>
        <v>2024-01</v>
      </c>
      <c r="V414" s="64" t="str">
        <f t="shared" si="5"/>
        <v>2024-H1</v>
      </c>
      <c r="W414" s="32"/>
      <c r="X414" s="32"/>
    </row>
    <row r="415">
      <c r="A415" s="77">
        <f>HYPERLINK("https://polkadot.subsquare.io/referenda/413", 413)</f>
        <v>413</v>
      </c>
      <c r="B415" s="40" t="s">
        <v>2066</v>
      </c>
      <c r="C415" s="40" t="s">
        <v>1846</v>
      </c>
      <c r="D415" s="78">
        <v>55000.0</v>
      </c>
      <c r="E415" s="79">
        <v>418714.1823768616</v>
      </c>
      <c r="F415" s="40" t="s">
        <v>1853</v>
      </c>
      <c r="G415" s="78">
        <v>18546.501</v>
      </c>
      <c r="H415" s="78">
        <v>3280325.521998466</v>
      </c>
      <c r="I415" s="80">
        <v>45301.0</v>
      </c>
      <c r="J415" s="80">
        <v>45330.0</v>
      </c>
      <c r="K415" s="79">
        <v>396487.4529838562</v>
      </c>
      <c r="L415" s="70"/>
      <c r="M415" s="70"/>
      <c r="N415" s="61"/>
      <c r="O415" s="86"/>
      <c r="P415" s="86"/>
      <c r="Q415" s="86"/>
      <c r="R415" s="61" t="str">
        <f t="shared" si="1"/>
        <v>2024</v>
      </c>
      <c r="S415" s="62">
        <f t="shared" si="2"/>
        <v>2</v>
      </c>
      <c r="T415" s="61" t="str">
        <f t="shared" si="3"/>
        <v>2024-Q1</v>
      </c>
      <c r="U415" s="63" t="str">
        <f t="shared" si="4"/>
        <v>2024-02</v>
      </c>
      <c r="V415" s="64" t="str">
        <f t="shared" si="5"/>
        <v>2024-H1</v>
      </c>
      <c r="W415" s="32"/>
      <c r="X415" s="32"/>
    </row>
    <row r="416">
      <c r="A416" s="77">
        <f>HYPERLINK("https://polkadot.subsquare.io/referenda/414", 414)</f>
        <v>414</v>
      </c>
      <c r="B416" s="40" t="s">
        <v>2067</v>
      </c>
      <c r="C416" s="40" t="s">
        <v>1851</v>
      </c>
      <c r="D416" s="78">
        <v>0.0</v>
      </c>
      <c r="E416" s="79">
        <v>0.0</v>
      </c>
      <c r="F416" s="40" t="s">
        <v>1868</v>
      </c>
      <c r="G416" s="78">
        <v>1.6200841224434428E7</v>
      </c>
      <c r="H416" s="78">
        <v>48542.1172469272</v>
      </c>
      <c r="I416" s="80">
        <v>45301.0</v>
      </c>
      <c r="J416" s="80">
        <v>45334.0</v>
      </c>
      <c r="K416" s="79">
        <v>0.0</v>
      </c>
      <c r="L416" s="81"/>
      <c r="M416" s="81"/>
      <c r="N416" s="86"/>
      <c r="O416" s="61"/>
      <c r="P416" s="61"/>
      <c r="Q416" s="61"/>
      <c r="R416" s="61" t="str">
        <f t="shared" si="1"/>
        <v>2024</v>
      </c>
      <c r="S416" s="62">
        <f t="shared" si="2"/>
        <v>2</v>
      </c>
      <c r="T416" s="61" t="str">
        <f t="shared" si="3"/>
        <v>2024-Q1</v>
      </c>
      <c r="U416" s="63" t="str">
        <f t="shared" si="4"/>
        <v>2024-02</v>
      </c>
      <c r="V416" s="64" t="str">
        <f t="shared" si="5"/>
        <v>2024-H1</v>
      </c>
      <c r="W416" s="32"/>
      <c r="X416" s="32"/>
    </row>
    <row r="417">
      <c r="A417" s="77">
        <f>HYPERLINK("https://polkadot.subsquare.io/referenda/415", 415)</f>
        <v>415</v>
      </c>
      <c r="B417" s="88" t="s">
        <v>1139</v>
      </c>
      <c r="C417" s="40" t="s">
        <v>1851</v>
      </c>
      <c r="D417" s="78">
        <v>51574.0</v>
      </c>
      <c r="E417" s="79">
        <v>387722.34568977356</v>
      </c>
      <c r="F417" s="40" t="s">
        <v>1853</v>
      </c>
      <c r="G417" s="78">
        <v>7.054771671067053E7</v>
      </c>
      <c r="H417" s="78">
        <v>502942.2226682906</v>
      </c>
      <c r="I417" s="80">
        <v>45303.0</v>
      </c>
      <c r="J417" s="80">
        <v>45319.0</v>
      </c>
      <c r="K417" s="79">
        <v>352867.6115179062</v>
      </c>
      <c r="L417" s="70" t="s">
        <v>81</v>
      </c>
      <c r="M417" s="70" t="s">
        <v>89</v>
      </c>
      <c r="N417" s="61"/>
      <c r="O417" s="86"/>
      <c r="P417" s="86"/>
      <c r="Q417" s="86"/>
      <c r="R417" s="61" t="str">
        <f t="shared" si="1"/>
        <v>2024</v>
      </c>
      <c r="S417" s="62">
        <f t="shared" si="2"/>
        <v>1</v>
      </c>
      <c r="T417" s="61" t="str">
        <f t="shared" si="3"/>
        <v>2024-Q1</v>
      </c>
      <c r="U417" s="63" t="str">
        <f t="shared" si="4"/>
        <v>2024-01</v>
      </c>
      <c r="V417" s="64" t="str">
        <f t="shared" si="5"/>
        <v>2024-H1</v>
      </c>
      <c r="W417" s="32"/>
      <c r="X417" s="32"/>
    </row>
    <row r="418">
      <c r="A418" s="77">
        <f>HYPERLINK("https://polkadot.subsquare.io/referenda/416", 416)</f>
        <v>416</v>
      </c>
      <c r="B418" s="40" t="s">
        <v>2068</v>
      </c>
      <c r="C418" s="40" t="s">
        <v>1968</v>
      </c>
      <c r="D418" s="78">
        <v>0.0</v>
      </c>
      <c r="E418" s="79">
        <v>0.0</v>
      </c>
      <c r="F418" s="40" t="s">
        <v>1852</v>
      </c>
      <c r="G418" s="78">
        <v>7.94505155868593E7</v>
      </c>
      <c r="H418" s="78">
        <v>3.386080812082049E7</v>
      </c>
      <c r="I418" s="80">
        <v>45303.0</v>
      </c>
      <c r="J418" s="80">
        <v>45316.0</v>
      </c>
      <c r="K418" s="79">
        <v>0.0</v>
      </c>
      <c r="L418" s="81"/>
      <c r="M418" s="81"/>
      <c r="N418" s="86"/>
      <c r="O418" s="61"/>
      <c r="P418" s="61"/>
      <c r="Q418" s="61"/>
      <c r="R418" s="61" t="str">
        <f t="shared" si="1"/>
        <v>2024</v>
      </c>
      <c r="S418" s="62">
        <f t="shared" si="2"/>
        <v>1</v>
      </c>
      <c r="T418" s="61" t="str">
        <f t="shared" si="3"/>
        <v>2024-Q1</v>
      </c>
      <c r="U418" s="63" t="str">
        <f t="shared" si="4"/>
        <v>2024-01</v>
      </c>
      <c r="V418" s="64" t="str">
        <f t="shared" si="5"/>
        <v>2024-H1</v>
      </c>
      <c r="W418" s="32"/>
      <c r="X418" s="32"/>
    </row>
    <row r="419">
      <c r="A419" s="77">
        <f>HYPERLINK("https://polkadot.subsquare.io/referenda/417", 417)</f>
        <v>417</v>
      </c>
      <c r="B419" s="40" t="s">
        <v>1140</v>
      </c>
      <c r="C419" s="40" t="s">
        <v>1851</v>
      </c>
      <c r="D419" s="78">
        <v>1000.0</v>
      </c>
      <c r="E419" s="79">
        <v>7517.786979675293</v>
      </c>
      <c r="F419" s="40" t="s">
        <v>1869</v>
      </c>
      <c r="G419" s="78">
        <v>6623982.139878463</v>
      </c>
      <c r="H419" s="78">
        <v>843143.4086192299</v>
      </c>
      <c r="I419" s="80">
        <v>45304.0</v>
      </c>
      <c r="J419" s="80">
        <v>45307.0</v>
      </c>
      <c r="K419" s="79">
        <v>6874.605178833008</v>
      </c>
      <c r="L419" s="70" t="s">
        <v>81</v>
      </c>
      <c r="M419" s="70" t="s">
        <v>87</v>
      </c>
      <c r="N419" s="61"/>
      <c r="O419" s="86"/>
      <c r="P419" s="86"/>
      <c r="Q419" s="86"/>
      <c r="R419" s="61" t="str">
        <f t="shared" si="1"/>
        <v>2024</v>
      </c>
      <c r="S419" s="62">
        <f t="shared" si="2"/>
        <v>1</v>
      </c>
      <c r="T419" s="61" t="str">
        <f t="shared" si="3"/>
        <v>2024-Q1</v>
      </c>
      <c r="U419" s="63" t="str">
        <f t="shared" si="4"/>
        <v>2024-01</v>
      </c>
      <c r="V419" s="64" t="str">
        <f t="shared" si="5"/>
        <v>2024-H1</v>
      </c>
      <c r="W419" s="32"/>
      <c r="X419" s="32"/>
    </row>
    <row r="420">
      <c r="A420" s="77">
        <f>HYPERLINK("https://polkadot.subsquare.io/referenda/418", 418)</f>
        <v>418</v>
      </c>
      <c r="B420" s="40" t="s">
        <v>1141</v>
      </c>
      <c r="C420" s="40" t="s">
        <v>1851</v>
      </c>
      <c r="D420" s="78">
        <v>9900.0</v>
      </c>
      <c r="E420" s="79">
        <v>74426.0910987854</v>
      </c>
      <c r="F420" s="40" t="s">
        <v>1848</v>
      </c>
      <c r="G420" s="78">
        <v>4.922644423606378E7</v>
      </c>
      <c r="H420" s="78">
        <v>2016021.4524074956</v>
      </c>
      <c r="I420" s="80">
        <v>45304.0</v>
      </c>
      <c r="J420" s="80">
        <v>45327.0</v>
      </c>
      <c r="K420" s="79">
        <v>68705.30662536621</v>
      </c>
      <c r="L420" s="81" t="s">
        <v>81</v>
      </c>
      <c r="M420" s="81" t="s">
        <v>93</v>
      </c>
      <c r="N420" s="86"/>
      <c r="O420" s="61"/>
      <c r="P420" s="61"/>
      <c r="Q420" s="61"/>
      <c r="R420" s="61" t="str">
        <f t="shared" si="1"/>
        <v>2024</v>
      </c>
      <c r="S420" s="62">
        <f t="shared" si="2"/>
        <v>2</v>
      </c>
      <c r="T420" s="61" t="str">
        <f t="shared" si="3"/>
        <v>2024-Q1</v>
      </c>
      <c r="U420" s="63" t="str">
        <f t="shared" si="4"/>
        <v>2024-02</v>
      </c>
      <c r="V420" s="64" t="str">
        <f t="shared" si="5"/>
        <v>2024-H1</v>
      </c>
      <c r="W420" s="32"/>
      <c r="X420" s="32"/>
    </row>
    <row r="421">
      <c r="A421" s="77">
        <f>HYPERLINK("https://polkadot.subsquare.io/referenda/419", 419)</f>
        <v>419</v>
      </c>
      <c r="B421" s="40" t="s">
        <v>2069</v>
      </c>
      <c r="C421" s="40" t="s">
        <v>1846</v>
      </c>
      <c r="D421" s="78">
        <v>250.0</v>
      </c>
      <c r="E421" s="79">
        <v>1872.5149631500244</v>
      </c>
      <c r="F421" s="40" t="s">
        <v>982</v>
      </c>
      <c r="G421" s="78">
        <v>435659.7318281898</v>
      </c>
      <c r="H421" s="78">
        <v>1.3886662886210982E7</v>
      </c>
      <c r="I421" s="80">
        <v>45304.0</v>
      </c>
      <c r="J421" s="80">
        <v>45312.0</v>
      </c>
      <c r="K421" s="79">
        <v>1588.6077880859375</v>
      </c>
      <c r="L421" s="70"/>
      <c r="M421" s="70"/>
      <c r="N421" s="61"/>
      <c r="O421" s="86"/>
      <c r="P421" s="86"/>
      <c r="Q421" s="86"/>
      <c r="R421" s="61" t="str">
        <f t="shared" si="1"/>
        <v>2024</v>
      </c>
      <c r="S421" s="62">
        <f t="shared" si="2"/>
        <v>1</v>
      </c>
      <c r="T421" s="61" t="str">
        <f t="shared" si="3"/>
        <v>2024-Q1</v>
      </c>
      <c r="U421" s="63" t="str">
        <f t="shared" si="4"/>
        <v>2024-01</v>
      </c>
      <c r="V421" s="64" t="str">
        <f t="shared" si="5"/>
        <v>2024-H1</v>
      </c>
      <c r="W421" s="32"/>
      <c r="X421" s="32"/>
    </row>
    <row r="422">
      <c r="A422" s="77">
        <f>HYPERLINK("https://polkadot.subsquare.io/referenda/420", 420)</f>
        <v>420</v>
      </c>
      <c r="B422" s="40" t="s">
        <v>1142</v>
      </c>
      <c r="C422" s="40" t="s">
        <v>1851</v>
      </c>
      <c r="D422" s="78">
        <v>673.0</v>
      </c>
      <c r="E422" s="79">
        <v>4935.082166671753</v>
      </c>
      <c r="F422" s="40" t="s">
        <v>1869</v>
      </c>
      <c r="G422" s="78">
        <v>2951739.321320447</v>
      </c>
      <c r="H422" s="78">
        <v>835780.8037159987</v>
      </c>
      <c r="I422" s="80">
        <v>45305.0</v>
      </c>
      <c r="J422" s="80">
        <v>45310.0</v>
      </c>
      <c r="K422" s="79">
        <v>4581.325155735016</v>
      </c>
      <c r="L422" s="81" t="s">
        <v>81</v>
      </c>
      <c r="M422" s="81" t="s">
        <v>89</v>
      </c>
      <c r="N422" s="86"/>
      <c r="O422" s="61"/>
      <c r="P422" s="61"/>
      <c r="Q422" s="61"/>
      <c r="R422" s="61" t="str">
        <f t="shared" si="1"/>
        <v>2024</v>
      </c>
      <c r="S422" s="62">
        <f t="shared" si="2"/>
        <v>1</v>
      </c>
      <c r="T422" s="61" t="str">
        <f t="shared" si="3"/>
        <v>2024-Q1</v>
      </c>
      <c r="U422" s="63" t="str">
        <f t="shared" si="4"/>
        <v>2024-01</v>
      </c>
      <c r="V422" s="64" t="str">
        <f t="shared" si="5"/>
        <v>2024-H1</v>
      </c>
      <c r="W422" s="32"/>
      <c r="X422" s="32"/>
    </row>
    <row r="423">
      <c r="A423" s="77">
        <f>HYPERLINK("https://polkadot.subsquare.io/referenda/421", 421)</f>
        <v>421</v>
      </c>
      <c r="B423" s="40" t="s">
        <v>1143</v>
      </c>
      <c r="C423" s="40" t="s">
        <v>1851</v>
      </c>
      <c r="D423" s="78">
        <v>226.0</v>
      </c>
      <c r="E423" s="79">
        <v>1657.2489891052246</v>
      </c>
      <c r="F423" s="40" t="s">
        <v>982</v>
      </c>
      <c r="G423" s="78">
        <v>2682637.447763442</v>
      </c>
      <c r="H423" s="78">
        <v>71721.4</v>
      </c>
      <c r="I423" s="80">
        <v>45306.0</v>
      </c>
      <c r="J423" s="80">
        <v>45308.0</v>
      </c>
      <c r="K423" s="79">
        <v>1559.150221824646</v>
      </c>
      <c r="L423" s="70" t="s">
        <v>48</v>
      </c>
      <c r="M423" s="70" t="s">
        <v>131</v>
      </c>
      <c r="N423" s="61"/>
      <c r="O423" s="86"/>
      <c r="P423" s="86"/>
      <c r="Q423" s="86"/>
      <c r="R423" s="61" t="str">
        <f t="shared" si="1"/>
        <v>2024</v>
      </c>
      <c r="S423" s="62">
        <f t="shared" si="2"/>
        <v>1</v>
      </c>
      <c r="T423" s="61" t="str">
        <f t="shared" si="3"/>
        <v>2024-Q1</v>
      </c>
      <c r="U423" s="63" t="str">
        <f t="shared" si="4"/>
        <v>2024-01</v>
      </c>
      <c r="V423" s="64" t="str">
        <f t="shared" si="5"/>
        <v>2024-H1</v>
      </c>
      <c r="W423" s="32"/>
      <c r="X423" s="32"/>
    </row>
    <row r="424">
      <c r="A424" s="77">
        <f>HYPERLINK("https://polkadot.subsquare.io/referenda/422", 422)</f>
        <v>422</v>
      </c>
      <c r="B424" s="40" t="s">
        <v>1144</v>
      </c>
      <c r="C424" s="40" t="s">
        <v>1851</v>
      </c>
      <c r="D424" s="78">
        <v>999.0</v>
      </c>
      <c r="E424" s="79">
        <v>7000.6293869018555</v>
      </c>
      <c r="F424" s="40" t="s">
        <v>1869</v>
      </c>
      <c r="G424" s="78">
        <v>5.929524864911567E7</v>
      </c>
      <c r="H424" s="78">
        <v>1.2976897522523204E7</v>
      </c>
      <c r="I424" s="80">
        <v>45306.0</v>
      </c>
      <c r="J424" s="80">
        <v>45312.0</v>
      </c>
      <c r="K424" s="79">
        <v>6453.38236284256</v>
      </c>
      <c r="L424" s="81" t="s">
        <v>50</v>
      </c>
      <c r="M424" s="81" t="s">
        <v>108</v>
      </c>
      <c r="N424" s="86"/>
      <c r="O424" s="61"/>
      <c r="P424" s="61"/>
      <c r="Q424" s="61"/>
      <c r="R424" s="61" t="str">
        <f t="shared" si="1"/>
        <v>2024</v>
      </c>
      <c r="S424" s="62">
        <f t="shared" si="2"/>
        <v>1</v>
      </c>
      <c r="T424" s="61" t="str">
        <f t="shared" si="3"/>
        <v>2024-Q1</v>
      </c>
      <c r="U424" s="63" t="str">
        <f t="shared" si="4"/>
        <v>2024-01</v>
      </c>
      <c r="V424" s="64" t="str">
        <f t="shared" si="5"/>
        <v>2024-H1</v>
      </c>
      <c r="W424" s="32"/>
      <c r="X424" s="32"/>
    </row>
    <row r="425">
      <c r="A425" s="77">
        <f>HYPERLINK("https://polkadot.subsquare.io/referenda/423", 423)</f>
        <v>423</v>
      </c>
      <c r="B425" s="40" t="s">
        <v>2070</v>
      </c>
      <c r="C425" s="40" t="s">
        <v>1851</v>
      </c>
      <c r="D425" s="78">
        <v>0.0</v>
      </c>
      <c r="E425" s="79">
        <v>0.0</v>
      </c>
      <c r="F425" s="40" t="s">
        <v>1853</v>
      </c>
      <c r="G425" s="78">
        <v>1.646791793183994E7</v>
      </c>
      <c r="H425" s="78">
        <v>2325729.3055831124</v>
      </c>
      <c r="I425" s="80">
        <v>45306.0</v>
      </c>
      <c r="J425" s="80">
        <v>45328.0</v>
      </c>
      <c r="K425" s="79">
        <v>0.0</v>
      </c>
      <c r="L425" s="70"/>
      <c r="M425" s="70"/>
      <c r="N425" s="61"/>
      <c r="O425" s="86"/>
      <c r="P425" s="86"/>
      <c r="Q425" s="86"/>
      <c r="R425" s="61" t="str">
        <f t="shared" si="1"/>
        <v>2024</v>
      </c>
      <c r="S425" s="62">
        <f t="shared" si="2"/>
        <v>2</v>
      </c>
      <c r="T425" s="61" t="str">
        <f t="shared" si="3"/>
        <v>2024-Q1</v>
      </c>
      <c r="U425" s="63" t="str">
        <f t="shared" si="4"/>
        <v>2024-02</v>
      </c>
      <c r="V425" s="64" t="str">
        <f t="shared" si="5"/>
        <v>2024-H1</v>
      </c>
      <c r="W425" s="32"/>
      <c r="X425" s="32"/>
    </row>
    <row r="426">
      <c r="A426" s="77">
        <f>HYPERLINK("https://polkadot.subsquare.io/referenda/424", 424)</f>
        <v>424</v>
      </c>
      <c r="B426" s="40" t="s">
        <v>2071</v>
      </c>
      <c r="C426" s="40" t="s">
        <v>1846</v>
      </c>
      <c r="D426" s="78">
        <v>1678.37</v>
      </c>
      <c r="E426" s="79">
        <v>11761.407751846313</v>
      </c>
      <c r="F426" s="40" t="s">
        <v>1848</v>
      </c>
      <c r="G426" s="78">
        <v>2438772.265202299</v>
      </c>
      <c r="H426" s="78">
        <v>3295541.098719417</v>
      </c>
      <c r="I426" s="80">
        <v>45306.0</v>
      </c>
      <c r="J426" s="80">
        <v>45335.0</v>
      </c>
      <c r="K426" s="79">
        <v>13054.452890367507</v>
      </c>
      <c r="L426" s="81"/>
      <c r="M426" s="81"/>
      <c r="N426" s="86"/>
      <c r="O426" s="61"/>
      <c r="P426" s="61"/>
      <c r="Q426" s="61"/>
      <c r="R426" s="61" t="str">
        <f t="shared" si="1"/>
        <v>2024</v>
      </c>
      <c r="S426" s="62">
        <f t="shared" si="2"/>
        <v>2</v>
      </c>
      <c r="T426" s="61" t="str">
        <f t="shared" si="3"/>
        <v>2024-Q1</v>
      </c>
      <c r="U426" s="63" t="str">
        <f t="shared" si="4"/>
        <v>2024-02</v>
      </c>
      <c r="V426" s="64" t="str">
        <f t="shared" si="5"/>
        <v>2024-H1</v>
      </c>
      <c r="W426" s="32"/>
      <c r="X426" s="32"/>
    </row>
    <row r="427">
      <c r="A427" s="77">
        <f>HYPERLINK("https://polkadot.subsquare.io/referenda/425", 425)</f>
        <v>425</v>
      </c>
      <c r="B427" s="40" t="s">
        <v>1145</v>
      </c>
      <c r="C427" s="40" t="s">
        <v>1851</v>
      </c>
      <c r="D427" s="78">
        <v>8208.0</v>
      </c>
      <c r="E427" s="79">
        <v>57518.68469238281</v>
      </c>
      <c r="F427" s="40" t="s">
        <v>1848</v>
      </c>
      <c r="G427" s="78">
        <v>5.0703275599762715E7</v>
      </c>
      <c r="H427" s="78">
        <v>4221080.091829964</v>
      </c>
      <c r="I427" s="80">
        <v>45307.0</v>
      </c>
      <c r="J427" s="80">
        <v>45327.0</v>
      </c>
      <c r="K427" s="79">
        <v>56962.94512939453</v>
      </c>
      <c r="L427" s="70" t="s">
        <v>81</v>
      </c>
      <c r="M427" s="70" t="s">
        <v>89</v>
      </c>
      <c r="N427" s="61"/>
      <c r="O427" s="86"/>
      <c r="P427" s="86"/>
      <c r="Q427" s="86"/>
      <c r="R427" s="61" t="str">
        <f t="shared" si="1"/>
        <v>2024</v>
      </c>
      <c r="S427" s="62">
        <f t="shared" si="2"/>
        <v>2</v>
      </c>
      <c r="T427" s="61" t="str">
        <f t="shared" si="3"/>
        <v>2024-Q1</v>
      </c>
      <c r="U427" s="63" t="str">
        <f t="shared" si="4"/>
        <v>2024-02</v>
      </c>
      <c r="V427" s="64" t="str">
        <f t="shared" si="5"/>
        <v>2024-H1</v>
      </c>
      <c r="W427" s="32"/>
      <c r="X427" s="32"/>
    </row>
    <row r="428">
      <c r="A428" s="77">
        <f>HYPERLINK("https://polkadot.subsquare.io/referenda/426", 426)</f>
        <v>426</v>
      </c>
      <c r="B428" s="40" t="s">
        <v>1146</v>
      </c>
      <c r="C428" s="40" t="s">
        <v>1851</v>
      </c>
      <c r="D428" s="78">
        <v>11655.0</v>
      </c>
      <c r="E428" s="79">
        <v>81674.00951385498</v>
      </c>
      <c r="F428" s="40" t="s">
        <v>1853</v>
      </c>
      <c r="G428" s="78">
        <v>6233430.81305844</v>
      </c>
      <c r="H428" s="78">
        <v>2607401.555342589</v>
      </c>
      <c r="I428" s="80">
        <v>45307.0</v>
      </c>
      <c r="J428" s="80">
        <v>45331.0</v>
      </c>
      <c r="K428" s="79">
        <v>85618.36586236954</v>
      </c>
      <c r="L428" s="81" t="s">
        <v>46</v>
      </c>
      <c r="M428" s="81" t="s">
        <v>125</v>
      </c>
      <c r="N428" s="86"/>
      <c r="O428" s="61"/>
      <c r="P428" s="61"/>
      <c r="Q428" s="61"/>
      <c r="R428" s="61" t="str">
        <f t="shared" si="1"/>
        <v>2024</v>
      </c>
      <c r="S428" s="62">
        <f t="shared" si="2"/>
        <v>2</v>
      </c>
      <c r="T428" s="61" t="str">
        <f t="shared" si="3"/>
        <v>2024-Q1</v>
      </c>
      <c r="U428" s="63" t="str">
        <f t="shared" si="4"/>
        <v>2024-02</v>
      </c>
      <c r="V428" s="64" t="str">
        <f t="shared" si="5"/>
        <v>2024-H1</v>
      </c>
      <c r="W428" s="32"/>
      <c r="X428" s="32"/>
    </row>
    <row r="429">
      <c r="A429" s="77">
        <f>HYPERLINK("https://polkadot.subsquare.io/referenda/427", 427)</f>
        <v>427</v>
      </c>
      <c r="B429" s="40" t="s">
        <v>2072</v>
      </c>
      <c r="C429" s="40" t="s">
        <v>1846</v>
      </c>
      <c r="D429" s="78">
        <v>17038.37</v>
      </c>
      <c r="E429" s="79">
        <v>119398.7124393463</v>
      </c>
      <c r="F429" s="40" t="s">
        <v>1853</v>
      </c>
      <c r="G429" s="78">
        <v>17022.8</v>
      </c>
      <c r="H429" s="78">
        <v>3103851.1033711517</v>
      </c>
      <c r="I429" s="80">
        <v>45307.0</v>
      </c>
      <c r="J429" s="80">
        <v>45335.0</v>
      </c>
      <c r="K429" s="79">
        <v>130472.71211901188</v>
      </c>
      <c r="L429" s="70"/>
      <c r="M429" s="70"/>
      <c r="N429" s="61"/>
      <c r="O429" s="86"/>
      <c r="P429" s="86"/>
      <c r="Q429" s="86"/>
      <c r="R429" s="61" t="str">
        <f t="shared" si="1"/>
        <v>2024</v>
      </c>
      <c r="S429" s="62">
        <f t="shared" si="2"/>
        <v>2</v>
      </c>
      <c r="T429" s="61" t="str">
        <f t="shared" si="3"/>
        <v>2024-Q1</v>
      </c>
      <c r="U429" s="63" t="str">
        <f t="shared" si="4"/>
        <v>2024-02</v>
      </c>
      <c r="V429" s="64" t="str">
        <f t="shared" si="5"/>
        <v>2024-H1</v>
      </c>
      <c r="W429" s="32"/>
      <c r="X429" s="32"/>
    </row>
    <row r="430">
      <c r="A430" s="77">
        <f>HYPERLINK("https://polkadot.subsquare.io/referenda/428", 428)</f>
        <v>428</v>
      </c>
      <c r="B430" s="40" t="s">
        <v>2073</v>
      </c>
      <c r="C430" s="40" t="s">
        <v>1968</v>
      </c>
      <c r="D430" s="78">
        <v>0.0</v>
      </c>
      <c r="E430" s="79">
        <v>0.0</v>
      </c>
      <c r="F430" s="40" t="s">
        <v>1852</v>
      </c>
      <c r="G430" s="78">
        <v>1.5429450623665174E7</v>
      </c>
      <c r="H430" s="78">
        <v>7.366352226072095E7</v>
      </c>
      <c r="I430" s="80">
        <v>45307.0</v>
      </c>
      <c r="J430" s="80">
        <v>45316.0</v>
      </c>
      <c r="K430" s="79">
        <v>0.0</v>
      </c>
      <c r="L430" s="81"/>
      <c r="M430" s="81"/>
      <c r="N430" s="86"/>
      <c r="O430" s="61"/>
      <c r="P430" s="61"/>
      <c r="Q430" s="61"/>
      <c r="R430" s="61" t="str">
        <f t="shared" si="1"/>
        <v>2024</v>
      </c>
      <c r="S430" s="62">
        <f t="shared" si="2"/>
        <v>1</v>
      </c>
      <c r="T430" s="61" t="str">
        <f t="shared" si="3"/>
        <v>2024-Q1</v>
      </c>
      <c r="U430" s="63" t="str">
        <f t="shared" si="4"/>
        <v>2024-01</v>
      </c>
      <c r="V430" s="64" t="str">
        <f t="shared" si="5"/>
        <v>2024-H1</v>
      </c>
      <c r="W430" s="32"/>
      <c r="X430" s="32"/>
    </row>
    <row r="431">
      <c r="A431" s="77">
        <f>HYPERLINK("https://polkadot.subsquare.io/referenda/429", 429)</f>
        <v>429</v>
      </c>
      <c r="B431" s="40"/>
      <c r="C431" s="40" t="s">
        <v>1851</v>
      </c>
      <c r="D431" s="78">
        <v>20.0</v>
      </c>
      <c r="E431" s="79">
        <v>137.49210357666016</v>
      </c>
      <c r="F431" s="40" t="s">
        <v>982</v>
      </c>
      <c r="G431" s="78">
        <v>3056926.415414998</v>
      </c>
      <c r="H431" s="78">
        <v>445563.0303651397</v>
      </c>
      <c r="I431" s="80">
        <v>45307.0</v>
      </c>
      <c r="J431" s="80">
        <v>45311.0</v>
      </c>
      <c r="K431" s="79">
        <v>126.65849685668945</v>
      </c>
      <c r="L431" s="70" t="s">
        <v>46</v>
      </c>
      <c r="M431" s="70" t="s">
        <v>102</v>
      </c>
      <c r="N431" s="61"/>
      <c r="O431" s="86"/>
      <c r="P431" s="86"/>
      <c r="Q431" s="86"/>
      <c r="R431" s="61" t="str">
        <f t="shared" si="1"/>
        <v>2024</v>
      </c>
      <c r="S431" s="62">
        <f t="shared" si="2"/>
        <v>1</v>
      </c>
      <c r="T431" s="61" t="str">
        <f t="shared" si="3"/>
        <v>2024-Q1</v>
      </c>
      <c r="U431" s="63" t="str">
        <f t="shared" si="4"/>
        <v>2024-01</v>
      </c>
      <c r="V431" s="64" t="str">
        <f t="shared" si="5"/>
        <v>2024-H1</v>
      </c>
      <c r="W431" s="32"/>
      <c r="X431" s="32"/>
    </row>
    <row r="432">
      <c r="A432" s="77">
        <f>HYPERLINK("https://polkadot.subsquare.io/referenda/430", 430)</f>
        <v>430</v>
      </c>
      <c r="B432" s="40" t="s">
        <v>2074</v>
      </c>
      <c r="C432" s="40" t="s">
        <v>1861</v>
      </c>
      <c r="D432" s="78">
        <v>0.0</v>
      </c>
      <c r="E432" s="79">
        <v>0.0</v>
      </c>
      <c r="F432" s="40" t="s">
        <v>1868</v>
      </c>
      <c r="G432" s="78">
        <v>4011045.8533452693</v>
      </c>
      <c r="H432" s="78">
        <v>299701.5466367117</v>
      </c>
      <c r="I432" s="80">
        <v>45307.0</v>
      </c>
      <c r="J432" s="80">
        <v>45321.0</v>
      </c>
      <c r="K432" s="79">
        <v>0.0</v>
      </c>
      <c r="L432" s="81"/>
      <c r="M432" s="81"/>
      <c r="N432" s="86"/>
      <c r="O432" s="61"/>
      <c r="P432" s="61"/>
      <c r="Q432" s="61"/>
      <c r="R432" s="61" t="str">
        <f t="shared" si="1"/>
        <v>2024</v>
      </c>
      <c r="S432" s="62">
        <f t="shared" si="2"/>
        <v>1</v>
      </c>
      <c r="T432" s="61" t="str">
        <f t="shared" si="3"/>
        <v>2024-Q1</v>
      </c>
      <c r="U432" s="63" t="str">
        <f t="shared" si="4"/>
        <v>2024-01</v>
      </c>
      <c r="V432" s="64" t="str">
        <f t="shared" si="5"/>
        <v>2024-H1</v>
      </c>
      <c r="W432" s="32"/>
      <c r="X432" s="32"/>
    </row>
    <row r="433">
      <c r="A433" s="77">
        <f>HYPERLINK("https://polkadot.subsquare.io/referenda/431", 431)</f>
        <v>431</v>
      </c>
      <c r="B433" s="40" t="s">
        <v>2075</v>
      </c>
      <c r="C433" s="40" t="s">
        <v>1846</v>
      </c>
      <c r="D433" s="78">
        <v>100000.0</v>
      </c>
      <c r="E433" s="79">
        <v>687460.5178833008</v>
      </c>
      <c r="F433" s="40" t="s">
        <v>1855</v>
      </c>
      <c r="G433" s="78">
        <v>996528.6622540269</v>
      </c>
      <c r="H433" s="78">
        <v>1.759836962362653E7</v>
      </c>
      <c r="I433" s="80">
        <v>45307.0</v>
      </c>
      <c r="J433" s="80">
        <v>45336.0</v>
      </c>
      <c r="K433" s="79">
        <v>765758.1806182861</v>
      </c>
      <c r="L433" s="70"/>
      <c r="M433" s="70"/>
      <c r="N433" s="61"/>
      <c r="O433" s="70"/>
      <c r="P433" s="70"/>
      <c r="Q433" s="70"/>
      <c r="R433" s="61" t="str">
        <f t="shared" si="1"/>
        <v>2024</v>
      </c>
      <c r="S433" s="62">
        <f t="shared" si="2"/>
        <v>2</v>
      </c>
      <c r="T433" s="61" t="str">
        <f t="shared" si="3"/>
        <v>2024-Q1</v>
      </c>
      <c r="U433" s="63" t="str">
        <f t="shared" si="4"/>
        <v>2024-02</v>
      </c>
      <c r="V433" s="64" t="str">
        <f t="shared" si="5"/>
        <v>2024-H1</v>
      </c>
      <c r="W433" s="32"/>
      <c r="X433" s="32"/>
    </row>
    <row r="434">
      <c r="A434" s="77">
        <f>HYPERLINK("https://polkadot.subsquare.io/referenda/432", 432)</f>
        <v>432</v>
      </c>
      <c r="B434" s="40" t="s">
        <v>2076</v>
      </c>
      <c r="C434" s="40" t="s">
        <v>1851</v>
      </c>
      <c r="D434" s="78">
        <v>500000.0</v>
      </c>
      <c r="E434" s="79">
        <v>3437302.589416504</v>
      </c>
      <c r="F434" s="40" t="s">
        <v>1855</v>
      </c>
      <c r="G434" s="78">
        <v>6.924945406874073E7</v>
      </c>
      <c r="H434" s="78">
        <v>748126.5197692729</v>
      </c>
      <c r="I434" s="80">
        <v>45308.0</v>
      </c>
      <c r="J434" s="80">
        <v>45329.0</v>
      </c>
      <c r="K434" s="79">
        <v>3595745.56350708</v>
      </c>
      <c r="L434" s="81" t="s">
        <v>47</v>
      </c>
      <c r="M434" s="81" t="s">
        <v>2077</v>
      </c>
      <c r="N434" s="86" t="s">
        <v>1881</v>
      </c>
      <c r="O434" s="61"/>
      <c r="P434" s="61"/>
      <c r="Q434" s="61"/>
      <c r="R434" s="61" t="str">
        <f t="shared" si="1"/>
        <v>2024</v>
      </c>
      <c r="S434" s="62">
        <f t="shared" si="2"/>
        <v>2</v>
      </c>
      <c r="T434" s="61" t="str">
        <f t="shared" si="3"/>
        <v>2024-Q1</v>
      </c>
      <c r="U434" s="63" t="str">
        <f t="shared" si="4"/>
        <v>2024-02</v>
      </c>
      <c r="V434" s="64" t="str">
        <f t="shared" si="5"/>
        <v>2024-H1</v>
      </c>
      <c r="W434" s="32"/>
      <c r="X434" s="32"/>
    </row>
    <row r="435">
      <c r="A435" s="77">
        <f>HYPERLINK("https://polkadot.subsquare.io/referenda/433", 433)</f>
        <v>433</v>
      </c>
      <c r="B435" s="40"/>
      <c r="C435" s="40" t="s">
        <v>1851</v>
      </c>
      <c r="D435" s="78">
        <v>80.0</v>
      </c>
      <c r="E435" s="79">
        <v>551.9115829467773</v>
      </c>
      <c r="F435" s="40" t="s">
        <v>982</v>
      </c>
      <c r="G435" s="78">
        <v>3519457.6617520647</v>
      </c>
      <c r="H435" s="78">
        <v>30924.1224320845</v>
      </c>
      <c r="I435" s="80">
        <v>45308.0</v>
      </c>
      <c r="J435" s="80">
        <v>45312.0</v>
      </c>
      <c r="K435" s="79">
        <v>516.7873764038086</v>
      </c>
      <c r="L435" s="70" t="s">
        <v>46</v>
      </c>
      <c r="M435" s="70" t="s">
        <v>102</v>
      </c>
      <c r="N435" s="61"/>
      <c r="O435" s="86"/>
      <c r="P435" s="86"/>
      <c r="Q435" s="86"/>
      <c r="R435" s="61" t="str">
        <f t="shared" si="1"/>
        <v>2024</v>
      </c>
      <c r="S435" s="62">
        <f t="shared" si="2"/>
        <v>1</v>
      </c>
      <c r="T435" s="61" t="str">
        <f t="shared" si="3"/>
        <v>2024-Q1</v>
      </c>
      <c r="U435" s="63" t="str">
        <f t="shared" si="4"/>
        <v>2024-01</v>
      </c>
      <c r="V435" s="64" t="str">
        <f t="shared" si="5"/>
        <v>2024-H1</v>
      </c>
      <c r="W435" s="32"/>
      <c r="X435" s="32"/>
    </row>
    <row r="436">
      <c r="A436" s="77">
        <f>HYPERLINK("https://polkadot.subsquare.io/referenda/434", 434)</f>
        <v>434</v>
      </c>
      <c r="B436" s="40" t="s">
        <v>2078</v>
      </c>
      <c r="C436" s="40" t="s">
        <v>1846</v>
      </c>
      <c r="D436" s="78">
        <v>13333.0</v>
      </c>
      <c r="E436" s="79">
        <v>84436.88692951202</v>
      </c>
      <c r="F436" s="40" t="s">
        <v>1853</v>
      </c>
      <c r="G436" s="78">
        <v>357610.8190186394</v>
      </c>
      <c r="H436" s="78">
        <v>3.2422313720116742E7</v>
      </c>
      <c r="I436" s="80">
        <v>45311.0</v>
      </c>
      <c r="J436" s="80">
        <v>45341.0</v>
      </c>
      <c r="K436" s="79">
        <v>99574.88661336899</v>
      </c>
      <c r="L436" s="81"/>
      <c r="M436" s="81"/>
      <c r="N436" s="86"/>
      <c r="O436" s="61"/>
      <c r="P436" s="61"/>
      <c r="Q436" s="61"/>
      <c r="R436" s="61" t="str">
        <f t="shared" si="1"/>
        <v>2024</v>
      </c>
      <c r="S436" s="62">
        <f t="shared" si="2"/>
        <v>2</v>
      </c>
      <c r="T436" s="61" t="str">
        <f t="shared" si="3"/>
        <v>2024-Q1</v>
      </c>
      <c r="U436" s="63" t="str">
        <f t="shared" si="4"/>
        <v>2024-02</v>
      </c>
      <c r="V436" s="64" t="str">
        <f t="shared" si="5"/>
        <v>2024-H1</v>
      </c>
      <c r="W436" s="32"/>
      <c r="X436" s="32"/>
    </row>
    <row r="437">
      <c r="A437" s="77">
        <f>HYPERLINK("https://polkadot.subsquare.io/referenda/435", 435)</f>
        <v>435</v>
      </c>
      <c r="B437" s="40" t="s">
        <v>2079</v>
      </c>
      <c r="C437" s="40" t="s">
        <v>1851</v>
      </c>
      <c r="D437" s="78">
        <v>0.0</v>
      </c>
      <c r="E437" s="79">
        <v>0.0</v>
      </c>
      <c r="F437" s="40" t="s">
        <v>1853</v>
      </c>
      <c r="G437" s="78">
        <v>6.277156721532117E7</v>
      </c>
      <c r="H437" s="78">
        <v>2893180.59315726</v>
      </c>
      <c r="I437" s="80">
        <v>45311.0</v>
      </c>
      <c r="J437" s="80">
        <v>45327.0</v>
      </c>
      <c r="K437" s="79">
        <v>0.0</v>
      </c>
      <c r="L437" s="70"/>
      <c r="M437" s="70"/>
      <c r="N437" s="61"/>
      <c r="O437" s="86"/>
      <c r="P437" s="86"/>
      <c r="Q437" s="86"/>
      <c r="R437" s="61" t="str">
        <f t="shared" si="1"/>
        <v>2024</v>
      </c>
      <c r="S437" s="62">
        <f t="shared" si="2"/>
        <v>2</v>
      </c>
      <c r="T437" s="61" t="str">
        <f t="shared" si="3"/>
        <v>2024-Q1</v>
      </c>
      <c r="U437" s="63" t="str">
        <f t="shared" si="4"/>
        <v>2024-02</v>
      </c>
      <c r="V437" s="64" t="str">
        <f t="shared" si="5"/>
        <v>2024-H1</v>
      </c>
      <c r="W437" s="32"/>
      <c r="X437" s="32"/>
    </row>
    <row r="438">
      <c r="A438" s="77">
        <f>HYPERLINK("https://polkadot.subsquare.io/referenda/436", 436)</f>
        <v>436</v>
      </c>
      <c r="B438" s="40" t="s">
        <v>1147</v>
      </c>
      <c r="C438" s="40" t="s">
        <v>1851</v>
      </c>
      <c r="D438" s="78">
        <v>550.0</v>
      </c>
      <c r="E438" s="79">
        <v>3494.9371337890625</v>
      </c>
      <c r="F438" s="40" t="s">
        <v>1869</v>
      </c>
      <c r="G438" s="78">
        <v>1.5656937631619591E7</v>
      </c>
      <c r="H438" s="78">
        <v>39288.6491327239</v>
      </c>
      <c r="I438" s="80">
        <v>45311.0</v>
      </c>
      <c r="J438" s="80">
        <v>45315.0</v>
      </c>
      <c r="K438" s="79">
        <v>3668.635892868042</v>
      </c>
      <c r="L438" s="81" t="s">
        <v>46</v>
      </c>
      <c r="M438" s="81" t="s">
        <v>102</v>
      </c>
      <c r="N438" s="86"/>
      <c r="O438" s="61"/>
      <c r="P438" s="61"/>
      <c r="Q438" s="61"/>
      <c r="R438" s="61" t="str">
        <f t="shared" si="1"/>
        <v>2024</v>
      </c>
      <c r="S438" s="62">
        <f t="shared" si="2"/>
        <v>1</v>
      </c>
      <c r="T438" s="61" t="str">
        <f t="shared" si="3"/>
        <v>2024-Q1</v>
      </c>
      <c r="U438" s="63" t="str">
        <f t="shared" si="4"/>
        <v>2024-01</v>
      </c>
      <c r="V438" s="64" t="str">
        <f t="shared" si="5"/>
        <v>2024-H1</v>
      </c>
      <c r="W438" s="32"/>
      <c r="X438" s="32"/>
    </row>
    <row r="439">
      <c r="A439" s="77">
        <f>HYPERLINK("https://polkadot.subsquare.io/referenda/437", 437)</f>
        <v>437</v>
      </c>
      <c r="B439" s="40" t="s">
        <v>2080</v>
      </c>
      <c r="C439" s="40" t="s">
        <v>1846</v>
      </c>
      <c r="D439" s="78">
        <v>38460.0</v>
      </c>
      <c r="E439" s="79">
        <v>244391.42211914062</v>
      </c>
      <c r="F439" s="40" t="s">
        <v>1853</v>
      </c>
      <c r="G439" s="78">
        <v>277908.3436185267</v>
      </c>
      <c r="H439" s="78">
        <v>3026891.7074693493</v>
      </c>
      <c r="I439" s="80">
        <v>45311.0</v>
      </c>
      <c r="J439" s="80">
        <v>45341.0</v>
      </c>
      <c r="K439" s="79">
        <v>287230.9412097931</v>
      </c>
      <c r="L439" s="70"/>
      <c r="M439" s="70"/>
      <c r="N439" s="61"/>
      <c r="O439" s="86"/>
      <c r="P439" s="86"/>
      <c r="Q439" s="86"/>
      <c r="R439" s="61" t="str">
        <f t="shared" si="1"/>
        <v>2024</v>
      </c>
      <c r="S439" s="62">
        <f t="shared" si="2"/>
        <v>2</v>
      </c>
      <c r="T439" s="61" t="str">
        <f t="shared" si="3"/>
        <v>2024-Q1</v>
      </c>
      <c r="U439" s="63" t="str">
        <f t="shared" si="4"/>
        <v>2024-02</v>
      </c>
      <c r="V439" s="64" t="str">
        <f t="shared" si="5"/>
        <v>2024-H1</v>
      </c>
      <c r="W439" s="32"/>
      <c r="X439" s="32"/>
    </row>
    <row r="440">
      <c r="A440" s="77">
        <f>HYPERLINK("https://polkadot.subsquare.io/referenda/438", 438)</f>
        <v>438</v>
      </c>
      <c r="B440" s="40" t="s">
        <v>2081</v>
      </c>
      <c r="C440" s="40" t="s">
        <v>1851</v>
      </c>
      <c r="D440" s="78">
        <v>0.0</v>
      </c>
      <c r="E440" s="79">
        <v>0.0</v>
      </c>
      <c r="F440" s="40" t="s">
        <v>1868</v>
      </c>
      <c r="G440" s="78">
        <v>1.5747458876525125E7</v>
      </c>
      <c r="H440" s="78">
        <v>46698.1328023861</v>
      </c>
      <c r="I440" s="80">
        <v>45311.0</v>
      </c>
      <c r="J440" s="80">
        <v>45340.0</v>
      </c>
      <c r="K440" s="79">
        <v>0.0</v>
      </c>
      <c r="L440" s="81"/>
      <c r="M440" s="81"/>
      <c r="N440" s="86"/>
      <c r="O440" s="61"/>
      <c r="P440" s="61"/>
      <c r="Q440" s="61"/>
      <c r="R440" s="61" t="str">
        <f t="shared" si="1"/>
        <v>2024</v>
      </c>
      <c r="S440" s="62">
        <f t="shared" si="2"/>
        <v>2</v>
      </c>
      <c r="T440" s="61" t="str">
        <f t="shared" si="3"/>
        <v>2024-Q1</v>
      </c>
      <c r="U440" s="63" t="str">
        <f t="shared" si="4"/>
        <v>2024-02</v>
      </c>
      <c r="V440" s="64" t="str">
        <f t="shared" si="5"/>
        <v>2024-H1</v>
      </c>
      <c r="W440" s="32"/>
      <c r="X440" s="32"/>
    </row>
    <row r="441">
      <c r="A441" s="77">
        <f>HYPERLINK("https://polkadot.subsquare.io/referenda/439", 439)</f>
        <v>439</v>
      </c>
      <c r="B441" s="40" t="s">
        <v>1148</v>
      </c>
      <c r="C441" s="40" t="s">
        <v>1851</v>
      </c>
      <c r="D441" s="78">
        <v>100000.0</v>
      </c>
      <c r="E441" s="79">
        <v>635443.115234375</v>
      </c>
      <c r="F441" s="40" t="s">
        <v>1853</v>
      </c>
      <c r="G441" s="78">
        <v>5.4020773505315796E7</v>
      </c>
      <c r="H441" s="78">
        <v>1810277.8976467736</v>
      </c>
      <c r="I441" s="80">
        <v>45312.0</v>
      </c>
      <c r="J441" s="80">
        <v>45329.0</v>
      </c>
      <c r="K441" s="79">
        <v>719149.112701416</v>
      </c>
      <c r="L441" s="70" t="s">
        <v>46</v>
      </c>
      <c r="M441" s="70" t="s">
        <v>110</v>
      </c>
      <c r="N441" s="61"/>
      <c r="O441" s="86"/>
      <c r="P441" s="86"/>
      <c r="Q441" s="86"/>
      <c r="R441" s="61" t="str">
        <f t="shared" si="1"/>
        <v>2024</v>
      </c>
      <c r="S441" s="62">
        <f t="shared" si="2"/>
        <v>2</v>
      </c>
      <c r="T441" s="61" t="str">
        <f t="shared" si="3"/>
        <v>2024-Q1</v>
      </c>
      <c r="U441" s="63" t="str">
        <f t="shared" si="4"/>
        <v>2024-02</v>
      </c>
      <c r="V441" s="64" t="str">
        <f t="shared" si="5"/>
        <v>2024-H1</v>
      </c>
      <c r="W441" s="32"/>
      <c r="X441" s="32"/>
    </row>
    <row r="442">
      <c r="A442" s="77">
        <f>HYPERLINK("https://polkadot.subsquare.io/referenda/440", 440)</f>
        <v>440</v>
      </c>
      <c r="B442" s="40" t="s">
        <v>2082</v>
      </c>
      <c r="C442" s="40" t="s">
        <v>1851</v>
      </c>
      <c r="D442" s="78">
        <v>0.0</v>
      </c>
      <c r="E442" s="79">
        <v>0.0</v>
      </c>
      <c r="F442" s="40" t="s">
        <v>1852</v>
      </c>
      <c r="G442" s="78">
        <v>1.0709022656888427E8</v>
      </c>
      <c r="H442" s="78">
        <v>220303.7503110687</v>
      </c>
      <c r="I442" s="80">
        <v>45312.0</v>
      </c>
      <c r="J442" s="80">
        <v>45324.0</v>
      </c>
      <c r="K442" s="79">
        <v>0.0</v>
      </c>
      <c r="L442" s="81"/>
      <c r="M442" s="81"/>
      <c r="N442" s="86"/>
      <c r="O442" s="61"/>
      <c r="P442" s="61"/>
      <c r="Q442" s="61"/>
      <c r="R442" s="61" t="str">
        <f t="shared" si="1"/>
        <v>2024</v>
      </c>
      <c r="S442" s="62">
        <f t="shared" si="2"/>
        <v>2</v>
      </c>
      <c r="T442" s="61" t="str">
        <f t="shared" si="3"/>
        <v>2024-Q1</v>
      </c>
      <c r="U442" s="63" t="str">
        <f t="shared" si="4"/>
        <v>2024-02</v>
      </c>
      <c r="V442" s="64" t="str">
        <f t="shared" si="5"/>
        <v>2024-H1</v>
      </c>
      <c r="W442" s="32"/>
      <c r="X442" s="32"/>
    </row>
    <row r="443">
      <c r="A443" s="77">
        <f>HYPERLINK("https://polkadot.subsquare.io/referenda/441", 441)</f>
        <v>441</v>
      </c>
      <c r="B443" s="40" t="s">
        <v>1149</v>
      </c>
      <c r="C443" s="40" t="s">
        <v>1851</v>
      </c>
      <c r="D443" s="78">
        <v>150.0</v>
      </c>
      <c r="E443" s="79">
        <v>968.9763307571411</v>
      </c>
      <c r="F443" s="40" t="s">
        <v>982</v>
      </c>
      <c r="G443" s="78">
        <v>5876880.270488367</v>
      </c>
      <c r="H443" s="78">
        <v>75668.3</v>
      </c>
      <c r="I443" s="80">
        <v>45312.0</v>
      </c>
      <c r="J443" s="80">
        <v>45315.0</v>
      </c>
      <c r="K443" s="79">
        <v>1000.8687257766724</v>
      </c>
      <c r="L443" s="70" t="s">
        <v>50</v>
      </c>
      <c r="M443" s="70" t="s">
        <v>108</v>
      </c>
      <c r="N443" s="61"/>
      <c r="O443" s="86"/>
      <c r="P443" s="86"/>
      <c r="Q443" s="86"/>
      <c r="R443" s="61" t="str">
        <f t="shared" si="1"/>
        <v>2024</v>
      </c>
      <c r="S443" s="62">
        <f t="shared" si="2"/>
        <v>1</v>
      </c>
      <c r="T443" s="61" t="str">
        <f t="shared" si="3"/>
        <v>2024-Q1</v>
      </c>
      <c r="U443" s="63" t="str">
        <f t="shared" si="4"/>
        <v>2024-01</v>
      </c>
      <c r="V443" s="64" t="str">
        <f t="shared" si="5"/>
        <v>2024-H1</v>
      </c>
      <c r="W443" s="32"/>
      <c r="X443" s="32"/>
    </row>
    <row r="444">
      <c r="A444" s="77">
        <f>HYPERLINK("https://polkadot.subsquare.io/referenda/442", 442)</f>
        <v>442</v>
      </c>
      <c r="B444" s="40" t="s">
        <v>1150</v>
      </c>
      <c r="C444" s="40" t="s">
        <v>1851</v>
      </c>
      <c r="D444" s="78">
        <v>34315.574377</v>
      </c>
      <c r="E444" s="79">
        <v>220802.29448091207</v>
      </c>
      <c r="F444" s="40" t="s">
        <v>1853</v>
      </c>
      <c r="G444" s="78">
        <v>5.2014640126166955E7</v>
      </c>
      <c r="H444" s="78">
        <v>2535293.1090263296</v>
      </c>
      <c r="I444" s="80">
        <v>45313.0</v>
      </c>
      <c r="J444" s="80">
        <v>45336.0</v>
      </c>
      <c r="K444" s="79">
        <v>262774.31801802997</v>
      </c>
      <c r="L444" s="81" t="s">
        <v>46</v>
      </c>
      <c r="M444" s="81" t="s">
        <v>102</v>
      </c>
      <c r="N444" s="86"/>
      <c r="O444" s="61"/>
      <c r="P444" s="61"/>
      <c r="Q444" s="61"/>
      <c r="R444" s="61" t="str">
        <f t="shared" si="1"/>
        <v>2024</v>
      </c>
      <c r="S444" s="62">
        <f t="shared" si="2"/>
        <v>2</v>
      </c>
      <c r="T444" s="61" t="str">
        <f t="shared" si="3"/>
        <v>2024-Q1</v>
      </c>
      <c r="U444" s="63" t="str">
        <f t="shared" si="4"/>
        <v>2024-02</v>
      </c>
      <c r="V444" s="64" t="str">
        <f t="shared" si="5"/>
        <v>2024-H1</v>
      </c>
      <c r="W444" s="32"/>
      <c r="X444" s="32"/>
    </row>
    <row r="445">
      <c r="A445" s="77">
        <f>HYPERLINK("https://polkadot.subsquare.io/referenda/443", 443)</f>
        <v>443</v>
      </c>
      <c r="B445" s="40" t="s">
        <v>2083</v>
      </c>
      <c r="C445" s="40" t="s">
        <v>1968</v>
      </c>
      <c r="D445" s="78">
        <v>0.0</v>
      </c>
      <c r="E445" s="79">
        <v>0.0</v>
      </c>
      <c r="F445" s="40" t="s">
        <v>1852</v>
      </c>
      <c r="G445" s="78">
        <v>521453.4074852575</v>
      </c>
      <c r="H445" s="78">
        <v>1.61828016965831E7</v>
      </c>
      <c r="I445" s="80">
        <v>45314.0</v>
      </c>
      <c r="J445" s="80">
        <v>45316.0</v>
      </c>
      <c r="K445" s="79">
        <v>0.0</v>
      </c>
      <c r="L445" s="70"/>
      <c r="M445" s="70"/>
      <c r="N445" s="61"/>
      <c r="O445" s="86"/>
      <c r="P445" s="86"/>
      <c r="Q445" s="86"/>
      <c r="R445" s="61" t="str">
        <f t="shared" si="1"/>
        <v>2024</v>
      </c>
      <c r="S445" s="62">
        <f t="shared" si="2"/>
        <v>1</v>
      </c>
      <c r="T445" s="61" t="str">
        <f t="shared" si="3"/>
        <v>2024-Q1</v>
      </c>
      <c r="U445" s="63" t="str">
        <f t="shared" si="4"/>
        <v>2024-01</v>
      </c>
      <c r="V445" s="64" t="str">
        <f t="shared" si="5"/>
        <v>2024-H1</v>
      </c>
      <c r="W445" s="32"/>
      <c r="X445" s="32"/>
    </row>
    <row r="446">
      <c r="A446" s="77">
        <f>HYPERLINK("https://polkadot.subsquare.io/referenda/444", 444)</f>
        <v>444</v>
      </c>
      <c r="B446" s="40" t="s">
        <v>2084</v>
      </c>
      <c r="C446" s="40" t="s">
        <v>1851</v>
      </c>
      <c r="D446" s="78">
        <v>0.0</v>
      </c>
      <c r="E446" s="79">
        <v>0.0</v>
      </c>
      <c r="F446" s="40" t="s">
        <v>1970</v>
      </c>
      <c r="G446" s="78">
        <v>8.9287631441525E7</v>
      </c>
      <c r="H446" s="78">
        <v>92787.0</v>
      </c>
      <c r="I446" s="80">
        <v>45315.0</v>
      </c>
      <c r="J446" s="80">
        <v>45316.0</v>
      </c>
      <c r="K446" s="79">
        <v>0.0</v>
      </c>
      <c r="L446" s="81"/>
      <c r="M446" s="81"/>
      <c r="N446" s="86"/>
      <c r="O446" s="61"/>
      <c r="P446" s="61"/>
      <c r="Q446" s="61"/>
      <c r="R446" s="61" t="str">
        <f t="shared" si="1"/>
        <v>2024</v>
      </c>
      <c r="S446" s="62">
        <f t="shared" si="2"/>
        <v>1</v>
      </c>
      <c r="T446" s="61" t="str">
        <f t="shared" si="3"/>
        <v>2024-Q1</v>
      </c>
      <c r="U446" s="63" t="str">
        <f t="shared" si="4"/>
        <v>2024-01</v>
      </c>
      <c r="V446" s="64" t="str">
        <f t="shared" si="5"/>
        <v>2024-H1</v>
      </c>
      <c r="W446" s="32"/>
      <c r="X446" s="32"/>
    </row>
    <row r="447">
      <c r="A447" s="77">
        <f>HYPERLINK("https://polkadot.subsquare.io/referenda/445", 445)</f>
        <v>445</v>
      </c>
      <c r="B447" s="40" t="s">
        <v>2085</v>
      </c>
      <c r="C447" s="40" t="s">
        <v>1846</v>
      </c>
      <c r="D447" s="78">
        <v>25555.0</v>
      </c>
      <c r="E447" s="79">
        <v>170458.16407680511</v>
      </c>
      <c r="F447" s="40" t="s">
        <v>1853</v>
      </c>
      <c r="G447" s="78">
        <v>390214.7004691655</v>
      </c>
      <c r="H447" s="78">
        <v>2282563.854972243</v>
      </c>
      <c r="I447" s="80">
        <v>45315.0</v>
      </c>
      <c r="J447" s="80">
        <v>45343.0</v>
      </c>
      <c r="K447" s="79">
        <v>199569.17034387589</v>
      </c>
      <c r="L447" s="70"/>
      <c r="M447" s="70"/>
      <c r="N447" s="61"/>
      <c r="O447" s="86"/>
      <c r="P447" s="86"/>
      <c r="Q447" s="86"/>
      <c r="R447" s="61" t="str">
        <f t="shared" si="1"/>
        <v>2024</v>
      </c>
      <c r="S447" s="62">
        <f t="shared" si="2"/>
        <v>2</v>
      </c>
      <c r="T447" s="61" t="str">
        <f t="shared" si="3"/>
        <v>2024-Q1</v>
      </c>
      <c r="U447" s="63" t="str">
        <f t="shared" si="4"/>
        <v>2024-02</v>
      </c>
      <c r="V447" s="64" t="str">
        <f t="shared" si="5"/>
        <v>2024-H1</v>
      </c>
      <c r="W447" s="32"/>
      <c r="X447" s="32"/>
    </row>
    <row r="448">
      <c r="A448" s="77">
        <f>HYPERLINK("https://polkadot.subsquare.io/referenda/446", 446)</f>
        <v>446</v>
      </c>
      <c r="B448" s="40" t="s">
        <v>1151</v>
      </c>
      <c r="C448" s="40" t="s">
        <v>1851</v>
      </c>
      <c r="D448" s="78">
        <v>11250.0</v>
      </c>
      <c r="E448" s="79">
        <v>75040.27962684631</v>
      </c>
      <c r="F448" s="40" t="s">
        <v>1853</v>
      </c>
      <c r="G448" s="78">
        <v>5.1388946833150886E7</v>
      </c>
      <c r="H448" s="78">
        <v>1640175.6834143007</v>
      </c>
      <c r="I448" s="80">
        <v>45315.0</v>
      </c>
      <c r="J448" s="80">
        <v>45334.0</v>
      </c>
      <c r="K448" s="79">
        <v>86155.50398826599</v>
      </c>
      <c r="L448" s="81" t="s">
        <v>81</v>
      </c>
      <c r="M448" s="81" t="s">
        <v>92</v>
      </c>
      <c r="N448" s="86"/>
      <c r="O448" s="61"/>
      <c r="P448" s="61"/>
      <c r="Q448" s="61"/>
      <c r="R448" s="61" t="str">
        <f t="shared" si="1"/>
        <v>2024</v>
      </c>
      <c r="S448" s="62">
        <f t="shared" si="2"/>
        <v>2</v>
      </c>
      <c r="T448" s="61" t="str">
        <f t="shared" si="3"/>
        <v>2024-Q1</v>
      </c>
      <c r="U448" s="63" t="str">
        <f t="shared" si="4"/>
        <v>2024-02</v>
      </c>
      <c r="V448" s="64" t="str">
        <f t="shared" si="5"/>
        <v>2024-H1</v>
      </c>
      <c r="W448" s="32"/>
      <c r="X448" s="32"/>
    </row>
    <row r="449">
      <c r="A449" s="77">
        <f>HYPERLINK("https://polkadot.subsquare.io/referenda/447", 447)</f>
        <v>447</v>
      </c>
      <c r="B449" s="40" t="s">
        <v>1152</v>
      </c>
      <c r="C449" s="40" t="s">
        <v>1851</v>
      </c>
      <c r="D449" s="78">
        <v>43946.0</v>
      </c>
      <c r="E449" s="79">
        <v>293130.6780872345</v>
      </c>
      <c r="F449" s="40" t="s">
        <v>1853</v>
      </c>
      <c r="G449" s="78">
        <v>5.3714025922557965E7</v>
      </c>
      <c r="H449" s="78">
        <v>1333409.4200803079</v>
      </c>
      <c r="I449" s="80">
        <v>45315.0</v>
      </c>
      <c r="J449" s="80">
        <v>45333.0</v>
      </c>
      <c r="K449" s="79">
        <v>323571.4605998993</v>
      </c>
      <c r="L449" s="70" t="s">
        <v>81</v>
      </c>
      <c r="M449" s="70" t="s">
        <v>89</v>
      </c>
      <c r="N449" s="61"/>
      <c r="O449" s="86"/>
      <c r="P449" s="86"/>
      <c r="Q449" s="86"/>
      <c r="R449" s="61" t="str">
        <f t="shared" si="1"/>
        <v>2024</v>
      </c>
      <c r="S449" s="62">
        <f t="shared" si="2"/>
        <v>2</v>
      </c>
      <c r="T449" s="61" t="str">
        <f t="shared" si="3"/>
        <v>2024-Q1</v>
      </c>
      <c r="U449" s="63" t="str">
        <f t="shared" si="4"/>
        <v>2024-02</v>
      </c>
      <c r="V449" s="64" t="str">
        <f t="shared" si="5"/>
        <v>2024-H1</v>
      </c>
      <c r="W449" s="32"/>
      <c r="X449" s="32"/>
    </row>
    <row r="450">
      <c r="A450" s="77">
        <f>HYPERLINK("https://polkadot.subsquare.io/referenda/448", 448)</f>
        <v>448</v>
      </c>
      <c r="B450" s="40" t="s">
        <v>1153</v>
      </c>
      <c r="C450" s="40" t="s">
        <v>1851</v>
      </c>
      <c r="D450" s="78">
        <v>209250.0</v>
      </c>
      <c r="E450" s="79">
        <v>1431681.6169023514</v>
      </c>
      <c r="F450" s="40" t="s">
        <v>1855</v>
      </c>
      <c r="G450" s="78">
        <v>5.313423483003441E7</v>
      </c>
      <c r="H450" s="78">
        <v>7241277.350319758</v>
      </c>
      <c r="I450" s="80">
        <v>45318.0</v>
      </c>
      <c r="J450" s="80">
        <v>45348.0</v>
      </c>
      <c r="K450" s="79">
        <v>1727363.9624118805</v>
      </c>
      <c r="L450" s="81" t="s">
        <v>46</v>
      </c>
      <c r="M450" s="81" t="s">
        <v>106</v>
      </c>
      <c r="N450" s="86"/>
      <c r="O450" s="61"/>
      <c r="P450" s="61"/>
      <c r="Q450" s="61"/>
      <c r="R450" s="61" t="str">
        <f t="shared" si="1"/>
        <v>2024</v>
      </c>
      <c r="S450" s="62">
        <f t="shared" si="2"/>
        <v>2</v>
      </c>
      <c r="T450" s="61" t="str">
        <f t="shared" si="3"/>
        <v>2024-Q1</v>
      </c>
      <c r="U450" s="63" t="str">
        <f t="shared" si="4"/>
        <v>2024-02</v>
      </c>
      <c r="V450" s="64" t="str">
        <f t="shared" si="5"/>
        <v>2024-H1</v>
      </c>
      <c r="W450" s="32"/>
      <c r="X450" s="32"/>
    </row>
    <row r="451">
      <c r="A451" s="77">
        <f>HYPERLINK("https://polkadot.subsquare.io/referenda/449", 449)</f>
        <v>449</v>
      </c>
      <c r="B451" s="40" t="s">
        <v>2086</v>
      </c>
      <c r="C451" s="40" t="s">
        <v>1861</v>
      </c>
      <c r="D451" s="78">
        <v>818361.0</v>
      </c>
      <c r="E451" s="79">
        <v>5446794.743771553</v>
      </c>
      <c r="F451" s="40" t="s">
        <v>1853</v>
      </c>
      <c r="G451" s="78">
        <v>550.0</v>
      </c>
      <c r="H451" s="78">
        <v>3519793.666109272</v>
      </c>
      <c r="I451" s="80">
        <v>45319.0</v>
      </c>
      <c r="J451" s="80">
        <v>45333.0</v>
      </c>
      <c r="K451" s="79">
        <v>6267227.057719231</v>
      </c>
      <c r="L451" s="70"/>
      <c r="M451" s="70"/>
      <c r="N451" s="61"/>
      <c r="O451" s="86"/>
      <c r="P451" s="86"/>
      <c r="Q451" s="86"/>
      <c r="R451" s="61" t="str">
        <f t="shared" si="1"/>
        <v>2024</v>
      </c>
      <c r="S451" s="62">
        <f t="shared" si="2"/>
        <v>2</v>
      </c>
      <c r="T451" s="61" t="str">
        <f t="shared" si="3"/>
        <v>2024-Q1</v>
      </c>
      <c r="U451" s="63" t="str">
        <f t="shared" si="4"/>
        <v>2024-02</v>
      </c>
      <c r="V451" s="64" t="str">
        <f t="shared" si="5"/>
        <v>2024-H1</v>
      </c>
      <c r="W451" s="32"/>
      <c r="X451" s="32"/>
    </row>
    <row r="452">
      <c r="A452" s="77">
        <f>HYPERLINK("https://polkadot.subsquare.io/referenda/450", 450)</f>
        <v>450</v>
      </c>
      <c r="B452" s="40" t="s">
        <v>1154</v>
      </c>
      <c r="C452" s="40" t="s">
        <v>1851</v>
      </c>
      <c r="D452" s="78">
        <v>81836.0</v>
      </c>
      <c r="E452" s="79">
        <v>544678.8088035583</v>
      </c>
      <c r="F452" s="40" t="s">
        <v>1853</v>
      </c>
      <c r="G452" s="78">
        <v>5.8051105417226255E7</v>
      </c>
      <c r="H452" s="78">
        <v>3.45893611948087E7</v>
      </c>
      <c r="I452" s="80">
        <v>45319.0</v>
      </c>
      <c r="J452" s="80">
        <v>45352.0</v>
      </c>
      <c r="K452" s="79">
        <v>811090.5866394043</v>
      </c>
      <c r="L452" s="81" t="s">
        <v>46</v>
      </c>
      <c r="M452" s="81" t="s">
        <v>108</v>
      </c>
      <c r="N452" s="86"/>
      <c r="O452" s="61"/>
      <c r="P452" s="61"/>
      <c r="Q452" s="61"/>
      <c r="R452" s="61" t="str">
        <f t="shared" si="1"/>
        <v>2024</v>
      </c>
      <c r="S452" s="62">
        <f t="shared" si="2"/>
        <v>3</v>
      </c>
      <c r="T452" s="61" t="str">
        <f t="shared" si="3"/>
        <v>2024-Q1</v>
      </c>
      <c r="U452" s="63" t="str">
        <f t="shared" si="4"/>
        <v>2024-03</v>
      </c>
      <c r="V452" s="64" t="str">
        <f t="shared" si="5"/>
        <v>2024-H1</v>
      </c>
      <c r="W452" s="32"/>
      <c r="X452" s="32"/>
    </row>
    <row r="453">
      <c r="A453" s="77">
        <f>HYPERLINK("https://polkadot.subsquare.io/referenda/451", 451)</f>
        <v>451</v>
      </c>
      <c r="B453" s="40" t="s">
        <v>1155</v>
      </c>
      <c r="C453" s="40" t="s">
        <v>1851</v>
      </c>
      <c r="D453" s="78">
        <v>6655.868</v>
      </c>
      <c r="E453" s="79">
        <v>44299.700056133275</v>
      </c>
      <c r="F453" s="40" t="s">
        <v>1848</v>
      </c>
      <c r="G453" s="78">
        <v>1.982663704532581E7</v>
      </c>
      <c r="H453" s="78">
        <v>1.6301262817844503E7</v>
      </c>
      <c r="I453" s="80">
        <v>45320.0</v>
      </c>
      <c r="J453" s="80">
        <v>45351.0</v>
      </c>
      <c r="K453" s="79">
        <v>62805.44242295456</v>
      </c>
      <c r="L453" s="70" t="s">
        <v>50</v>
      </c>
      <c r="M453" s="70" t="s">
        <v>102</v>
      </c>
      <c r="N453" s="61"/>
      <c r="O453" s="86"/>
      <c r="P453" s="86"/>
      <c r="Q453" s="86"/>
      <c r="R453" s="61" t="str">
        <f t="shared" si="1"/>
        <v>2024</v>
      </c>
      <c r="S453" s="62">
        <f t="shared" si="2"/>
        <v>2</v>
      </c>
      <c r="T453" s="61" t="str">
        <f t="shared" si="3"/>
        <v>2024-Q1</v>
      </c>
      <c r="U453" s="63" t="str">
        <f t="shared" si="4"/>
        <v>2024-02</v>
      </c>
      <c r="V453" s="64" t="str">
        <f t="shared" si="5"/>
        <v>2024-H1</v>
      </c>
      <c r="W453" s="32"/>
      <c r="X453" s="32"/>
    </row>
    <row r="454">
      <c r="A454" s="77">
        <f>HYPERLINK("https://polkadot.subsquare.io/referenda/452", 452)</f>
        <v>452</v>
      </c>
      <c r="B454" s="40" t="s">
        <v>2087</v>
      </c>
      <c r="C454" s="40" t="s">
        <v>1846</v>
      </c>
      <c r="D454" s="78">
        <v>64516.0</v>
      </c>
      <c r="E454" s="79">
        <v>429401.4618110657</v>
      </c>
      <c r="F454" s="40" t="s">
        <v>1853</v>
      </c>
      <c r="G454" s="78">
        <v>3.0073282522088356E7</v>
      </c>
      <c r="H454" s="78">
        <v>5.832818711515067E7</v>
      </c>
      <c r="I454" s="80">
        <v>45320.0</v>
      </c>
      <c r="J454" s="80">
        <v>45348.0</v>
      </c>
      <c r="K454" s="79">
        <v>532581.1870918274</v>
      </c>
      <c r="L454" s="81"/>
      <c r="M454" s="81"/>
      <c r="N454" s="86"/>
      <c r="O454" s="61"/>
      <c r="P454" s="61"/>
      <c r="Q454" s="61"/>
      <c r="R454" s="61" t="str">
        <f t="shared" si="1"/>
        <v>2024</v>
      </c>
      <c r="S454" s="62">
        <f t="shared" si="2"/>
        <v>2</v>
      </c>
      <c r="T454" s="61" t="str">
        <f t="shared" si="3"/>
        <v>2024-Q1</v>
      </c>
      <c r="U454" s="63" t="str">
        <f t="shared" si="4"/>
        <v>2024-02</v>
      </c>
      <c r="V454" s="64" t="str">
        <f t="shared" si="5"/>
        <v>2024-H1</v>
      </c>
      <c r="W454" s="32"/>
      <c r="X454" s="32"/>
    </row>
    <row r="455">
      <c r="A455" s="77">
        <f>HYPERLINK("https://polkadot.subsquare.io/referenda/453", 453)</f>
        <v>453</v>
      </c>
      <c r="B455" s="40" t="s">
        <v>2088</v>
      </c>
      <c r="C455" s="40" t="s">
        <v>1851</v>
      </c>
      <c r="D455" s="78">
        <v>0.0</v>
      </c>
      <c r="E455" s="79">
        <v>0.0</v>
      </c>
      <c r="F455" s="40" t="s">
        <v>1857</v>
      </c>
      <c r="G455" s="78">
        <v>2.1774369355430014E7</v>
      </c>
      <c r="H455" s="78">
        <v>142220.7314774661</v>
      </c>
      <c r="I455" s="80">
        <v>45320.0</v>
      </c>
      <c r="J455" s="80">
        <v>45409.0</v>
      </c>
      <c r="K455" s="79">
        <v>0.0</v>
      </c>
      <c r="L455" s="70"/>
      <c r="M455" s="70"/>
      <c r="N455" s="61"/>
      <c r="O455" s="86"/>
      <c r="P455" s="86"/>
      <c r="Q455" s="86"/>
      <c r="R455" s="61" t="str">
        <f t="shared" si="1"/>
        <v>2024</v>
      </c>
      <c r="S455" s="62">
        <f t="shared" si="2"/>
        <v>4</v>
      </c>
      <c r="T455" s="61" t="str">
        <f t="shared" si="3"/>
        <v>2024-Q2</v>
      </c>
      <c r="U455" s="63" t="str">
        <f t="shared" si="4"/>
        <v>2024-04</v>
      </c>
      <c r="V455" s="64" t="str">
        <f t="shared" si="5"/>
        <v>2024-H1</v>
      </c>
      <c r="W455" s="32"/>
      <c r="X455" s="32"/>
    </row>
    <row r="456">
      <c r="A456" s="77">
        <f>HYPERLINK("https://polkadot.subsquare.io/referenda/454", 454)</f>
        <v>454</v>
      </c>
      <c r="B456" s="40" t="s">
        <v>2089</v>
      </c>
      <c r="C456" s="40" t="s">
        <v>1846</v>
      </c>
      <c r="D456" s="78">
        <v>37100.0</v>
      </c>
      <c r="E456" s="79">
        <v>251948.96178245544</v>
      </c>
      <c r="F456" s="40" t="s">
        <v>1853</v>
      </c>
      <c r="G456" s="78">
        <v>38210.7065089378</v>
      </c>
      <c r="H456" s="78">
        <v>2.6187490719611853E7</v>
      </c>
      <c r="I456" s="80">
        <v>45320.0</v>
      </c>
      <c r="J456" s="80">
        <v>45348.0</v>
      </c>
      <c r="K456" s="79">
        <v>306261.42416000366</v>
      </c>
      <c r="L456" s="81"/>
      <c r="M456" s="81"/>
      <c r="N456" s="86"/>
      <c r="O456" s="61"/>
      <c r="P456" s="61"/>
      <c r="Q456" s="61"/>
      <c r="R456" s="61" t="str">
        <f t="shared" si="1"/>
        <v>2024</v>
      </c>
      <c r="S456" s="62">
        <f t="shared" si="2"/>
        <v>2</v>
      </c>
      <c r="T456" s="61" t="str">
        <f t="shared" si="3"/>
        <v>2024-Q1</v>
      </c>
      <c r="U456" s="63" t="str">
        <f t="shared" si="4"/>
        <v>2024-02</v>
      </c>
      <c r="V456" s="64" t="str">
        <f t="shared" si="5"/>
        <v>2024-H1</v>
      </c>
      <c r="W456" s="32"/>
      <c r="X456" s="32"/>
    </row>
    <row r="457">
      <c r="A457" s="77">
        <f>HYPERLINK("https://polkadot.subsquare.io/referenda/455", 455)</f>
        <v>455</v>
      </c>
      <c r="B457" s="40" t="s">
        <v>2090</v>
      </c>
      <c r="C457" s="40" t="s">
        <v>1846</v>
      </c>
      <c r="D457" s="78">
        <v>100000.0</v>
      </c>
      <c r="E457" s="79">
        <v>679107.7136993408</v>
      </c>
      <c r="F457" s="40" t="s">
        <v>1853</v>
      </c>
      <c r="G457" s="78">
        <v>5052.42</v>
      </c>
      <c r="H457" s="78">
        <v>6.88151676518234E7</v>
      </c>
      <c r="I457" s="80">
        <v>45320.0</v>
      </c>
      <c r="J457" s="80">
        <v>45349.0</v>
      </c>
      <c r="K457" s="79">
        <v>825502.4909973145</v>
      </c>
      <c r="L457" s="70"/>
      <c r="M457" s="70"/>
      <c r="N457" s="61"/>
      <c r="O457" s="86"/>
      <c r="P457" s="86"/>
      <c r="Q457" s="86"/>
      <c r="R457" s="61" t="str">
        <f t="shared" si="1"/>
        <v>2024</v>
      </c>
      <c r="S457" s="62">
        <f t="shared" si="2"/>
        <v>2</v>
      </c>
      <c r="T457" s="61" t="str">
        <f t="shared" si="3"/>
        <v>2024-Q1</v>
      </c>
      <c r="U457" s="63" t="str">
        <f t="shared" si="4"/>
        <v>2024-02</v>
      </c>
      <c r="V457" s="64" t="str">
        <f t="shared" si="5"/>
        <v>2024-H1</v>
      </c>
      <c r="W457" s="32"/>
      <c r="X457" s="32"/>
    </row>
    <row r="458">
      <c r="A458" s="77">
        <f>HYPERLINK("https://polkadot.subsquare.io/referenda/456", 456)</f>
        <v>456</v>
      </c>
      <c r="B458" s="40" t="s">
        <v>2074</v>
      </c>
      <c r="C458" s="40" t="s">
        <v>1851</v>
      </c>
      <c r="D458" s="78">
        <v>0.0</v>
      </c>
      <c r="E458" s="79">
        <v>0.0</v>
      </c>
      <c r="F458" s="40" t="s">
        <v>1868</v>
      </c>
      <c r="G458" s="78">
        <v>6303042.257454891</v>
      </c>
      <c r="H458" s="78">
        <v>34229.4347398596</v>
      </c>
      <c r="I458" s="80">
        <v>45322.0</v>
      </c>
      <c r="J458" s="80">
        <v>45348.0</v>
      </c>
      <c r="K458" s="79">
        <v>0.0</v>
      </c>
      <c r="L458" s="81"/>
      <c r="M458" s="81"/>
      <c r="N458" s="86"/>
      <c r="O458" s="61"/>
      <c r="P458" s="61"/>
      <c r="Q458" s="61"/>
      <c r="R458" s="61" t="str">
        <f t="shared" si="1"/>
        <v>2024</v>
      </c>
      <c r="S458" s="62">
        <f t="shared" si="2"/>
        <v>2</v>
      </c>
      <c r="T458" s="61" t="str">
        <f t="shared" si="3"/>
        <v>2024-Q1</v>
      </c>
      <c r="U458" s="63" t="str">
        <f t="shared" si="4"/>
        <v>2024-02</v>
      </c>
      <c r="V458" s="64" t="str">
        <f t="shared" si="5"/>
        <v>2024-H1</v>
      </c>
      <c r="W458" s="32"/>
      <c r="X458" s="32"/>
    </row>
    <row r="459">
      <c r="A459" s="77">
        <f>HYPERLINK("https://polkadot.subsquare.io/referenda/457", 457)</f>
        <v>457</v>
      </c>
      <c r="B459" s="40" t="s">
        <v>2091</v>
      </c>
      <c r="C459" s="40" t="s">
        <v>1851</v>
      </c>
      <c r="D459" s="78">
        <v>0.0</v>
      </c>
      <c r="E459" s="79">
        <v>0.0</v>
      </c>
      <c r="F459" s="40" t="s">
        <v>1857</v>
      </c>
      <c r="G459" s="78">
        <v>6.56381745139761E7</v>
      </c>
      <c r="H459" s="78">
        <v>42906.1828939706</v>
      </c>
      <c r="I459" s="80">
        <v>45322.0</v>
      </c>
      <c r="J459" s="80">
        <v>45351.0</v>
      </c>
      <c r="K459" s="79">
        <v>0.0</v>
      </c>
      <c r="L459" s="70" t="s">
        <v>47</v>
      </c>
      <c r="M459" s="70" t="s">
        <v>2092</v>
      </c>
      <c r="N459" s="61" t="s">
        <v>1881</v>
      </c>
      <c r="O459" s="86"/>
      <c r="P459" s="86"/>
      <c r="Q459" s="86"/>
      <c r="R459" s="61" t="str">
        <f t="shared" si="1"/>
        <v>2024</v>
      </c>
      <c r="S459" s="62">
        <f t="shared" si="2"/>
        <v>2</v>
      </c>
      <c r="T459" s="61" t="str">
        <f t="shared" si="3"/>
        <v>2024-Q1</v>
      </c>
      <c r="U459" s="63" t="str">
        <f t="shared" si="4"/>
        <v>2024-02</v>
      </c>
      <c r="V459" s="64" t="str">
        <f t="shared" si="5"/>
        <v>2024-H1</v>
      </c>
      <c r="W459" s="32"/>
      <c r="X459" s="32"/>
    </row>
    <row r="460">
      <c r="A460" s="77">
        <f>HYPERLINK("https://polkadot.subsquare.io/referenda/458", 458)</f>
        <v>458</v>
      </c>
      <c r="B460" s="40" t="s">
        <v>2093</v>
      </c>
      <c r="C460" s="40" t="s">
        <v>1851</v>
      </c>
      <c r="D460" s="78">
        <v>0.0</v>
      </c>
      <c r="E460" s="79">
        <v>0.0</v>
      </c>
      <c r="F460" s="40" t="s">
        <v>1852</v>
      </c>
      <c r="G460" s="78">
        <v>1.219522559384857E8</v>
      </c>
      <c r="H460" s="78">
        <v>10.0</v>
      </c>
      <c r="I460" s="80">
        <v>45322.0</v>
      </c>
      <c r="J460" s="80">
        <v>45339.0</v>
      </c>
      <c r="K460" s="79">
        <v>0.0</v>
      </c>
      <c r="L460" s="81"/>
      <c r="M460" s="81"/>
      <c r="N460" s="86"/>
      <c r="O460" s="61"/>
      <c r="P460" s="61"/>
      <c r="Q460" s="61"/>
      <c r="R460" s="61" t="str">
        <f t="shared" si="1"/>
        <v>2024</v>
      </c>
      <c r="S460" s="62">
        <f t="shared" si="2"/>
        <v>2</v>
      </c>
      <c r="T460" s="61" t="str">
        <f t="shared" si="3"/>
        <v>2024-Q1</v>
      </c>
      <c r="U460" s="63" t="str">
        <f t="shared" si="4"/>
        <v>2024-02</v>
      </c>
      <c r="V460" s="64" t="str">
        <f t="shared" si="5"/>
        <v>2024-H1</v>
      </c>
      <c r="W460" s="32"/>
      <c r="X460" s="32"/>
    </row>
    <row r="461">
      <c r="A461" s="77">
        <f>HYPERLINK("https://polkadot.subsquare.io/referenda/459", 459)</f>
        <v>459</v>
      </c>
      <c r="B461" s="40" t="s">
        <v>1156</v>
      </c>
      <c r="C461" s="40" t="s">
        <v>1851</v>
      </c>
      <c r="D461" s="78">
        <v>952.0</v>
      </c>
      <c r="E461" s="79">
        <v>6347.201267242432</v>
      </c>
      <c r="F461" s="40" t="s">
        <v>1869</v>
      </c>
      <c r="G461" s="78">
        <v>3170874.660111985</v>
      </c>
      <c r="H461" s="78">
        <v>5025.0</v>
      </c>
      <c r="I461" s="80">
        <v>45323.0</v>
      </c>
      <c r="J461" s="80">
        <v>45328.0</v>
      </c>
      <c r="K461" s="79">
        <v>6677.962108612061</v>
      </c>
      <c r="L461" s="70" t="s">
        <v>50</v>
      </c>
      <c r="M461" s="70" t="s">
        <v>108</v>
      </c>
      <c r="N461" s="61"/>
      <c r="O461" s="86"/>
      <c r="P461" s="86"/>
      <c r="Q461" s="86"/>
      <c r="R461" s="61" t="str">
        <f t="shared" si="1"/>
        <v>2024</v>
      </c>
      <c r="S461" s="62">
        <f t="shared" si="2"/>
        <v>2</v>
      </c>
      <c r="T461" s="61" t="str">
        <f t="shared" si="3"/>
        <v>2024-Q1</v>
      </c>
      <c r="U461" s="63" t="str">
        <f t="shared" si="4"/>
        <v>2024-02</v>
      </c>
      <c r="V461" s="64" t="str">
        <f t="shared" si="5"/>
        <v>2024-H1</v>
      </c>
      <c r="W461" s="32"/>
      <c r="X461" s="32"/>
    </row>
    <row r="462">
      <c r="A462" s="77">
        <f>HYPERLINK("https://polkadot.subsquare.io/referenda/460", 460)</f>
        <v>460</v>
      </c>
      <c r="B462" s="40" t="s">
        <v>1157</v>
      </c>
      <c r="C462" s="40" t="s">
        <v>1851</v>
      </c>
      <c r="D462" s="78">
        <v>952.0</v>
      </c>
      <c r="E462" s="79">
        <v>6347.201267242432</v>
      </c>
      <c r="F462" s="40" t="s">
        <v>1869</v>
      </c>
      <c r="G462" s="78">
        <v>5692593.665392343</v>
      </c>
      <c r="H462" s="78">
        <v>15191.5197692729</v>
      </c>
      <c r="I462" s="80">
        <v>45323.0</v>
      </c>
      <c r="J462" s="80">
        <v>45327.0</v>
      </c>
      <c r="K462" s="79">
        <v>6677.962108612061</v>
      </c>
      <c r="L462" s="81" t="s">
        <v>50</v>
      </c>
      <c r="M462" s="81" t="s">
        <v>108</v>
      </c>
      <c r="N462" s="86"/>
      <c r="O462" s="61"/>
      <c r="P462" s="61"/>
      <c r="Q462" s="61"/>
      <c r="R462" s="61" t="str">
        <f t="shared" si="1"/>
        <v>2024</v>
      </c>
      <c r="S462" s="62">
        <f t="shared" si="2"/>
        <v>2</v>
      </c>
      <c r="T462" s="61" t="str">
        <f t="shared" si="3"/>
        <v>2024-Q1</v>
      </c>
      <c r="U462" s="63" t="str">
        <f t="shared" si="4"/>
        <v>2024-02</v>
      </c>
      <c r="V462" s="64" t="str">
        <f t="shared" si="5"/>
        <v>2024-H1</v>
      </c>
      <c r="W462" s="32"/>
      <c r="X462" s="32"/>
    </row>
    <row r="463">
      <c r="A463" s="77">
        <f>HYPERLINK("https://polkadot.subsquare.io/referenda/461", 461)</f>
        <v>461</v>
      </c>
      <c r="B463" s="40" t="s">
        <v>1158</v>
      </c>
      <c r="C463" s="40" t="s">
        <v>1851</v>
      </c>
      <c r="D463" s="78">
        <v>1655.0</v>
      </c>
      <c r="E463" s="79">
        <v>11133.04255247116</v>
      </c>
      <c r="F463" s="40" t="s">
        <v>1848</v>
      </c>
      <c r="G463" s="78">
        <v>1.914115084021847E7</v>
      </c>
      <c r="H463" s="78">
        <v>1729945.4192483507</v>
      </c>
      <c r="I463" s="80">
        <v>45324.0</v>
      </c>
      <c r="J463" s="80">
        <v>45345.0</v>
      </c>
      <c r="K463" s="79">
        <v>13112.6673579216</v>
      </c>
      <c r="L463" s="70" t="s">
        <v>81</v>
      </c>
      <c r="M463" s="70" t="s">
        <v>89</v>
      </c>
      <c r="N463" s="61"/>
      <c r="O463" s="86"/>
      <c r="P463" s="86"/>
      <c r="Q463" s="86"/>
      <c r="R463" s="61" t="str">
        <f t="shared" si="1"/>
        <v>2024</v>
      </c>
      <c r="S463" s="62">
        <f t="shared" si="2"/>
        <v>2</v>
      </c>
      <c r="T463" s="61" t="str">
        <f t="shared" si="3"/>
        <v>2024-Q1</v>
      </c>
      <c r="U463" s="63" t="str">
        <f t="shared" si="4"/>
        <v>2024-02</v>
      </c>
      <c r="V463" s="64" t="str">
        <f t="shared" si="5"/>
        <v>2024-H1</v>
      </c>
      <c r="W463" s="32"/>
      <c r="X463" s="32"/>
    </row>
    <row r="464">
      <c r="A464" s="77">
        <f>HYPERLINK("https://polkadot.subsquare.io/referenda/462", 462)</f>
        <v>462</v>
      </c>
      <c r="B464" s="40" t="s">
        <v>1159</v>
      </c>
      <c r="C464" s="40" t="s">
        <v>1851</v>
      </c>
      <c r="D464" s="78">
        <v>21670.0</v>
      </c>
      <c r="E464" s="79">
        <v>145772.22484111786</v>
      </c>
      <c r="F464" s="40" t="s">
        <v>1853</v>
      </c>
      <c r="G464" s="78">
        <v>2.5536990760058828E7</v>
      </c>
      <c r="H464" s="78">
        <v>6723545.399670586</v>
      </c>
      <c r="I464" s="80">
        <v>45325.0</v>
      </c>
      <c r="J464" s="80">
        <v>45352.0</v>
      </c>
      <c r="K464" s="79">
        <v>214775.07469177246</v>
      </c>
      <c r="L464" s="81" t="s">
        <v>46</v>
      </c>
      <c r="M464" s="81" t="s">
        <v>124</v>
      </c>
      <c r="N464" s="86"/>
      <c r="O464" s="61"/>
      <c r="P464" s="61"/>
      <c r="Q464" s="61"/>
      <c r="R464" s="61" t="str">
        <f t="shared" si="1"/>
        <v>2024</v>
      </c>
      <c r="S464" s="62">
        <f t="shared" si="2"/>
        <v>3</v>
      </c>
      <c r="T464" s="61" t="str">
        <f t="shared" si="3"/>
        <v>2024-Q1</v>
      </c>
      <c r="U464" s="63" t="str">
        <f t="shared" si="4"/>
        <v>2024-03</v>
      </c>
      <c r="V464" s="64" t="str">
        <f t="shared" si="5"/>
        <v>2024-H1</v>
      </c>
      <c r="W464" s="32"/>
      <c r="X464" s="32"/>
    </row>
    <row r="465">
      <c r="A465" s="77">
        <f>HYPERLINK("https://polkadot.subsquare.io/referenda/463", 463)</f>
        <v>463</v>
      </c>
      <c r="B465" s="40" t="s">
        <v>1160</v>
      </c>
      <c r="C465" s="40" t="s">
        <v>1851</v>
      </c>
      <c r="D465" s="78">
        <v>51034.0</v>
      </c>
      <c r="E465" s="79">
        <v>343301.3254518509</v>
      </c>
      <c r="F465" s="40" t="s">
        <v>1853</v>
      </c>
      <c r="G465" s="78">
        <v>3.682739521376238E7</v>
      </c>
      <c r="H465" s="78">
        <v>2838954.4808483417</v>
      </c>
      <c r="I465" s="80">
        <v>45325.0</v>
      </c>
      <c r="J465" s="80">
        <v>45346.0</v>
      </c>
      <c r="K465" s="79">
        <v>413597.0618057251</v>
      </c>
      <c r="L465" s="70" t="s">
        <v>48</v>
      </c>
      <c r="M465" s="70" t="s">
        <v>131</v>
      </c>
      <c r="N465" s="61"/>
      <c r="O465" s="86"/>
      <c r="P465" s="86"/>
      <c r="Q465" s="86"/>
      <c r="R465" s="61" t="str">
        <f t="shared" si="1"/>
        <v>2024</v>
      </c>
      <c r="S465" s="62">
        <f t="shared" si="2"/>
        <v>2</v>
      </c>
      <c r="T465" s="61" t="str">
        <f t="shared" si="3"/>
        <v>2024-Q1</v>
      </c>
      <c r="U465" s="63" t="str">
        <f t="shared" si="4"/>
        <v>2024-02</v>
      </c>
      <c r="V465" s="64" t="str">
        <f t="shared" si="5"/>
        <v>2024-H1</v>
      </c>
      <c r="W465" s="32"/>
      <c r="X465" s="32"/>
    </row>
    <row r="466">
      <c r="A466" s="77">
        <f>HYPERLINK("https://polkadot.subsquare.io/referenda/464", 464)</f>
        <v>464</v>
      </c>
      <c r="B466" s="40" t="s">
        <v>2094</v>
      </c>
      <c r="C466" s="40" t="s">
        <v>1851</v>
      </c>
      <c r="D466" s="78">
        <v>0.0</v>
      </c>
      <c r="E466" s="79">
        <v>0.0</v>
      </c>
      <c r="F466" s="40" t="s">
        <v>1855</v>
      </c>
      <c r="G466" s="78">
        <v>7.629591859518103E7</v>
      </c>
      <c r="H466" s="78">
        <v>53504.831794545</v>
      </c>
      <c r="I466" s="80">
        <v>45325.0</v>
      </c>
      <c r="J466" s="80">
        <v>45352.0</v>
      </c>
      <c r="K466" s="79">
        <v>0.0</v>
      </c>
      <c r="L466" s="81" t="s">
        <v>49</v>
      </c>
      <c r="M466" s="81" t="s">
        <v>144</v>
      </c>
      <c r="N466" s="86"/>
      <c r="O466" s="61"/>
      <c r="P466" s="61"/>
      <c r="Q466" s="61"/>
      <c r="R466" s="61" t="str">
        <f t="shared" si="1"/>
        <v>2024</v>
      </c>
      <c r="S466" s="62">
        <f t="shared" si="2"/>
        <v>3</v>
      </c>
      <c r="T466" s="61" t="str">
        <f t="shared" si="3"/>
        <v>2024-Q1</v>
      </c>
      <c r="U466" s="63" t="str">
        <f t="shared" si="4"/>
        <v>2024-03</v>
      </c>
      <c r="V466" s="64" t="str">
        <f t="shared" si="5"/>
        <v>2024-H1</v>
      </c>
      <c r="W466" s="32"/>
      <c r="X466" s="32"/>
    </row>
    <row r="467">
      <c r="A467" s="77">
        <f>HYPERLINK("https://polkadot.subsquare.io/referenda/465", 465)</f>
        <v>465</v>
      </c>
      <c r="B467" s="40" t="s">
        <v>982</v>
      </c>
      <c r="C467" s="40" t="s">
        <v>1851</v>
      </c>
      <c r="D467" s="78">
        <v>80.0</v>
      </c>
      <c r="E467" s="79">
        <v>544.4565582275391</v>
      </c>
      <c r="F467" s="40" t="s">
        <v>982</v>
      </c>
      <c r="G467" s="78">
        <v>2961619.968297197</v>
      </c>
      <c r="H467" s="78">
        <v>51196.0379381906</v>
      </c>
      <c r="I467" s="80">
        <v>45325.0</v>
      </c>
      <c r="J467" s="80">
        <v>45328.0</v>
      </c>
      <c r="K467" s="79">
        <v>575.3192901611328</v>
      </c>
      <c r="L467" s="70" t="s">
        <v>46</v>
      </c>
      <c r="M467" s="70" t="s">
        <v>102</v>
      </c>
      <c r="N467" s="61"/>
      <c r="O467" s="86"/>
      <c r="P467" s="86"/>
      <c r="Q467" s="86"/>
      <c r="R467" s="61" t="str">
        <f t="shared" si="1"/>
        <v>2024</v>
      </c>
      <c r="S467" s="62">
        <f t="shared" si="2"/>
        <v>2</v>
      </c>
      <c r="T467" s="61" t="str">
        <f t="shared" si="3"/>
        <v>2024-Q1</v>
      </c>
      <c r="U467" s="63" t="str">
        <f t="shared" si="4"/>
        <v>2024-02</v>
      </c>
      <c r="V467" s="64" t="str">
        <f t="shared" si="5"/>
        <v>2024-H1</v>
      </c>
      <c r="W467" s="32"/>
      <c r="X467" s="32"/>
    </row>
    <row r="468">
      <c r="A468" s="77">
        <f>HYPERLINK("https://polkadot.subsquare.io/referenda/466", 466)</f>
        <v>466</v>
      </c>
      <c r="B468" s="40" t="s">
        <v>2095</v>
      </c>
      <c r="C468" s="40" t="s">
        <v>1861</v>
      </c>
      <c r="D468" s="78">
        <v>200.0</v>
      </c>
      <c r="E468" s="79">
        <v>1361.1413955688477</v>
      </c>
      <c r="F468" s="40" t="s">
        <v>982</v>
      </c>
      <c r="G468" s="78">
        <v>305211.4276028223</v>
      </c>
      <c r="H468" s="78">
        <v>3014018.8719343133</v>
      </c>
      <c r="I468" s="80">
        <v>45325.0</v>
      </c>
      <c r="J468" s="80">
        <v>45340.0</v>
      </c>
      <c r="K468" s="79">
        <v>1546.6411590576172</v>
      </c>
      <c r="L468" s="81"/>
      <c r="M468" s="81"/>
      <c r="N468" s="86"/>
      <c r="O468" s="61"/>
      <c r="P468" s="61"/>
      <c r="Q468" s="61"/>
      <c r="R468" s="61" t="str">
        <f t="shared" si="1"/>
        <v>2024</v>
      </c>
      <c r="S468" s="62">
        <f t="shared" si="2"/>
        <v>2</v>
      </c>
      <c r="T468" s="61" t="str">
        <f t="shared" si="3"/>
        <v>2024-Q1</v>
      </c>
      <c r="U468" s="63" t="str">
        <f t="shared" si="4"/>
        <v>2024-02</v>
      </c>
      <c r="V468" s="64" t="str">
        <f t="shared" si="5"/>
        <v>2024-H1</v>
      </c>
      <c r="W468" s="32"/>
      <c r="X468" s="32"/>
    </row>
    <row r="469">
      <c r="A469" s="77">
        <f>HYPERLINK("https://polkadot.subsquare.io/referenda/467", 467)</f>
        <v>467</v>
      </c>
      <c r="B469" s="40" t="s">
        <v>1161</v>
      </c>
      <c r="C469" s="40" t="s">
        <v>1851</v>
      </c>
      <c r="D469" s="78">
        <v>13509.0</v>
      </c>
      <c r="E469" s="79">
        <v>91938.29556369781</v>
      </c>
      <c r="F469" s="40" t="s">
        <v>1853</v>
      </c>
      <c r="G469" s="78">
        <v>4.97698949781311E7</v>
      </c>
      <c r="H469" s="78">
        <v>38609.2946822493</v>
      </c>
      <c r="I469" s="80">
        <v>45326.0</v>
      </c>
      <c r="J469" s="80">
        <v>45351.0</v>
      </c>
      <c r="K469" s="79">
        <v>132353.61122131348</v>
      </c>
      <c r="L469" s="70" t="s">
        <v>46</v>
      </c>
      <c r="M469" s="70" t="s">
        <v>110</v>
      </c>
      <c r="N469" s="61"/>
      <c r="O469" s="86"/>
      <c r="P469" s="86"/>
      <c r="Q469" s="86"/>
      <c r="R469" s="61" t="str">
        <f t="shared" si="1"/>
        <v>2024</v>
      </c>
      <c r="S469" s="62">
        <f t="shared" si="2"/>
        <v>2</v>
      </c>
      <c r="T469" s="61" t="str">
        <f t="shared" si="3"/>
        <v>2024-Q1</v>
      </c>
      <c r="U469" s="63" t="str">
        <f t="shared" si="4"/>
        <v>2024-02</v>
      </c>
      <c r="V469" s="64" t="str">
        <f t="shared" si="5"/>
        <v>2024-H1</v>
      </c>
      <c r="W469" s="32"/>
      <c r="X469" s="32"/>
    </row>
    <row r="470">
      <c r="A470" s="77">
        <f>HYPERLINK("https://polkadot.subsquare.io/referenda/468", 468)</f>
        <v>468</v>
      </c>
      <c r="B470" s="40" t="s">
        <v>1162</v>
      </c>
      <c r="C470" s="40" t="s">
        <v>1851</v>
      </c>
      <c r="D470" s="78">
        <v>31500.0</v>
      </c>
      <c r="E470" s="79">
        <v>218607.7938079834</v>
      </c>
      <c r="F470" s="40" t="s">
        <v>1853</v>
      </c>
      <c r="G470" s="78">
        <v>4.005788845602789E7</v>
      </c>
      <c r="H470" s="78">
        <v>684682.0307211586</v>
      </c>
      <c r="I470" s="80">
        <v>45326.0</v>
      </c>
      <c r="J470" s="80">
        <v>45346.0</v>
      </c>
      <c r="K470" s="79">
        <v>263702.100276947</v>
      </c>
      <c r="L470" s="81" t="s">
        <v>46</v>
      </c>
      <c r="M470" s="81" t="s">
        <v>119</v>
      </c>
      <c r="N470" s="86"/>
      <c r="O470" s="61"/>
      <c r="P470" s="61"/>
      <c r="Q470" s="61"/>
      <c r="R470" s="61" t="str">
        <f t="shared" si="1"/>
        <v>2024</v>
      </c>
      <c r="S470" s="62">
        <f t="shared" si="2"/>
        <v>2</v>
      </c>
      <c r="T470" s="61" t="str">
        <f t="shared" si="3"/>
        <v>2024-Q1</v>
      </c>
      <c r="U470" s="63" t="str">
        <f t="shared" si="4"/>
        <v>2024-02</v>
      </c>
      <c r="V470" s="64" t="str">
        <f t="shared" si="5"/>
        <v>2024-H1</v>
      </c>
      <c r="W470" s="32"/>
      <c r="X470" s="32"/>
    </row>
    <row r="471">
      <c r="A471" s="77">
        <f>HYPERLINK("https://polkadot.subsquare.io/referenda/469", 469)</f>
        <v>469</v>
      </c>
      <c r="B471" s="40" t="s">
        <v>1163</v>
      </c>
      <c r="C471" s="40" t="s">
        <v>1851</v>
      </c>
      <c r="D471" s="78">
        <v>32000.0</v>
      </c>
      <c r="E471" s="79">
        <v>222077.7587890625</v>
      </c>
      <c r="F471" s="40" t="s">
        <v>1853</v>
      </c>
      <c r="G471" s="78">
        <v>5.783022838123502E7</v>
      </c>
      <c r="H471" s="78">
        <v>2.603368014115487E7</v>
      </c>
      <c r="I471" s="80">
        <v>45326.0</v>
      </c>
      <c r="J471" s="80">
        <v>45347.0</v>
      </c>
      <c r="K471" s="79">
        <v>266963.80615234375</v>
      </c>
      <c r="L471" s="70" t="s">
        <v>81</v>
      </c>
      <c r="M471" s="70" t="s">
        <v>88</v>
      </c>
      <c r="N471" s="61"/>
      <c r="O471" s="86"/>
      <c r="P471" s="86"/>
      <c r="Q471" s="86"/>
      <c r="R471" s="61" t="str">
        <f t="shared" si="1"/>
        <v>2024</v>
      </c>
      <c r="S471" s="62">
        <f t="shared" si="2"/>
        <v>2</v>
      </c>
      <c r="T471" s="61" t="str">
        <f t="shared" si="3"/>
        <v>2024-Q1</v>
      </c>
      <c r="U471" s="63" t="str">
        <f t="shared" si="4"/>
        <v>2024-02</v>
      </c>
      <c r="V471" s="64" t="str">
        <f t="shared" si="5"/>
        <v>2024-H1</v>
      </c>
      <c r="W471" s="32"/>
      <c r="X471" s="32"/>
    </row>
    <row r="472">
      <c r="A472" s="77">
        <f>HYPERLINK("https://polkadot.subsquare.io/referenda/470", 470)</f>
        <v>470</v>
      </c>
      <c r="B472" s="40" t="s">
        <v>2096</v>
      </c>
      <c r="C472" s="40" t="s">
        <v>1851</v>
      </c>
      <c r="D472" s="78">
        <v>0.0</v>
      </c>
      <c r="E472" s="79">
        <v>0.0</v>
      </c>
      <c r="F472" s="40" t="s">
        <v>1853</v>
      </c>
      <c r="G472" s="78">
        <v>4.52831669928855E7</v>
      </c>
      <c r="H472" s="78">
        <v>1.3498337564439615E7</v>
      </c>
      <c r="I472" s="80">
        <v>45326.0</v>
      </c>
      <c r="J472" s="80">
        <v>45348.0</v>
      </c>
      <c r="K472" s="79">
        <v>0.0</v>
      </c>
      <c r="L472" s="81" t="s">
        <v>46</v>
      </c>
      <c r="M472" s="81" t="s">
        <v>126</v>
      </c>
      <c r="N472" s="86"/>
      <c r="O472" s="61" t="s">
        <v>1881</v>
      </c>
      <c r="P472" s="61" t="s">
        <v>1881</v>
      </c>
      <c r="Q472" s="61"/>
      <c r="R472" s="61" t="str">
        <f t="shared" si="1"/>
        <v>2024</v>
      </c>
      <c r="S472" s="62">
        <f t="shared" si="2"/>
        <v>2</v>
      </c>
      <c r="T472" s="61" t="str">
        <f t="shared" si="3"/>
        <v>2024-Q1</v>
      </c>
      <c r="U472" s="63" t="str">
        <f t="shared" si="4"/>
        <v>2024-02</v>
      </c>
      <c r="V472" s="64" t="str">
        <f t="shared" si="5"/>
        <v>2024-H1</v>
      </c>
      <c r="W472" s="32"/>
      <c r="X472" s="32"/>
    </row>
    <row r="473">
      <c r="A473" s="77">
        <f>HYPERLINK("https://polkadot.subsquare.io/referenda/471", 471)</f>
        <v>471</v>
      </c>
      <c r="B473" s="40" t="s">
        <v>2097</v>
      </c>
      <c r="C473" s="40" t="s">
        <v>1851</v>
      </c>
      <c r="D473" s="78">
        <v>0.0</v>
      </c>
      <c r="E473" s="79">
        <v>0.0</v>
      </c>
      <c r="F473" s="40" t="s">
        <v>1853</v>
      </c>
      <c r="G473" s="78">
        <v>4.475472834893425E7</v>
      </c>
      <c r="H473" s="78">
        <v>2.593014909355072E7</v>
      </c>
      <c r="I473" s="80">
        <v>45326.0</v>
      </c>
      <c r="J473" s="80">
        <v>45348.0</v>
      </c>
      <c r="K473" s="79">
        <v>0.0</v>
      </c>
      <c r="L473" s="70" t="s">
        <v>81</v>
      </c>
      <c r="M473" s="70" t="s">
        <v>88</v>
      </c>
      <c r="N473" s="61"/>
      <c r="O473" s="86" t="s">
        <v>1881</v>
      </c>
      <c r="P473" s="86" t="s">
        <v>1881</v>
      </c>
      <c r="Q473" s="86"/>
      <c r="R473" s="61" t="str">
        <f t="shared" si="1"/>
        <v>2024</v>
      </c>
      <c r="S473" s="62">
        <f t="shared" si="2"/>
        <v>2</v>
      </c>
      <c r="T473" s="61" t="str">
        <f t="shared" si="3"/>
        <v>2024-Q1</v>
      </c>
      <c r="U473" s="63" t="str">
        <f t="shared" si="4"/>
        <v>2024-02</v>
      </c>
      <c r="V473" s="64" t="str">
        <f t="shared" si="5"/>
        <v>2024-H1</v>
      </c>
      <c r="W473" s="32"/>
      <c r="X473" s="32"/>
    </row>
    <row r="474">
      <c r="A474" s="77">
        <f>HYPERLINK("https://polkadot.subsquare.io/referenda/472", 472)</f>
        <v>472</v>
      </c>
      <c r="B474" s="40" t="s">
        <v>1164</v>
      </c>
      <c r="C474" s="40" t="s">
        <v>1851</v>
      </c>
      <c r="D474" s="78">
        <v>900.0</v>
      </c>
      <c r="E474" s="79">
        <v>6245.936965942383</v>
      </c>
      <c r="F474" s="40" t="s">
        <v>1869</v>
      </c>
      <c r="G474" s="78">
        <v>3256261.08794438</v>
      </c>
      <c r="H474" s="78">
        <v>28004.5813519607</v>
      </c>
      <c r="I474" s="80">
        <v>45327.0</v>
      </c>
      <c r="J474" s="80">
        <v>45331.0</v>
      </c>
      <c r="K474" s="79">
        <v>6611.456823348999</v>
      </c>
      <c r="L474" s="81" t="s">
        <v>81</v>
      </c>
      <c r="M474" s="81" t="s">
        <v>89</v>
      </c>
      <c r="N474" s="86"/>
      <c r="O474" s="61"/>
      <c r="P474" s="61"/>
      <c r="Q474" s="61"/>
      <c r="R474" s="61" t="str">
        <f t="shared" si="1"/>
        <v>2024</v>
      </c>
      <c r="S474" s="62">
        <f t="shared" si="2"/>
        <v>2</v>
      </c>
      <c r="T474" s="61" t="str">
        <f t="shared" si="3"/>
        <v>2024-Q1</v>
      </c>
      <c r="U474" s="63" t="str">
        <f t="shared" si="4"/>
        <v>2024-02</v>
      </c>
      <c r="V474" s="64" t="str">
        <f t="shared" si="5"/>
        <v>2024-H1</v>
      </c>
      <c r="W474" s="32"/>
      <c r="X474" s="32"/>
    </row>
    <row r="475">
      <c r="A475" s="77">
        <f>HYPERLINK("https://polkadot.subsquare.io/referenda/473", 473)</f>
        <v>473</v>
      </c>
      <c r="B475" s="40" t="s">
        <v>1165</v>
      </c>
      <c r="C475" s="40" t="s">
        <v>1851</v>
      </c>
      <c r="D475" s="78">
        <v>1000.0</v>
      </c>
      <c r="E475" s="79">
        <v>6939.929962158203</v>
      </c>
      <c r="F475" s="40" t="s">
        <v>1869</v>
      </c>
      <c r="G475" s="78">
        <v>7030776.94725024</v>
      </c>
      <c r="H475" s="78">
        <v>206887.8437225482</v>
      </c>
      <c r="I475" s="80">
        <v>45327.0</v>
      </c>
      <c r="J475" s="80">
        <v>45331.0</v>
      </c>
      <c r="K475" s="79">
        <v>7096.012115478516</v>
      </c>
      <c r="L475" s="70" t="s">
        <v>81</v>
      </c>
      <c r="M475" s="70" t="s">
        <v>89</v>
      </c>
      <c r="N475" s="61"/>
      <c r="O475" s="86"/>
      <c r="P475" s="86"/>
      <c r="Q475" s="86"/>
      <c r="R475" s="61" t="str">
        <f t="shared" si="1"/>
        <v>2024</v>
      </c>
      <c r="S475" s="62">
        <f t="shared" si="2"/>
        <v>2</v>
      </c>
      <c r="T475" s="61" t="str">
        <f t="shared" si="3"/>
        <v>2024-Q1</v>
      </c>
      <c r="U475" s="63" t="str">
        <f t="shared" si="4"/>
        <v>2024-02</v>
      </c>
      <c r="V475" s="64" t="str">
        <f t="shared" si="5"/>
        <v>2024-H1</v>
      </c>
      <c r="W475" s="32"/>
      <c r="X475" s="32"/>
    </row>
    <row r="476">
      <c r="A476" s="77">
        <f>HYPERLINK("https://polkadot.subsquare.io/referenda/474", 474)</f>
        <v>474</v>
      </c>
      <c r="B476" s="40" t="s">
        <v>2098</v>
      </c>
      <c r="C476" s="40" t="s">
        <v>1851</v>
      </c>
      <c r="D476" s="78">
        <v>0.0</v>
      </c>
      <c r="E476" s="79">
        <v>0.0</v>
      </c>
      <c r="F476" s="40" t="s">
        <v>1852</v>
      </c>
      <c r="G476" s="78">
        <v>1.1111518046745734E8</v>
      </c>
      <c r="H476" s="78">
        <v>10.0</v>
      </c>
      <c r="I476" s="80">
        <v>45327.0</v>
      </c>
      <c r="J476" s="80">
        <v>45339.0</v>
      </c>
      <c r="K476" s="79">
        <v>0.0</v>
      </c>
      <c r="L476" s="81"/>
      <c r="M476" s="81"/>
      <c r="N476" s="86"/>
      <c r="O476" s="61"/>
      <c r="P476" s="61"/>
      <c r="Q476" s="61"/>
      <c r="R476" s="61" t="str">
        <f t="shared" si="1"/>
        <v>2024</v>
      </c>
      <c r="S476" s="62">
        <f t="shared" si="2"/>
        <v>2</v>
      </c>
      <c r="T476" s="61" t="str">
        <f t="shared" si="3"/>
        <v>2024-Q1</v>
      </c>
      <c r="U476" s="63" t="str">
        <f t="shared" si="4"/>
        <v>2024-02</v>
      </c>
      <c r="V476" s="64" t="str">
        <f t="shared" si="5"/>
        <v>2024-H1</v>
      </c>
      <c r="W476" s="32"/>
      <c r="X476" s="32"/>
    </row>
    <row r="477">
      <c r="A477" s="77">
        <f>HYPERLINK("https://polkadot.subsquare.io/referenda/475", 475)</f>
        <v>475</v>
      </c>
      <c r="B477" s="40" t="s">
        <v>2099</v>
      </c>
      <c r="C477" s="40" t="s">
        <v>1846</v>
      </c>
      <c r="D477" s="78">
        <v>712.17</v>
      </c>
      <c r="E477" s="79">
        <v>4995.634742531776</v>
      </c>
      <c r="F477" s="40" t="s">
        <v>1869</v>
      </c>
      <c r="G477" s="78">
        <v>2973029.555406196</v>
      </c>
      <c r="H477" s="78">
        <v>2.0855730529242102E7</v>
      </c>
      <c r="I477" s="80">
        <v>45327.0</v>
      </c>
      <c r="J477" s="80">
        <v>45334.0</v>
      </c>
      <c r="K477" s="79">
        <v>5539.296886224746</v>
      </c>
      <c r="L477" s="70"/>
      <c r="M477" s="70"/>
      <c r="N477" s="61"/>
      <c r="O477" s="86"/>
      <c r="P477" s="86"/>
      <c r="Q477" s="86"/>
      <c r="R477" s="61" t="str">
        <f t="shared" si="1"/>
        <v>2024</v>
      </c>
      <c r="S477" s="62">
        <f t="shared" si="2"/>
        <v>2</v>
      </c>
      <c r="T477" s="61" t="str">
        <f t="shared" si="3"/>
        <v>2024-Q1</v>
      </c>
      <c r="U477" s="63" t="str">
        <f t="shared" si="4"/>
        <v>2024-02</v>
      </c>
      <c r="V477" s="64" t="str">
        <f t="shared" si="5"/>
        <v>2024-H1</v>
      </c>
      <c r="W477" s="32"/>
      <c r="X477" s="32"/>
    </row>
    <row r="478">
      <c r="A478" s="77">
        <f>HYPERLINK("https://polkadot.subsquare.io/referenda/476", 476)</f>
        <v>476</v>
      </c>
      <c r="B478" s="40" t="s">
        <v>1166</v>
      </c>
      <c r="C478" s="40" t="s">
        <v>1851</v>
      </c>
      <c r="D478" s="78">
        <v>8666.0</v>
      </c>
      <c r="E478" s="79">
        <v>60789.09625339508</v>
      </c>
      <c r="F478" s="40" t="s">
        <v>1848</v>
      </c>
      <c r="G478" s="78">
        <v>3.990367906261194E7</v>
      </c>
      <c r="H478" s="78">
        <v>1263754.677228831</v>
      </c>
      <c r="I478" s="80">
        <v>45327.0</v>
      </c>
      <c r="J478" s="80">
        <v>45343.0</v>
      </c>
      <c r="K478" s="79">
        <v>67676.24457836151</v>
      </c>
      <c r="L478" s="81" t="s">
        <v>81</v>
      </c>
      <c r="M478" s="81" t="s">
        <v>89</v>
      </c>
      <c r="N478" s="86"/>
      <c r="O478" s="61"/>
      <c r="P478" s="61"/>
      <c r="Q478" s="61"/>
      <c r="R478" s="61" t="str">
        <f t="shared" si="1"/>
        <v>2024</v>
      </c>
      <c r="S478" s="62">
        <f t="shared" si="2"/>
        <v>2</v>
      </c>
      <c r="T478" s="61" t="str">
        <f t="shared" si="3"/>
        <v>2024-Q1</v>
      </c>
      <c r="U478" s="63" t="str">
        <f t="shared" si="4"/>
        <v>2024-02</v>
      </c>
      <c r="V478" s="64" t="str">
        <f t="shared" si="5"/>
        <v>2024-H1</v>
      </c>
      <c r="W478" s="32"/>
      <c r="X478" s="32"/>
    </row>
    <row r="479">
      <c r="A479" s="77">
        <f>HYPERLINK("https://polkadot.subsquare.io/referenda/477", 477)</f>
        <v>477</v>
      </c>
      <c r="B479" s="40" t="s">
        <v>1167</v>
      </c>
      <c r="C479" s="40" t="s">
        <v>1851</v>
      </c>
      <c r="D479" s="78">
        <v>184235.82</v>
      </c>
      <c r="E479" s="79">
        <v>1324930.264808178</v>
      </c>
      <c r="F479" s="40" t="s">
        <v>1855</v>
      </c>
      <c r="G479" s="78">
        <v>8.016832127427164E7</v>
      </c>
      <c r="H479" s="78">
        <v>372662.815051953</v>
      </c>
      <c r="I479" s="80">
        <v>45328.0</v>
      </c>
      <c r="J479" s="80">
        <v>45355.0</v>
      </c>
      <c r="K479" s="79">
        <v>1920117.8267564392</v>
      </c>
      <c r="L479" s="70" t="s">
        <v>81</v>
      </c>
      <c r="M479" s="71" t="s">
        <v>91</v>
      </c>
      <c r="N479" s="61"/>
      <c r="O479" s="86"/>
      <c r="P479" s="86"/>
      <c r="Q479" s="86"/>
      <c r="R479" s="61" t="str">
        <f t="shared" si="1"/>
        <v>2024</v>
      </c>
      <c r="S479" s="62">
        <f t="shared" si="2"/>
        <v>3</v>
      </c>
      <c r="T479" s="61" t="str">
        <f t="shared" si="3"/>
        <v>2024-Q1</v>
      </c>
      <c r="U479" s="63" t="str">
        <f t="shared" si="4"/>
        <v>2024-03</v>
      </c>
      <c r="V479" s="64" t="str">
        <f t="shared" si="5"/>
        <v>2024-H1</v>
      </c>
      <c r="W479" s="32"/>
      <c r="X479" s="32"/>
    </row>
    <row r="480">
      <c r="A480" s="77">
        <f>HYPERLINK("https://polkadot.subsquare.io/referenda/478", 478)</f>
        <v>478</v>
      </c>
      <c r="B480" s="40" t="s">
        <v>1168</v>
      </c>
      <c r="C480" s="40" t="s">
        <v>1851</v>
      </c>
      <c r="D480" s="78">
        <v>200.0</v>
      </c>
      <c r="E480" s="79">
        <v>1438.298225402832</v>
      </c>
      <c r="F480" s="40" t="s">
        <v>982</v>
      </c>
      <c r="G480" s="78">
        <v>2266670.1158870035</v>
      </c>
      <c r="H480" s="78">
        <v>292798.7519139702</v>
      </c>
      <c r="I480" s="80">
        <v>45328.0</v>
      </c>
      <c r="J480" s="80">
        <v>45331.0</v>
      </c>
      <c r="K480" s="79">
        <v>1469.2126274108887</v>
      </c>
      <c r="L480" s="81" t="s">
        <v>81</v>
      </c>
      <c r="M480" s="81" t="s">
        <v>89</v>
      </c>
      <c r="N480" s="86"/>
      <c r="O480" s="61"/>
      <c r="P480" s="61"/>
      <c r="Q480" s="61"/>
      <c r="R480" s="61" t="str">
        <f t="shared" si="1"/>
        <v>2024</v>
      </c>
      <c r="S480" s="62">
        <f t="shared" si="2"/>
        <v>2</v>
      </c>
      <c r="T480" s="61" t="str">
        <f t="shared" si="3"/>
        <v>2024-Q1</v>
      </c>
      <c r="U480" s="63" t="str">
        <f t="shared" si="4"/>
        <v>2024-02</v>
      </c>
      <c r="V480" s="64" t="str">
        <f t="shared" si="5"/>
        <v>2024-H1</v>
      </c>
      <c r="W480" s="32"/>
      <c r="X480" s="32"/>
    </row>
    <row r="481">
      <c r="A481" s="77">
        <f>HYPERLINK("https://polkadot.subsquare.io/referenda/479", 479)</f>
        <v>479</v>
      </c>
      <c r="B481" s="40" t="s">
        <v>2100</v>
      </c>
      <c r="C481" s="40" t="s">
        <v>1846</v>
      </c>
      <c r="D481" s="78">
        <v>1000.0</v>
      </c>
      <c r="E481" s="79">
        <v>7191.49112701416</v>
      </c>
      <c r="F481" s="40" t="s">
        <v>1848</v>
      </c>
      <c r="G481" s="78">
        <v>8545920.303610448</v>
      </c>
      <c r="H481" s="78">
        <v>2.655225122037826E7</v>
      </c>
      <c r="I481" s="80">
        <v>45329.0</v>
      </c>
      <c r="J481" s="80">
        <v>45358.0</v>
      </c>
      <c r="K481" s="79">
        <v>10278.813362121582</v>
      </c>
      <c r="L481" s="70"/>
      <c r="M481" s="70"/>
      <c r="N481" s="61"/>
      <c r="O481" s="86"/>
      <c r="P481" s="86"/>
      <c r="Q481" s="86"/>
      <c r="R481" s="61" t="str">
        <f t="shared" si="1"/>
        <v>2024</v>
      </c>
      <c r="S481" s="62">
        <f t="shared" si="2"/>
        <v>3</v>
      </c>
      <c r="T481" s="61" t="str">
        <f t="shared" si="3"/>
        <v>2024-Q1</v>
      </c>
      <c r="U481" s="63" t="str">
        <f t="shared" si="4"/>
        <v>2024-03</v>
      </c>
      <c r="V481" s="64" t="str">
        <f t="shared" si="5"/>
        <v>2024-H1</v>
      </c>
      <c r="W481" s="32"/>
      <c r="X481" s="32"/>
    </row>
    <row r="482">
      <c r="A482" s="77">
        <f>HYPERLINK("https://polkadot.subsquare.io/referenda/480", 480)</f>
        <v>480</v>
      </c>
      <c r="B482" s="40" t="s">
        <v>1169</v>
      </c>
      <c r="C482" s="40" t="s">
        <v>1851</v>
      </c>
      <c r="D482" s="78">
        <v>80.0</v>
      </c>
      <c r="E482" s="79">
        <v>575.3192901611328</v>
      </c>
      <c r="F482" s="40" t="s">
        <v>982</v>
      </c>
      <c r="G482" s="78">
        <v>2593462.4618386147</v>
      </c>
      <c r="H482" s="78">
        <v>92983.4439517354</v>
      </c>
      <c r="I482" s="80">
        <v>45329.0</v>
      </c>
      <c r="J482" s="80">
        <v>45332.0</v>
      </c>
      <c r="K482" s="79">
        <v>587.6850509643555</v>
      </c>
      <c r="L482" s="81" t="s">
        <v>46</v>
      </c>
      <c r="M482" s="81" t="s">
        <v>102</v>
      </c>
      <c r="N482" s="86"/>
      <c r="O482" s="61"/>
      <c r="P482" s="61"/>
      <c r="Q482" s="61"/>
      <c r="R482" s="61" t="str">
        <f t="shared" si="1"/>
        <v>2024</v>
      </c>
      <c r="S482" s="62">
        <f t="shared" si="2"/>
        <v>2</v>
      </c>
      <c r="T482" s="61" t="str">
        <f t="shared" si="3"/>
        <v>2024-Q1</v>
      </c>
      <c r="U482" s="63" t="str">
        <f t="shared" si="4"/>
        <v>2024-02</v>
      </c>
      <c r="V482" s="64" t="str">
        <f t="shared" si="5"/>
        <v>2024-H1</v>
      </c>
      <c r="W482" s="32"/>
      <c r="X482" s="32"/>
    </row>
    <row r="483">
      <c r="A483" s="77">
        <f>HYPERLINK("https://polkadot.subsquare.io/referenda/481", 481)</f>
        <v>481</v>
      </c>
      <c r="B483" s="40" t="s">
        <v>2101</v>
      </c>
      <c r="C483" s="40" t="s">
        <v>1846</v>
      </c>
      <c r="D483" s="78">
        <v>200.0</v>
      </c>
      <c r="E483" s="79">
        <v>1441.7725563049316</v>
      </c>
      <c r="F483" s="40" t="s">
        <v>982</v>
      </c>
      <c r="G483" s="78">
        <v>11093.2</v>
      </c>
      <c r="H483" s="78">
        <v>3759869.0438421885</v>
      </c>
      <c r="I483" s="80">
        <v>45329.0</v>
      </c>
      <c r="J483" s="80">
        <v>45341.0</v>
      </c>
      <c r="K483" s="79">
        <v>1496.5782165527344</v>
      </c>
      <c r="L483" s="70"/>
      <c r="M483" s="70"/>
      <c r="N483" s="61"/>
      <c r="O483" s="86"/>
      <c r="P483" s="86"/>
      <c r="Q483" s="86"/>
      <c r="R483" s="61" t="str">
        <f t="shared" si="1"/>
        <v>2024</v>
      </c>
      <c r="S483" s="62">
        <f t="shared" si="2"/>
        <v>2</v>
      </c>
      <c r="T483" s="61" t="str">
        <f t="shared" si="3"/>
        <v>2024-Q1</v>
      </c>
      <c r="U483" s="63" t="str">
        <f t="shared" si="4"/>
        <v>2024-02</v>
      </c>
      <c r="V483" s="64" t="str">
        <f t="shared" si="5"/>
        <v>2024-H1</v>
      </c>
      <c r="W483" s="32"/>
      <c r="X483" s="32"/>
    </row>
    <row r="484">
      <c r="A484" s="77">
        <f>HYPERLINK("https://polkadot.subsquare.io/referenda/496", 496)</f>
        <v>496</v>
      </c>
      <c r="B484" s="40" t="s">
        <v>1178</v>
      </c>
      <c r="C484" s="40" t="s">
        <v>1851</v>
      </c>
      <c r="D484" s="78">
        <v>5000.0</v>
      </c>
      <c r="E484" s="79">
        <v>38291.335105895996</v>
      </c>
      <c r="F484" s="40" t="s">
        <v>1848</v>
      </c>
      <c r="G484" s="78">
        <v>2.5419753158659376E7</v>
      </c>
      <c r="H484" s="78">
        <v>1.7126203405532666E7</v>
      </c>
      <c r="I484" s="80">
        <v>45333.0</v>
      </c>
      <c r="J484" s="80">
        <v>45364.0</v>
      </c>
      <c r="K484" s="79">
        <v>54191.81823730469</v>
      </c>
      <c r="L484" s="81" t="s">
        <v>46</v>
      </c>
      <c r="M484" s="81" t="s">
        <v>116</v>
      </c>
      <c r="N484" s="86"/>
      <c r="O484" s="61"/>
      <c r="P484" s="61"/>
      <c r="Q484" s="61"/>
      <c r="R484" s="61" t="str">
        <f t="shared" si="1"/>
        <v>2024</v>
      </c>
      <c r="S484" s="62">
        <f t="shared" si="2"/>
        <v>3</v>
      </c>
      <c r="T484" s="61" t="str">
        <f t="shared" si="3"/>
        <v>2024-Q1</v>
      </c>
      <c r="U484" s="63" t="str">
        <f t="shared" si="4"/>
        <v>2024-03</v>
      </c>
      <c r="V484" s="64" t="str">
        <f t="shared" si="5"/>
        <v>2024-H1</v>
      </c>
      <c r="W484" s="32"/>
      <c r="X484" s="32"/>
    </row>
    <row r="485">
      <c r="A485" s="77">
        <f>HYPERLINK("https://polkadot.subsquare.io/referenda/483", 483)</f>
        <v>483</v>
      </c>
      <c r="B485" s="40" t="s">
        <v>1170</v>
      </c>
      <c r="C485" s="40" t="s">
        <v>1851</v>
      </c>
      <c r="D485" s="78">
        <v>172066.93</v>
      </c>
      <c r="E485" s="79">
        <v>1240406.8876082087</v>
      </c>
      <c r="F485" s="40" t="s">
        <v>1855</v>
      </c>
      <c r="G485" s="78">
        <v>5.962496221763242E7</v>
      </c>
      <c r="H485" s="78">
        <v>1.3615108885254264E7</v>
      </c>
      <c r="I485" s="80">
        <v>45329.0</v>
      </c>
      <c r="J485" s="80">
        <v>45357.0</v>
      </c>
      <c r="K485" s="79">
        <v>1835116.447108202</v>
      </c>
      <c r="L485" s="70" t="s">
        <v>49</v>
      </c>
      <c r="M485" s="70" t="s">
        <v>108</v>
      </c>
      <c r="N485" s="61"/>
      <c r="O485" s="86"/>
      <c r="P485" s="86" t="s">
        <v>1881</v>
      </c>
      <c r="Q485" s="86"/>
      <c r="R485" s="61" t="str">
        <f t="shared" si="1"/>
        <v>2024</v>
      </c>
      <c r="S485" s="62">
        <f t="shared" si="2"/>
        <v>3</v>
      </c>
      <c r="T485" s="61" t="str">
        <f t="shared" si="3"/>
        <v>2024-Q1</v>
      </c>
      <c r="U485" s="63" t="str">
        <f t="shared" si="4"/>
        <v>2024-03</v>
      </c>
      <c r="V485" s="64" t="str">
        <f t="shared" si="5"/>
        <v>2024-H1</v>
      </c>
      <c r="W485" s="32"/>
      <c r="X485" s="32"/>
    </row>
    <row r="486">
      <c r="A486" s="77">
        <f>HYPERLINK("https://polkadot.subsquare.io/referenda/484", 484)</f>
        <v>484</v>
      </c>
      <c r="B486" s="40" t="s">
        <v>2102</v>
      </c>
      <c r="C486" s="40" t="s">
        <v>1851</v>
      </c>
      <c r="D486" s="78">
        <v>32528.24</v>
      </c>
      <c r="E486" s="79">
        <v>234491.61868450165</v>
      </c>
      <c r="F486" s="40" t="s">
        <v>1853</v>
      </c>
      <c r="G486" s="78">
        <v>6.8575843461037E7</v>
      </c>
      <c r="H486" s="78">
        <v>957838.114828453</v>
      </c>
      <c r="I486" s="80">
        <v>45330.0</v>
      </c>
      <c r="J486" s="80">
        <v>45352.0</v>
      </c>
      <c r="K486" s="79">
        <v>322392.94765075686</v>
      </c>
      <c r="L486" s="81" t="s">
        <v>81</v>
      </c>
      <c r="M486" s="81" t="s">
        <v>93</v>
      </c>
      <c r="N486" s="84" t="s">
        <v>1881</v>
      </c>
      <c r="O486" s="61" t="s">
        <v>1881</v>
      </c>
      <c r="P486" s="61" t="s">
        <v>1881</v>
      </c>
      <c r="Q486" s="61"/>
      <c r="R486" s="61" t="str">
        <f t="shared" si="1"/>
        <v>2024</v>
      </c>
      <c r="S486" s="62">
        <f t="shared" si="2"/>
        <v>3</v>
      </c>
      <c r="T486" s="61" t="str">
        <f t="shared" si="3"/>
        <v>2024-Q1</v>
      </c>
      <c r="U486" s="63" t="str">
        <f t="shared" si="4"/>
        <v>2024-03</v>
      </c>
      <c r="V486" s="64" t="str">
        <f t="shared" si="5"/>
        <v>2024-H1</v>
      </c>
      <c r="W486" s="32"/>
      <c r="X486" s="32"/>
    </row>
    <row r="487">
      <c r="A487" s="77">
        <f>HYPERLINK("https://polkadot.subsquare.io/referenda/485", 485)</f>
        <v>485</v>
      </c>
      <c r="B487" s="40" t="s">
        <v>1171</v>
      </c>
      <c r="C487" s="40" t="s">
        <v>1851</v>
      </c>
      <c r="D487" s="78">
        <v>9507.0</v>
      </c>
      <c r="E487" s="79">
        <v>67461.78718185425</v>
      </c>
      <c r="F487" s="40" t="s">
        <v>1848</v>
      </c>
      <c r="G487" s="78">
        <v>5.4419645404911175E7</v>
      </c>
      <c r="H487" s="78">
        <v>1055756.2962547285</v>
      </c>
      <c r="I487" s="80">
        <v>45331.0</v>
      </c>
      <c r="J487" s="80">
        <v>45343.0</v>
      </c>
      <c r="K487" s="79">
        <v>74243.94844293594</v>
      </c>
      <c r="L487" s="70" t="s">
        <v>50</v>
      </c>
      <c r="M487" s="70" t="s">
        <v>93</v>
      </c>
      <c r="N487" s="61"/>
      <c r="O487" s="86"/>
      <c r="P487" s="86" t="s">
        <v>1881</v>
      </c>
      <c r="Q487" s="86"/>
      <c r="R487" s="61" t="str">
        <f t="shared" si="1"/>
        <v>2024</v>
      </c>
      <c r="S487" s="62">
        <f t="shared" si="2"/>
        <v>2</v>
      </c>
      <c r="T487" s="61" t="str">
        <f t="shared" si="3"/>
        <v>2024-Q1</v>
      </c>
      <c r="U487" s="63" t="str">
        <f t="shared" si="4"/>
        <v>2024-02</v>
      </c>
      <c r="V487" s="64" t="str">
        <f t="shared" si="5"/>
        <v>2024-H1</v>
      </c>
      <c r="W487" s="32"/>
      <c r="X487" s="32"/>
    </row>
    <row r="488">
      <c r="A488" s="77">
        <f>HYPERLINK("https://polkadot.subsquare.io/referenda/486", 486)</f>
        <v>486</v>
      </c>
      <c r="B488" s="40" t="s">
        <v>1172</v>
      </c>
      <c r="C488" s="40" t="s">
        <v>1851</v>
      </c>
      <c r="D488" s="78">
        <v>900.0</v>
      </c>
      <c r="E488" s="79">
        <v>6386.410903930664</v>
      </c>
      <c r="F488" s="40" t="s">
        <v>1869</v>
      </c>
      <c r="G488" s="78">
        <v>2.5092810810570687E7</v>
      </c>
      <c r="H488" s="78">
        <v>385658.6745208935</v>
      </c>
      <c r="I488" s="80">
        <v>45331.0</v>
      </c>
      <c r="J488" s="80">
        <v>45333.0</v>
      </c>
      <c r="K488" s="79">
        <v>6892.440319061279</v>
      </c>
      <c r="L488" s="81" t="s">
        <v>81</v>
      </c>
      <c r="M488" s="81" t="s">
        <v>89</v>
      </c>
      <c r="N488" s="86"/>
      <c r="O488" s="61"/>
      <c r="P488" s="61"/>
      <c r="Q488" s="61"/>
      <c r="R488" s="61" t="str">
        <f t="shared" si="1"/>
        <v>2024</v>
      </c>
      <c r="S488" s="62">
        <f t="shared" si="2"/>
        <v>2</v>
      </c>
      <c r="T488" s="61" t="str">
        <f t="shared" si="3"/>
        <v>2024-Q1</v>
      </c>
      <c r="U488" s="63" t="str">
        <f t="shared" si="4"/>
        <v>2024-02</v>
      </c>
      <c r="V488" s="64" t="str">
        <f t="shared" si="5"/>
        <v>2024-H1</v>
      </c>
      <c r="W488" s="32"/>
      <c r="X488" s="32"/>
    </row>
    <row r="489">
      <c r="A489" s="77">
        <f>HYPERLINK("https://polkadot.subsquare.io/referenda/487", 487)</f>
        <v>487</v>
      </c>
      <c r="B489" s="40" t="s">
        <v>2103</v>
      </c>
      <c r="C489" s="40" t="s">
        <v>1851</v>
      </c>
      <c r="D489" s="78">
        <v>0.0</v>
      </c>
      <c r="E489" s="79">
        <v>0.0</v>
      </c>
      <c r="F489" s="40" t="s">
        <v>1857</v>
      </c>
      <c r="G489" s="78">
        <v>3.2613245069945853E7</v>
      </c>
      <c r="H489" s="78">
        <v>2013647.7668576494</v>
      </c>
      <c r="I489" s="80">
        <v>45331.0</v>
      </c>
      <c r="J489" s="80">
        <v>45380.0</v>
      </c>
      <c r="K489" s="79">
        <v>0.0</v>
      </c>
      <c r="L489" s="70"/>
      <c r="M489" s="70"/>
      <c r="N489" s="61"/>
      <c r="O489" s="86"/>
      <c r="P489" s="86"/>
      <c r="Q489" s="86"/>
      <c r="R489" s="61" t="str">
        <f t="shared" si="1"/>
        <v>2024</v>
      </c>
      <c r="S489" s="62">
        <f t="shared" si="2"/>
        <v>3</v>
      </c>
      <c r="T489" s="61" t="str">
        <f t="shared" si="3"/>
        <v>2024-Q1</v>
      </c>
      <c r="U489" s="63" t="str">
        <f t="shared" si="4"/>
        <v>2024-03</v>
      </c>
      <c r="V489" s="64" t="str">
        <f t="shared" si="5"/>
        <v>2024-H1</v>
      </c>
      <c r="W489" s="32"/>
      <c r="X489" s="32"/>
    </row>
    <row r="490">
      <c r="A490" s="77">
        <f>HYPERLINK("https://polkadot.subsquare.io/referenda/488", 488)</f>
        <v>488</v>
      </c>
      <c r="B490" s="40" t="s">
        <v>2104</v>
      </c>
      <c r="C490" s="40" t="s">
        <v>1851</v>
      </c>
      <c r="D490" s="78">
        <v>100000.0</v>
      </c>
      <c r="E490" s="79">
        <v>734606.3137054443</v>
      </c>
      <c r="F490" s="40" t="s">
        <v>1853</v>
      </c>
      <c r="G490" s="78">
        <v>7.606264303949694E7</v>
      </c>
      <c r="H490" s="78">
        <v>1.9163197123316977E7</v>
      </c>
      <c r="I490" s="80">
        <v>45331.0</v>
      </c>
      <c r="J490" s="80">
        <v>45348.0</v>
      </c>
      <c r="K490" s="79">
        <v>825502.4909973145</v>
      </c>
      <c r="L490" s="81"/>
      <c r="M490" s="81"/>
      <c r="N490" s="86" t="s">
        <v>1881</v>
      </c>
      <c r="O490" s="61" t="s">
        <v>1881</v>
      </c>
      <c r="P490" s="61" t="s">
        <v>1881</v>
      </c>
      <c r="Q490" s="61"/>
      <c r="R490" s="61" t="str">
        <f t="shared" si="1"/>
        <v>2024</v>
      </c>
      <c r="S490" s="62">
        <f t="shared" si="2"/>
        <v>2</v>
      </c>
      <c r="T490" s="61" t="str">
        <f t="shared" si="3"/>
        <v>2024-Q1</v>
      </c>
      <c r="U490" s="63" t="str">
        <f t="shared" si="4"/>
        <v>2024-02</v>
      </c>
      <c r="V490" s="64" t="str">
        <f t="shared" si="5"/>
        <v>2024-H1</v>
      </c>
      <c r="W490" s="32"/>
      <c r="X490" s="32"/>
    </row>
    <row r="491">
      <c r="A491" s="77">
        <f>HYPERLINK("https://polkadot.subsquare.io/referenda/489", 489)</f>
        <v>489</v>
      </c>
      <c r="B491" s="40" t="s">
        <v>2105</v>
      </c>
      <c r="C491" s="40" t="s">
        <v>1851</v>
      </c>
      <c r="D491" s="78">
        <v>0.0</v>
      </c>
      <c r="E491" s="79">
        <v>0.0</v>
      </c>
      <c r="F491" s="40" t="s">
        <v>1852</v>
      </c>
      <c r="G491" s="78">
        <v>9.644876906770921E7</v>
      </c>
      <c r="H491" s="78">
        <v>10.0</v>
      </c>
      <c r="I491" s="80">
        <v>45332.0</v>
      </c>
      <c r="J491" s="80">
        <v>45345.0</v>
      </c>
      <c r="K491" s="79">
        <v>0.0</v>
      </c>
      <c r="L491" s="70"/>
      <c r="M491" s="70"/>
      <c r="N491" s="61"/>
      <c r="O491" s="86"/>
      <c r="P491" s="86"/>
      <c r="Q491" s="86"/>
      <c r="R491" s="61" t="str">
        <f t="shared" si="1"/>
        <v>2024</v>
      </c>
      <c r="S491" s="62">
        <f t="shared" si="2"/>
        <v>2</v>
      </c>
      <c r="T491" s="61" t="str">
        <f t="shared" si="3"/>
        <v>2024-Q1</v>
      </c>
      <c r="U491" s="63" t="str">
        <f t="shared" si="4"/>
        <v>2024-02</v>
      </c>
      <c r="V491" s="64" t="str">
        <f t="shared" si="5"/>
        <v>2024-H1</v>
      </c>
      <c r="W491" s="32"/>
      <c r="X491" s="32"/>
    </row>
    <row r="492">
      <c r="A492" s="77">
        <f>HYPERLINK("https://polkadot.subsquare.io/referenda/490", 490)</f>
        <v>490</v>
      </c>
      <c r="B492" s="40" t="s">
        <v>1173</v>
      </c>
      <c r="C492" s="40" t="s">
        <v>1851</v>
      </c>
      <c r="D492" s="78">
        <v>20000.0</v>
      </c>
      <c r="E492" s="79">
        <v>146921.26274108887</v>
      </c>
      <c r="F492" s="40" t="s">
        <v>1853</v>
      </c>
      <c r="G492" s="78">
        <v>6.227270645543522E7</v>
      </c>
      <c r="H492" s="78">
        <v>6473991.74966195</v>
      </c>
      <c r="I492" s="80">
        <v>45332.0</v>
      </c>
      <c r="J492" s="80">
        <v>45352.0</v>
      </c>
      <c r="K492" s="79">
        <v>198223.41918945312</v>
      </c>
      <c r="L492" s="81" t="s">
        <v>48</v>
      </c>
      <c r="M492" s="81" t="s">
        <v>131</v>
      </c>
      <c r="N492" s="86"/>
      <c r="O492" s="61"/>
      <c r="P492" s="61"/>
      <c r="Q492" s="61"/>
      <c r="R492" s="61" t="str">
        <f t="shared" si="1"/>
        <v>2024</v>
      </c>
      <c r="S492" s="62">
        <f t="shared" si="2"/>
        <v>3</v>
      </c>
      <c r="T492" s="61" t="str">
        <f t="shared" si="3"/>
        <v>2024-Q1</v>
      </c>
      <c r="U492" s="63" t="str">
        <f t="shared" si="4"/>
        <v>2024-03</v>
      </c>
      <c r="V492" s="64" t="str">
        <f t="shared" si="5"/>
        <v>2024-H1</v>
      </c>
      <c r="W492" s="32"/>
      <c r="X492" s="32"/>
    </row>
    <row r="493">
      <c r="A493" s="77">
        <f>HYPERLINK("https://polkadot.subsquare.io/referenda/491", 491)</f>
        <v>491</v>
      </c>
      <c r="B493" s="40" t="s">
        <v>1174</v>
      </c>
      <c r="C493" s="40" t="s">
        <v>1851</v>
      </c>
      <c r="D493" s="78">
        <v>969.0</v>
      </c>
      <c r="E493" s="79">
        <v>7118.335179805756</v>
      </c>
      <c r="F493" s="40" t="s">
        <v>1869</v>
      </c>
      <c r="G493" s="78">
        <v>2590503.6868194886</v>
      </c>
      <c r="H493" s="78">
        <v>923801.0892759097</v>
      </c>
      <c r="I493" s="80">
        <v>45332.0</v>
      </c>
      <c r="J493" s="80">
        <v>45337.0</v>
      </c>
      <c r="K493" s="79">
        <v>7465.518841266632</v>
      </c>
      <c r="L493" s="70" t="s">
        <v>81</v>
      </c>
      <c r="M493" s="71" t="s">
        <v>97</v>
      </c>
      <c r="N493" s="61"/>
      <c r="O493" s="86"/>
      <c r="P493" s="86"/>
      <c r="Q493" s="86"/>
      <c r="R493" s="61" t="str">
        <f t="shared" si="1"/>
        <v>2024</v>
      </c>
      <c r="S493" s="62">
        <f t="shared" si="2"/>
        <v>2</v>
      </c>
      <c r="T493" s="61" t="str">
        <f t="shared" si="3"/>
        <v>2024-Q1</v>
      </c>
      <c r="U493" s="63" t="str">
        <f t="shared" si="4"/>
        <v>2024-02</v>
      </c>
      <c r="V493" s="64" t="str">
        <f t="shared" si="5"/>
        <v>2024-H1</v>
      </c>
      <c r="W493" s="32"/>
      <c r="X493" s="32"/>
    </row>
    <row r="494">
      <c r="A494" s="77">
        <f>HYPERLINK("https://polkadot.subsquare.io/referenda/492", 492)</f>
        <v>492</v>
      </c>
      <c r="B494" s="40" t="s">
        <v>1175</v>
      </c>
      <c r="C494" s="40" t="s">
        <v>1851</v>
      </c>
      <c r="D494" s="78">
        <v>54121.0</v>
      </c>
      <c r="E494" s="79">
        <v>398489.30549144745</v>
      </c>
      <c r="F494" s="40" t="s">
        <v>1853</v>
      </c>
      <c r="G494" s="78">
        <v>6.224676456649029E7</v>
      </c>
      <c r="H494" s="78">
        <v>1.94587240199342E7</v>
      </c>
      <c r="I494" s="80">
        <v>45332.0</v>
      </c>
      <c r="J494" s="80">
        <v>45358.0</v>
      </c>
      <c r="K494" s="79">
        <v>556299.6579713821</v>
      </c>
      <c r="L494" s="81" t="s">
        <v>81</v>
      </c>
      <c r="M494" s="85" t="s">
        <v>86</v>
      </c>
      <c r="N494" s="86"/>
      <c r="O494" s="61"/>
      <c r="P494" s="61"/>
      <c r="Q494" s="61"/>
      <c r="R494" s="61" t="str">
        <f t="shared" si="1"/>
        <v>2024</v>
      </c>
      <c r="S494" s="62">
        <f t="shared" si="2"/>
        <v>3</v>
      </c>
      <c r="T494" s="61" t="str">
        <f t="shared" si="3"/>
        <v>2024-Q1</v>
      </c>
      <c r="U494" s="63" t="str">
        <f t="shared" si="4"/>
        <v>2024-03</v>
      </c>
      <c r="V494" s="64" t="str">
        <f t="shared" si="5"/>
        <v>2024-H1</v>
      </c>
      <c r="W494" s="32"/>
      <c r="X494" s="32"/>
    </row>
    <row r="495">
      <c r="A495" s="77">
        <f>HYPERLINK("https://polkadot.subsquare.io/referenda/493", 493)</f>
        <v>493</v>
      </c>
      <c r="B495" s="40" t="s">
        <v>1176</v>
      </c>
      <c r="C495" s="40" t="s">
        <v>1851</v>
      </c>
      <c r="D495" s="78">
        <v>28761.0</v>
      </c>
      <c r="E495" s="79">
        <v>211765.32058238983</v>
      </c>
      <c r="F495" s="40" t="s">
        <v>1853</v>
      </c>
      <c r="G495" s="78">
        <v>6.2276848443343E7</v>
      </c>
      <c r="H495" s="78">
        <v>478701.3205915881</v>
      </c>
      <c r="I495" s="80">
        <v>45332.0</v>
      </c>
      <c r="J495" s="80">
        <v>45359.0</v>
      </c>
      <c r="K495" s="79">
        <v>317417.2375488281</v>
      </c>
      <c r="L495" s="70" t="s">
        <v>46</v>
      </c>
      <c r="M495" s="70" t="s">
        <v>121</v>
      </c>
      <c r="N495" s="61"/>
      <c r="O495" s="86"/>
      <c r="P495" s="86"/>
      <c r="Q495" s="86"/>
      <c r="R495" s="61" t="str">
        <f t="shared" si="1"/>
        <v>2024</v>
      </c>
      <c r="S495" s="62">
        <f t="shared" si="2"/>
        <v>3</v>
      </c>
      <c r="T495" s="61" t="str">
        <f t="shared" si="3"/>
        <v>2024-Q1</v>
      </c>
      <c r="U495" s="63" t="str">
        <f t="shared" si="4"/>
        <v>2024-03</v>
      </c>
      <c r="V495" s="64" t="str">
        <f t="shared" si="5"/>
        <v>2024-H1</v>
      </c>
      <c r="W495" s="32"/>
      <c r="X495" s="32"/>
    </row>
    <row r="496">
      <c r="A496" s="77">
        <f>HYPERLINK("https://polkadot.subsquare.io/referenda/494", 494)</f>
        <v>494</v>
      </c>
      <c r="B496" s="40" t="s">
        <v>1177</v>
      </c>
      <c r="C496" s="40" t="s">
        <v>1851</v>
      </c>
      <c r="D496" s="78">
        <v>65178.0</v>
      </c>
      <c r="E496" s="79">
        <v>479901.2574291229</v>
      </c>
      <c r="F496" s="40" t="s">
        <v>1853</v>
      </c>
      <c r="G496" s="78">
        <v>4.337411657282051E7</v>
      </c>
      <c r="H496" s="78">
        <v>6865133.212528083</v>
      </c>
      <c r="I496" s="80">
        <v>45333.0</v>
      </c>
      <c r="J496" s="80">
        <v>45354.0</v>
      </c>
      <c r="K496" s="79">
        <v>685296.2817649841</v>
      </c>
      <c r="L496" s="81" t="s">
        <v>50</v>
      </c>
      <c r="M496" s="81" t="s">
        <v>102</v>
      </c>
      <c r="N496" s="86"/>
      <c r="O496" s="61"/>
      <c r="P496" s="61"/>
      <c r="Q496" s="61"/>
      <c r="R496" s="61" t="str">
        <f t="shared" si="1"/>
        <v>2024</v>
      </c>
      <c r="S496" s="62">
        <f t="shared" si="2"/>
        <v>3</v>
      </c>
      <c r="T496" s="61" t="str">
        <f t="shared" si="3"/>
        <v>2024-Q1</v>
      </c>
      <c r="U496" s="63" t="str">
        <f t="shared" si="4"/>
        <v>2024-03</v>
      </c>
      <c r="V496" s="64" t="str">
        <f t="shared" si="5"/>
        <v>2024-H1</v>
      </c>
      <c r="W496" s="32"/>
      <c r="X496" s="32"/>
    </row>
    <row r="497">
      <c r="A497" s="77">
        <f>HYPERLINK("https://polkadot.subsquare.io/referenda/495", 495)</f>
        <v>495</v>
      </c>
      <c r="B497" s="40" t="s">
        <v>2106</v>
      </c>
      <c r="C497" s="40" t="s">
        <v>1846</v>
      </c>
      <c r="D497" s="78">
        <v>41242.84</v>
      </c>
      <c r="E497" s="79">
        <v>315848.6814317703</v>
      </c>
      <c r="F497" s="40" t="s">
        <v>1853</v>
      </c>
      <c r="G497" s="78">
        <v>571976.729612511</v>
      </c>
      <c r="H497" s="78">
        <v>8.353008094237557E7</v>
      </c>
      <c r="I497" s="80">
        <v>45333.0</v>
      </c>
      <c r="J497" s="80">
        <v>45362.0</v>
      </c>
      <c r="K497" s="79">
        <v>466913.5783029556</v>
      </c>
      <c r="L497" s="70"/>
      <c r="M497" s="70"/>
      <c r="N497" s="61"/>
      <c r="O497" s="86"/>
      <c r="P497" s="86"/>
      <c r="Q497" s="86"/>
      <c r="R497" s="61" t="str">
        <f t="shared" si="1"/>
        <v>2024</v>
      </c>
      <c r="S497" s="62">
        <f t="shared" si="2"/>
        <v>3</v>
      </c>
      <c r="T497" s="61" t="str">
        <f t="shared" si="3"/>
        <v>2024-Q1</v>
      </c>
      <c r="U497" s="63" t="str">
        <f t="shared" si="4"/>
        <v>2024-03</v>
      </c>
      <c r="V497" s="64" t="str">
        <f t="shared" si="5"/>
        <v>2024-H1</v>
      </c>
      <c r="W497" s="32"/>
      <c r="X497" s="32"/>
    </row>
    <row r="498">
      <c r="A498" s="77">
        <f>HYPERLINK("https://polkadot.subsquare.io/referenda/482", 482)</f>
        <v>482</v>
      </c>
      <c r="B498" s="40" t="s">
        <v>2107</v>
      </c>
      <c r="C498" s="40" t="s">
        <v>1851</v>
      </c>
      <c r="D498" s="78">
        <v>0.0</v>
      </c>
      <c r="E498" s="79">
        <v>0.0</v>
      </c>
      <c r="F498" s="40" t="s">
        <v>1855</v>
      </c>
      <c r="G498" s="78">
        <v>7.209142301734157E7</v>
      </c>
      <c r="H498" s="78">
        <v>1031565.9111568365</v>
      </c>
      <c r="I498" s="80">
        <v>45329.0</v>
      </c>
      <c r="J498" s="80">
        <v>45354.0</v>
      </c>
      <c r="K498" s="79">
        <v>0.0</v>
      </c>
      <c r="L498" s="81" t="s">
        <v>46</v>
      </c>
      <c r="M498" s="81" t="s">
        <v>116</v>
      </c>
      <c r="N498" s="86"/>
      <c r="O498" s="61" t="s">
        <v>1881</v>
      </c>
      <c r="P498" s="61" t="s">
        <v>1881</v>
      </c>
      <c r="Q498" s="61"/>
      <c r="R498" s="61" t="str">
        <f t="shared" si="1"/>
        <v>2024</v>
      </c>
      <c r="S498" s="62">
        <f t="shared" si="2"/>
        <v>3</v>
      </c>
      <c r="T498" s="61" t="str">
        <f t="shared" si="3"/>
        <v>2024-Q1</v>
      </c>
      <c r="U498" s="63" t="str">
        <f t="shared" si="4"/>
        <v>2024-03</v>
      </c>
      <c r="V498" s="64" t="str">
        <f t="shared" si="5"/>
        <v>2024-H1</v>
      </c>
      <c r="W498" s="32"/>
      <c r="X498" s="32"/>
    </row>
    <row r="499">
      <c r="A499" s="77">
        <f>HYPERLINK("https://polkadot.subsquare.io/referenda/497", 497)</f>
        <v>497</v>
      </c>
      <c r="B499" s="40" t="s">
        <v>2108</v>
      </c>
      <c r="C499" s="40" t="s">
        <v>1846</v>
      </c>
      <c r="D499" s="78">
        <v>0.0</v>
      </c>
      <c r="E499" s="79">
        <v>0.0</v>
      </c>
      <c r="F499" s="40" t="s">
        <v>1853</v>
      </c>
      <c r="G499" s="78">
        <v>231496.3877401491</v>
      </c>
      <c r="H499" s="78">
        <v>2.5237916481943272E7</v>
      </c>
      <c r="I499" s="80">
        <v>45333.0</v>
      </c>
      <c r="J499" s="80">
        <v>45362.0</v>
      </c>
      <c r="K499" s="79">
        <v>0.0</v>
      </c>
      <c r="L499" s="70"/>
      <c r="M499" s="70"/>
      <c r="N499" s="61"/>
      <c r="O499" s="86"/>
      <c r="P499" s="86"/>
      <c r="Q499" s="86"/>
      <c r="R499" s="61" t="str">
        <f t="shared" si="1"/>
        <v>2024</v>
      </c>
      <c r="S499" s="62">
        <f t="shared" si="2"/>
        <v>3</v>
      </c>
      <c r="T499" s="61" t="str">
        <f t="shared" si="3"/>
        <v>2024-Q1</v>
      </c>
      <c r="U499" s="63" t="str">
        <f t="shared" si="4"/>
        <v>2024-03</v>
      </c>
      <c r="V499" s="64" t="str">
        <f t="shared" si="5"/>
        <v>2024-H1</v>
      </c>
      <c r="W499" s="32"/>
      <c r="X499" s="32"/>
    </row>
    <row r="500">
      <c r="A500" s="77">
        <f>HYPERLINK("https://polkadot.subsquare.io/referenda/498", 498)</f>
        <v>498</v>
      </c>
      <c r="B500" s="40" t="s">
        <v>2109</v>
      </c>
      <c r="C500" s="40" t="s">
        <v>1861</v>
      </c>
      <c r="D500" s="78">
        <v>50000.0</v>
      </c>
      <c r="E500" s="79">
        <v>382913.35105895996</v>
      </c>
      <c r="F500" s="40" t="s">
        <v>1853</v>
      </c>
      <c r="G500" s="78">
        <v>6143539.839719509</v>
      </c>
      <c r="H500" s="78">
        <v>4.145631963572467E7</v>
      </c>
      <c r="I500" s="80">
        <v>45334.0</v>
      </c>
      <c r="J500" s="80">
        <v>45348.0</v>
      </c>
      <c r="K500" s="79">
        <v>417130.9471130371</v>
      </c>
      <c r="L500" s="81"/>
      <c r="M500" s="81"/>
      <c r="N500" s="86"/>
      <c r="O500" s="61"/>
      <c r="P500" s="61"/>
      <c r="Q500" s="61"/>
      <c r="R500" s="61" t="str">
        <f t="shared" si="1"/>
        <v>2024</v>
      </c>
      <c r="S500" s="62">
        <f t="shared" si="2"/>
        <v>2</v>
      </c>
      <c r="T500" s="61" t="str">
        <f t="shared" si="3"/>
        <v>2024-Q1</v>
      </c>
      <c r="U500" s="63" t="str">
        <f t="shared" si="4"/>
        <v>2024-02</v>
      </c>
      <c r="V500" s="64" t="str">
        <f t="shared" si="5"/>
        <v>2024-H1</v>
      </c>
      <c r="W500" s="32"/>
      <c r="X500" s="32"/>
    </row>
    <row r="501">
      <c r="A501" s="77">
        <f>HYPERLINK("https://polkadot.subsquare.io/referenda/499", 499)</f>
        <v>499</v>
      </c>
      <c r="B501" s="40" t="s">
        <v>1179</v>
      </c>
      <c r="C501" s="40" t="s">
        <v>1851</v>
      </c>
      <c r="D501" s="78">
        <v>30000.0</v>
      </c>
      <c r="E501" s="79">
        <v>233341.62712097168</v>
      </c>
      <c r="F501" s="40" t="s">
        <v>1853</v>
      </c>
      <c r="G501" s="78">
        <v>4.3595244972515054E7</v>
      </c>
      <c r="H501" s="78">
        <v>2.530140256368919E7</v>
      </c>
      <c r="I501" s="80">
        <v>45334.0</v>
      </c>
      <c r="J501" s="80">
        <v>45359.0</v>
      </c>
      <c r="K501" s="79">
        <v>331091.30859375</v>
      </c>
      <c r="L501" s="70" t="s">
        <v>81</v>
      </c>
      <c r="M501" s="70" t="s">
        <v>87</v>
      </c>
      <c r="N501" s="61"/>
      <c r="O501" s="86"/>
      <c r="P501" s="86"/>
      <c r="Q501" s="86"/>
      <c r="R501" s="61" t="str">
        <f t="shared" si="1"/>
        <v>2024</v>
      </c>
      <c r="S501" s="62">
        <f t="shared" si="2"/>
        <v>3</v>
      </c>
      <c r="T501" s="61" t="str">
        <f t="shared" si="3"/>
        <v>2024-Q1</v>
      </c>
      <c r="U501" s="63" t="str">
        <f t="shared" si="4"/>
        <v>2024-03</v>
      </c>
      <c r="V501" s="64" t="str">
        <f t="shared" si="5"/>
        <v>2024-H1</v>
      </c>
      <c r="W501" s="32"/>
      <c r="X501" s="32"/>
    </row>
    <row r="502">
      <c r="A502" s="77">
        <f>HYPERLINK("https://polkadot.subsquare.io/referenda/500", 500)</f>
        <v>500</v>
      </c>
      <c r="B502" s="40" t="s">
        <v>2110</v>
      </c>
      <c r="C502" s="40" t="s">
        <v>1846</v>
      </c>
      <c r="D502" s="78">
        <v>44032.0</v>
      </c>
      <c r="E502" s="79">
        <v>342483.2841796875</v>
      </c>
      <c r="F502" s="40" t="s">
        <v>1853</v>
      </c>
      <c r="G502" s="78">
        <v>6168691.171117416</v>
      </c>
      <c r="H502" s="78">
        <v>1.9102702390154615E7</v>
      </c>
      <c r="I502" s="80">
        <v>45334.0</v>
      </c>
      <c r="J502" s="80">
        <v>45362.0</v>
      </c>
      <c r="K502" s="79">
        <v>508257.060546875</v>
      </c>
      <c r="L502" s="81"/>
      <c r="M502" s="81"/>
      <c r="N502" s="86"/>
      <c r="O502" s="61"/>
      <c r="P502" s="61"/>
      <c r="Q502" s="61"/>
      <c r="R502" s="61" t="str">
        <f t="shared" si="1"/>
        <v>2024</v>
      </c>
      <c r="S502" s="62">
        <f t="shared" si="2"/>
        <v>3</v>
      </c>
      <c r="T502" s="61" t="str">
        <f t="shared" si="3"/>
        <v>2024-Q1</v>
      </c>
      <c r="U502" s="63" t="str">
        <f t="shared" si="4"/>
        <v>2024-03</v>
      </c>
      <c r="V502" s="64" t="str">
        <f t="shared" si="5"/>
        <v>2024-H1</v>
      </c>
      <c r="W502" s="32"/>
      <c r="X502" s="32"/>
    </row>
    <row r="503">
      <c r="A503" s="77">
        <f>HYPERLINK("https://polkadot.subsquare.io/referenda/501", 501)</f>
        <v>501</v>
      </c>
      <c r="B503" s="40" t="s">
        <v>2111</v>
      </c>
      <c r="C503" s="40" t="s">
        <v>1846</v>
      </c>
      <c r="D503" s="78">
        <v>1000.0</v>
      </c>
      <c r="E503" s="79">
        <v>7778.054237365723</v>
      </c>
      <c r="F503" s="40" t="s">
        <v>1869</v>
      </c>
      <c r="G503" s="78">
        <v>2676.5</v>
      </c>
      <c r="H503" s="78">
        <v>3179159.277383572</v>
      </c>
      <c r="I503" s="80">
        <v>45334.0</v>
      </c>
      <c r="J503" s="80">
        <v>45342.0</v>
      </c>
      <c r="K503" s="79">
        <v>7563.416004180908</v>
      </c>
      <c r="L503" s="70"/>
      <c r="M503" s="70"/>
      <c r="N503" s="61"/>
      <c r="O503" s="86"/>
      <c r="P503" s="86"/>
      <c r="Q503" s="86"/>
      <c r="R503" s="61" t="str">
        <f t="shared" si="1"/>
        <v>2024</v>
      </c>
      <c r="S503" s="62">
        <f t="shared" si="2"/>
        <v>2</v>
      </c>
      <c r="T503" s="61" t="str">
        <f t="shared" si="3"/>
        <v>2024-Q1</v>
      </c>
      <c r="U503" s="63" t="str">
        <f t="shared" si="4"/>
        <v>2024-02</v>
      </c>
      <c r="V503" s="64" t="str">
        <f t="shared" si="5"/>
        <v>2024-H1</v>
      </c>
      <c r="W503" s="32"/>
      <c r="X503" s="32"/>
    </row>
    <row r="504">
      <c r="A504" s="77">
        <f>HYPERLINK("https://polkadot.subsquare.io/referenda/502", 502)</f>
        <v>502</v>
      </c>
      <c r="B504" s="40" t="s">
        <v>1180</v>
      </c>
      <c r="C504" s="40" t="s">
        <v>1851</v>
      </c>
      <c r="D504" s="78">
        <v>93962.490651</v>
      </c>
      <c r="E504" s="79">
        <v>730845.3485614477</v>
      </c>
      <c r="F504" s="40" t="s">
        <v>1853</v>
      </c>
      <c r="G504" s="78">
        <v>3.6828302610091045E7</v>
      </c>
      <c r="H504" s="78">
        <v>1165682.6549713127</v>
      </c>
      <c r="I504" s="80">
        <v>45334.0</v>
      </c>
      <c r="J504" s="80">
        <v>45359.0</v>
      </c>
      <c r="K504" s="79">
        <v>1037005.4662789197</v>
      </c>
      <c r="L504" s="81" t="s">
        <v>46</v>
      </c>
      <c r="M504" s="81" t="s">
        <v>108</v>
      </c>
      <c r="N504" s="86"/>
      <c r="O504" s="61"/>
      <c r="P504" s="61"/>
      <c r="Q504" s="61"/>
      <c r="R504" s="61" t="str">
        <f t="shared" si="1"/>
        <v>2024</v>
      </c>
      <c r="S504" s="62">
        <f t="shared" si="2"/>
        <v>3</v>
      </c>
      <c r="T504" s="61" t="str">
        <f t="shared" si="3"/>
        <v>2024-Q1</v>
      </c>
      <c r="U504" s="63" t="str">
        <f t="shared" si="4"/>
        <v>2024-03</v>
      </c>
      <c r="V504" s="64" t="str">
        <f t="shared" si="5"/>
        <v>2024-H1</v>
      </c>
      <c r="W504" s="32"/>
      <c r="X504" s="32"/>
    </row>
    <row r="505">
      <c r="A505" s="77">
        <f>HYPERLINK("https://polkadot.subsquare.io/referenda/503", 503)</f>
        <v>503</v>
      </c>
      <c r="B505" s="40" t="s">
        <v>1181</v>
      </c>
      <c r="C505" s="40" t="s">
        <v>1851</v>
      </c>
      <c r="D505" s="78">
        <v>52090.67</v>
      </c>
      <c r="E505" s="79">
        <v>398888.56686387537</v>
      </c>
      <c r="F505" s="40" t="s">
        <v>1853</v>
      </c>
      <c r="G505" s="78">
        <v>5.031454435451154E7</v>
      </c>
      <c r="H505" s="78">
        <v>6652881.660531809</v>
      </c>
      <c r="I505" s="80">
        <v>45335.0</v>
      </c>
      <c r="J505" s="80">
        <v>45359.0</v>
      </c>
      <c r="K505" s="79">
        <v>574892.2698608398</v>
      </c>
      <c r="L505" s="70" t="s">
        <v>48</v>
      </c>
      <c r="M505" s="70" t="s">
        <v>131</v>
      </c>
      <c r="N505" s="61"/>
      <c r="O505" s="86"/>
      <c r="P505" s="86"/>
      <c r="Q505" s="86"/>
      <c r="R505" s="61" t="str">
        <f t="shared" si="1"/>
        <v>2024</v>
      </c>
      <c r="S505" s="62">
        <f t="shared" si="2"/>
        <v>3</v>
      </c>
      <c r="T505" s="61" t="str">
        <f t="shared" si="3"/>
        <v>2024-Q1</v>
      </c>
      <c r="U505" s="63" t="str">
        <f t="shared" si="4"/>
        <v>2024-03</v>
      </c>
      <c r="V505" s="64" t="str">
        <f t="shared" si="5"/>
        <v>2024-H1</v>
      </c>
      <c r="W505" s="32"/>
      <c r="X505" s="32"/>
    </row>
    <row r="506">
      <c r="A506" s="77">
        <f>HYPERLINK("https://polkadot.subsquare.io/referenda/504", 504)</f>
        <v>504</v>
      </c>
      <c r="B506" s="40" t="s">
        <v>1182</v>
      </c>
      <c r="C506" s="40" t="s">
        <v>1851</v>
      </c>
      <c r="D506" s="78">
        <v>217.2437202987</v>
      </c>
      <c r="E506" s="79">
        <v>1663.5615600668034</v>
      </c>
      <c r="F506" s="40" t="s">
        <v>982</v>
      </c>
      <c r="G506" s="78">
        <v>2741623.0037323334</v>
      </c>
      <c r="H506" s="78">
        <v>348274.9235388797</v>
      </c>
      <c r="I506" s="80">
        <v>45335.0</v>
      </c>
      <c r="J506" s="80">
        <v>45338.0</v>
      </c>
      <c r="K506" s="79">
        <v>1744.283454724015</v>
      </c>
      <c r="L506" s="81" t="s">
        <v>46</v>
      </c>
      <c r="M506" s="81" t="s">
        <v>108</v>
      </c>
      <c r="N506" s="86"/>
      <c r="O506" s="61"/>
      <c r="P506" s="61"/>
      <c r="Q506" s="61"/>
      <c r="R506" s="61" t="str">
        <f t="shared" si="1"/>
        <v>2024</v>
      </c>
      <c r="S506" s="62">
        <f t="shared" si="2"/>
        <v>2</v>
      </c>
      <c r="T506" s="61" t="str">
        <f t="shared" si="3"/>
        <v>2024-Q1</v>
      </c>
      <c r="U506" s="63" t="str">
        <f t="shared" si="4"/>
        <v>2024-02</v>
      </c>
      <c r="V506" s="64" t="str">
        <f t="shared" si="5"/>
        <v>2024-H1</v>
      </c>
      <c r="W506" s="32"/>
      <c r="X506" s="32"/>
    </row>
    <row r="507">
      <c r="A507" s="77">
        <f>HYPERLINK("https://polkadot.subsquare.io/referenda/505", 505)</f>
        <v>505</v>
      </c>
      <c r="B507" s="40" t="s">
        <v>2112</v>
      </c>
      <c r="C507" s="40" t="s">
        <v>1851</v>
      </c>
      <c r="D507" s="78">
        <v>0.0</v>
      </c>
      <c r="E507" s="79">
        <v>0.0</v>
      </c>
      <c r="F507" s="40" t="s">
        <v>1852</v>
      </c>
      <c r="G507" s="78">
        <v>4.06685615959131E7</v>
      </c>
      <c r="H507" s="78">
        <v>10.0</v>
      </c>
      <c r="I507" s="80">
        <v>45336.0</v>
      </c>
      <c r="J507" s="80">
        <v>45355.0</v>
      </c>
      <c r="K507" s="79">
        <v>0.0</v>
      </c>
      <c r="L507" s="70"/>
      <c r="M507" s="70"/>
      <c r="N507" s="61"/>
      <c r="O507" s="86"/>
      <c r="P507" s="86"/>
      <c r="Q507" s="86"/>
      <c r="R507" s="61" t="str">
        <f t="shared" si="1"/>
        <v>2024</v>
      </c>
      <c r="S507" s="62">
        <f t="shared" si="2"/>
        <v>3</v>
      </c>
      <c r="T507" s="61" t="str">
        <f t="shared" si="3"/>
        <v>2024-Q1</v>
      </c>
      <c r="U507" s="63" t="str">
        <f t="shared" si="4"/>
        <v>2024-03</v>
      </c>
      <c r="V507" s="64" t="str">
        <f t="shared" si="5"/>
        <v>2024-H1</v>
      </c>
      <c r="W507" s="32"/>
      <c r="X507" s="32"/>
    </row>
    <row r="508">
      <c r="A508" s="77">
        <f>HYPERLINK("https://polkadot.subsquare.io/referenda/506", 506)</f>
        <v>506</v>
      </c>
      <c r="B508" s="40" t="s">
        <v>1183</v>
      </c>
      <c r="C508" s="40" t="s">
        <v>1851</v>
      </c>
      <c r="D508" s="78">
        <v>50000.0</v>
      </c>
      <c r="E508" s="79">
        <v>385217.6904678345</v>
      </c>
      <c r="F508" s="40" t="s">
        <v>1853</v>
      </c>
      <c r="G508" s="78">
        <v>6.622422831225044E7</v>
      </c>
      <c r="H508" s="78">
        <v>1.8293311336277544E7</v>
      </c>
      <c r="I508" s="80">
        <v>45336.0</v>
      </c>
      <c r="J508" s="80">
        <v>45360.0</v>
      </c>
      <c r="K508" s="79">
        <v>536331.2721252441</v>
      </c>
      <c r="L508" s="81" t="s">
        <v>81</v>
      </c>
      <c r="M508" s="81" t="s">
        <v>88</v>
      </c>
      <c r="N508" s="86"/>
      <c r="O508" s="61"/>
      <c r="P508" s="61"/>
      <c r="Q508" s="61"/>
      <c r="R508" s="61" t="str">
        <f t="shared" si="1"/>
        <v>2024</v>
      </c>
      <c r="S508" s="62">
        <f t="shared" si="2"/>
        <v>3</v>
      </c>
      <c r="T508" s="61" t="str">
        <f t="shared" si="3"/>
        <v>2024-Q1</v>
      </c>
      <c r="U508" s="63" t="str">
        <f t="shared" si="4"/>
        <v>2024-03</v>
      </c>
      <c r="V508" s="64" t="str">
        <f t="shared" si="5"/>
        <v>2024-H1</v>
      </c>
      <c r="W508" s="32"/>
      <c r="X508" s="32"/>
    </row>
    <row r="509">
      <c r="A509" s="77">
        <f>HYPERLINK("https://polkadot.subsquare.io/referenda/507", 507)</f>
        <v>507</v>
      </c>
      <c r="B509" s="40" t="s">
        <v>2113</v>
      </c>
      <c r="C509" s="40" t="s">
        <v>1846</v>
      </c>
      <c r="D509" s="78">
        <v>310930.0</v>
      </c>
      <c r="E509" s="79">
        <v>2395514.7299432755</v>
      </c>
      <c r="F509" s="40" t="s">
        <v>1855</v>
      </c>
      <c r="G509" s="78">
        <v>1.6979236869608227E7</v>
      </c>
      <c r="H509" s="78">
        <v>3.98226767309893E7</v>
      </c>
      <c r="I509" s="80">
        <v>45336.0</v>
      </c>
      <c r="J509" s="80">
        <v>45367.0</v>
      </c>
      <c r="K509" s="79">
        <v>2725102.2913074493</v>
      </c>
      <c r="L509" s="70"/>
      <c r="M509" s="70"/>
      <c r="N509" s="61"/>
      <c r="O509" s="86"/>
      <c r="P509" s="86"/>
      <c r="Q509" s="86"/>
      <c r="R509" s="61" t="str">
        <f t="shared" si="1"/>
        <v>2024</v>
      </c>
      <c r="S509" s="62">
        <f t="shared" si="2"/>
        <v>3</v>
      </c>
      <c r="T509" s="61" t="str">
        <f t="shared" si="3"/>
        <v>2024-Q1</v>
      </c>
      <c r="U509" s="63" t="str">
        <f t="shared" si="4"/>
        <v>2024-03</v>
      </c>
      <c r="V509" s="64" t="str">
        <f t="shared" si="5"/>
        <v>2024-H1</v>
      </c>
      <c r="W509" s="32"/>
      <c r="X509" s="32"/>
    </row>
    <row r="510">
      <c r="A510" s="77">
        <f>HYPERLINK("https://polkadot.subsquare.io/referenda/508", 508)</f>
        <v>508</v>
      </c>
      <c r="B510" s="40" t="s">
        <v>1184</v>
      </c>
      <c r="C510" s="40" t="s">
        <v>1851</v>
      </c>
      <c r="D510" s="78">
        <v>11275.0</v>
      </c>
      <c r="E510" s="79">
        <v>86866.58920049667</v>
      </c>
      <c r="F510" s="40" t="s">
        <v>1853</v>
      </c>
      <c r="G510" s="78">
        <v>2.50131365889723E7</v>
      </c>
      <c r="H510" s="78">
        <v>7257809.253490025</v>
      </c>
      <c r="I510" s="80">
        <v>45336.0</v>
      </c>
      <c r="J510" s="80">
        <v>45363.0</v>
      </c>
      <c r="K510" s="79">
        <v>122202.55012512207</v>
      </c>
      <c r="L510" s="81" t="s">
        <v>81</v>
      </c>
      <c r="M510" s="81" t="s">
        <v>88</v>
      </c>
      <c r="N510" s="86"/>
      <c r="O510" s="61"/>
      <c r="P510" s="61"/>
      <c r="Q510" s="61"/>
      <c r="R510" s="61" t="str">
        <f t="shared" si="1"/>
        <v>2024</v>
      </c>
      <c r="S510" s="62">
        <f t="shared" si="2"/>
        <v>3</v>
      </c>
      <c r="T510" s="61" t="str">
        <f t="shared" si="3"/>
        <v>2024-Q1</v>
      </c>
      <c r="U510" s="63" t="str">
        <f t="shared" si="4"/>
        <v>2024-03</v>
      </c>
      <c r="V510" s="64" t="str">
        <f t="shared" si="5"/>
        <v>2024-H1</v>
      </c>
      <c r="W510" s="32"/>
      <c r="X510" s="32"/>
    </row>
    <row r="511">
      <c r="A511" s="77">
        <f>HYPERLINK("https://polkadot.subsquare.io/referenda/509", 509)</f>
        <v>509</v>
      </c>
      <c r="B511" s="40" t="s">
        <v>2114</v>
      </c>
      <c r="C511" s="40" t="s">
        <v>1943</v>
      </c>
      <c r="D511" s="78">
        <v>0.0</v>
      </c>
      <c r="E511" s="79">
        <v>0.0</v>
      </c>
      <c r="F511" s="40" t="s">
        <v>1853</v>
      </c>
      <c r="G511" s="78">
        <v>5.327197928171667E7</v>
      </c>
      <c r="H511" s="78">
        <v>1.9611189027694996E7</v>
      </c>
      <c r="I511" s="80">
        <v>45337.0</v>
      </c>
      <c r="J511" s="80">
        <v>45356.0</v>
      </c>
      <c r="K511" s="79">
        <v>0.0</v>
      </c>
      <c r="L511" s="70"/>
      <c r="M511" s="70"/>
      <c r="N511" s="61"/>
      <c r="O511" s="86"/>
      <c r="P511" s="86"/>
      <c r="Q511" s="86"/>
      <c r="R511" s="61" t="str">
        <f t="shared" si="1"/>
        <v>2024</v>
      </c>
      <c r="S511" s="62">
        <f t="shared" si="2"/>
        <v>3</v>
      </c>
      <c r="T511" s="61" t="str">
        <f t="shared" si="3"/>
        <v>2024-Q1</v>
      </c>
      <c r="U511" s="63" t="str">
        <f t="shared" si="4"/>
        <v>2024-03</v>
      </c>
      <c r="V511" s="64" t="str">
        <f t="shared" si="5"/>
        <v>2024-H1</v>
      </c>
      <c r="W511" s="32"/>
      <c r="X511" s="32"/>
    </row>
    <row r="512">
      <c r="A512" s="77">
        <f>HYPERLINK("https://polkadot.subsquare.io/referenda/510", 510)</f>
        <v>510</v>
      </c>
      <c r="B512" s="40" t="s">
        <v>2115</v>
      </c>
      <c r="C512" s="40" t="s">
        <v>1943</v>
      </c>
      <c r="D512" s="78">
        <v>0.0</v>
      </c>
      <c r="E512" s="79">
        <v>0.0</v>
      </c>
      <c r="F512" s="40" t="s">
        <v>1853</v>
      </c>
      <c r="G512" s="78">
        <v>5.350181199562601E7</v>
      </c>
      <c r="H512" s="78">
        <v>7427176.814073392</v>
      </c>
      <c r="I512" s="80">
        <v>45337.0</v>
      </c>
      <c r="J512" s="80">
        <v>45356.0</v>
      </c>
      <c r="K512" s="79">
        <v>0.0</v>
      </c>
      <c r="L512" s="81"/>
      <c r="M512" s="81"/>
      <c r="N512" s="86"/>
      <c r="O512" s="61"/>
      <c r="P512" s="61"/>
      <c r="Q512" s="61"/>
      <c r="R512" s="61" t="str">
        <f t="shared" si="1"/>
        <v>2024</v>
      </c>
      <c r="S512" s="62">
        <f t="shared" si="2"/>
        <v>3</v>
      </c>
      <c r="T512" s="61" t="str">
        <f t="shared" si="3"/>
        <v>2024-Q1</v>
      </c>
      <c r="U512" s="63" t="str">
        <f t="shared" si="4"/>
        <v>2024-03</v>
      </c>
      <c r="V512" s="64" t="str">
        <f t="shared" si="5"/>
        <v>2024-H1</v>
      </c>
      <c r="W512" s="32"/>
      <c r="X512" s="32"/>
    </row>
    <row r="513">
      <c r="A513" s="77">
        <f>HYPERLINK("https://polkadot.subsquare.io/referenda/511", 511)</f>
        <v>511</v>
      </c>
      <c r="B513" s="40" t="s">
        <v>2116</v>
      </c>
      <c r="C513" s="40" t="s">
        <v>1846</v>
      </c>
      <c r="D513" s="78">
        <v>923.38</v>
      </c>
      <c r="E513" s="79">
        <v>7248.587509374618</v>
      </c>
      <c r="F513" s="40" t="s">
        <v>1869</v>
      </c>
      <c r="G513" s="78">
        <v>716434.4270274406</v>
      </c>
      <c r="H513" s="78">
        <v>2722032.897022489</v>
      </c>
      <c r="I513" s="80">
        <v>45338.0</v>
      </c>
      <c r="J513" s="80">
        <v>45345.0</v>
      </c>
      <c r="K513" s="79">
        <v>7315.996848917008</v>
      </c>
      <c r="L513" s="70"/>
      <c r="M513" s="70"/>
      <c r="N513" s="61"/>
      <c r="O513" s="86"/>
      <c r="P513" s="86"/>
      <c r="Q513" s="86"/>
      <c r="R513" s="61" t="str">
        <f t="shared" si="1"/>
        <v>2024</v>
      </c>
      <c r="S513" s="62">
        <f t="shared" si="2"/>
        <v>2</v>
      </c>
      <c r="T513" s="61" t="str">
        <f t="shared" si="3"/>
        <v>2024-Q1</v>
      </c>
      <c r="U513" s="63" t="str">
        <f t="shared" si="4"/>
        <v>2024-02</v>
      </c>
      <c r="V513" s="64" t="str">
        <f t="shared" si="5"/>
        <v>2024-H1</v>
      </c>
      <c r="W513" s="32"/>
      <c r="X513" s="32"/>
    </row>
    <row r="514">
      <c r="A514" s="77">
        <f>HYPERLINK("https://polkadot.subsquare.io/referenda/512", 512)</f>
        <v>512</v>
      </c>
      <c r="B514" s="40" t="s">
        <v>1185</v>
      </c>
      <c r="C514" s="40" t="s">
        <v>1851</v>
      </c>
      <c r="D514" s="78">
        <v>1000.0</v>
      </c>
      <c r="E514" s="79">
        <v>7850.059032440186</v>
      </c>
      <c r="F514" s="40" t="s">
        <v>1869</v>
      </c>
      <c r="G514" s="78">
        <v>3.9545297569549695E7</v>
      </c>
      <c r="H514" s="78">
        <v>343269.8584736719</v>
      </c>
      <c r="I514" s="80">
        <v>45338.0</v>
      </c>
      <c r="J514" s="80">
        <v>45340.0</v>
      </c>
      <c r="K514" s="79">
        <v>7468.303203582764</v>
      </c>
      <c r="L514" s="81" t="s">
        <v>81</v>
      </c>
      <c r="M514" s="85" t="s">
        <v>86</v>
      </c>
      <c r="N514" s="86"/>
      <c r="O514" s="61"/>
      <c r="P514" s="61"/>
      <c r="Q514" s="61"/>
      <c r="R514" s="61" t="str">
        <f t="shared" si="1"/>
        <v>2024</v>
      </c>
      <c r="S514" s="62">
        <f t="shared" si="2"/>
        <v>2</v>
      </c>
      <c r="T514" s="61" t="str">
        <f t="shared" si="3"/>
        <v>2024-Q1</v>
      </c>
      <c r="U514" s="63" t="str">
        <f t="shared" si="4"/>
        <v>2024-02</v>
      </c>
      <c r="V514" s="64" t="str">
        <f t="shared" si="5"/>
        <v>2024-H1</v>
      </c>
      <c r="W514" s="32"/>
      <c r="X514" s="32"/>
    </row>
    <row r="515">
      <c r="A515" s="77">
        <f>HYPERLINK("https://polkadot.subsquare.io/referenda/513", 513)</f>
        <v>513</v>
      </c>
      <c r="B515" s="40" t="s">
        <v>2117</v>
      </c>
      <c r="C515" s="40" t="s">
        <v>1851</v>
      </c>
      <c r="D515" s="78">
        <v>0.0</v>
      </c>
      <c r="E515" s="79">
        <v>0.0</v>
      </c>
      <c r="F515" s="40" t="s">
        <v>1868</v>
      </c>
      <c r="G515" s="78">
        <v>5366620.89512665</v>
      </c>
      <c r="H515" s="78">
        <v>36531.8376253017</v>
      </c>
      <c r="I515" s="80">
        <v>45339.0</v>
      </c>
      <c r="J515" s="80">
        <v>45365.0</v>
      </c>
      <c r="K515" s="79">
        <v>0.0</v>
      </c>
      <c r="L515" s="70"/>
      <c r="M515" s="70"/>
      <c r="N515" s="61"/>
      <c r="O515" s="86"/>
      <c r="P515" s="86"/>
      <c r="Q515" s="86"/>
      <c r="R515" s="61" t="str">
        <f t="shared" si="1"/>
        <v>2024</v>
      </c>
      <c r="S515" s="62">
        <f t="shared" si="2"/>
        <v>3</v>
      </c>
      <c r="T515" s="61" t="str">
        <f t="shared" si="3"/>
        <v>2024-Q1</v>
      </c>
      <c r="U515" s="63" t="str">
        <f t="shared" si="4"/>
        <v>2024-03</v>
      </c>
      <c r="V515" s="64" t="str">
        <f t="shared" si="5"/>
        <v>2024-H1</v>
      </c>
      <c r="W515" s="32"/>
      <c r="X515" s="32"/>
    </row>
    <row r="516">
      <c r="A516" s="77">
        <f>HYPERLINK("https://polkadot.subsquare.io/referenda/514", 514)</f>
        <v>514</v>
      </c>
      <c r="B516" s="40" t="s">
        <v>2118</v>
      </c>
      <c r="C516" s="40" t="s">
        <v>2119</v>
      </c>
      <c r="D516" s="78">
        <v>290000.0</v>
      </c>
      <c r="E516" s="79">
        <v>2242629.680633545</v>
      </c>
      <c r="F516" s="40" t="s">
        <v>1855</v>
      </c>
      <c r="G516" s="78">
        <v>6.822262387859622E7</v>
      </c>
      <c r="H516" s="78">
        <v>2957130.8729039244</v>
      </c>
      <c r="I516" s="80">
        <v>45339.0</v>
      </c>
      <c r="J516" s="80">
        <v>45363.0</v>
      </c>
      <c r="K516" s="79">
        <v>3347441.577911377</v>
      </c>
      <c r="L516" s="81" t="s">
        <v>81</v>
      </c>
      <c r="M516" s="81" t="s">
        <v>82</v>
      </c>
      <c r="N516" s="86" t="s">
        <v>1881</v>
      </c>
      <c r="O516" s="61"/>
      <c r="P516" s="61"/>
      <c r="Q516" s="61" t="s">
        <v>2120</v>
      </c>
      <c r="R516" s="61" t="str">
        <f t="shared" si="1"/>
        <v>2024</v>
      </c>
      <c r="S516" s="62">
        <f t="shared" si="2"/>
        <v>3</v>
      </c>
      <c r="T516" s="61" t="str">
        <f t="shared" si="3"/>
        <v>2024-Q1</v>
      </c>
      <c r="U516" s="63" t="str">
        <f t="shared" si="4"/>
        <v>2024-03</v>
      </c>
      <c r="V516" s="64" t="str">
        <f t="shared" si="5"/>
        <v>2024-H1</v>
      </c>
      <c r="W516" s="32"/>
      <c r="X516" s="32"/>
    </row>
    <row r="517">
      <c r="A517" s="77">
        <f>HYPERLINK("https://polkadot.subsquare.io/referenda/515", 515)</f>
        <v>515</v>
      </c>
      <c r="B517" s="40" t="s">
        <v>2121</v>
      </c>
      <c r="C517" s="40" t="s">
        <v>1846</v>
      </c>
      <c r="D517" s="78">
        <v>0.0</v>
      </c>
      <c r="E517" s="79">
        <v>0.0</v>
      </c>
      <c r="F517" s="40" t="s">
        <v>1853</v>
      </c>
      <c r="G517" s="78">
        <v>12187.6238876499</v>
      </c>
      <c r="H517" s="78">
        <v>3.1551060377428513E7</v>
      </c>
      <c r="I517" s="80">
        <v>45340.0</v>
      </c>
      <c r="J517" s="80">
        <v>45369.0</v>
      </c>
      <c r="K517" s="79">
        <v>0.0</v>
      </c>
      <c r="L517" s="70"/>
      <c r="M517" s="70"/>
      <c r="N517" s="61"/>
      <c r="O517" s="86"/>
      <c r="P517" s="86"/>
      <c r="Q517" s="86"/>
      <c r="R517" s="61" t="str">
        <f t="shared" si="1"/>
        <v>2024</v>
      </c>
      <c r="S517" s="62">
        <f t="shared" si="2"/>
        <v>3</v>
      </c>
      <c r="T517" s="61" t="str">
        <f t="shared" si="3"/>
        <v>2024-Q1</v>
      </c>
      <c r="U517" s="63" t="str">
        <f t="shared" si="4"/>
        <v>2024-03</v>
      </c>
      <c r="V517" s="64" t="str">
        <f t="shared" si="5"/>
        <v>2024-H1</v>
      </c>
      <c r="W517" s="32"/>
      <c r="X517" s="32"/>
    </row>
    <row r="518">
      <c r="A518" s="77">
        <f>HYPERLINK("https://polkadot.subsquare.io/referenda/516", 516)</f>
        <v>516</v>
      </c>
      <c r="B518" s="40" t="s">
        <v>2122</v>
      </c>
      <c r="C518" s="40" t="s">
        <v>1851</v>
      </c>
      <c r="D518" s="78">
        <v>0.0</v>
      </c>
      <c r="E518" s="79">
        <v>0.0</v>
      </c>
      <c r="F518" s="40" t="s">
        <v>1866</v>
      </c>
      <c r="G518" s="78">
        <v>2.2788592006619725E7</v>
      </c>
      <c r="H518" s="78">
        <v>0.0</v>
      </c>
      <c r="I518" s="80">
        <v>45341.0</v>
      </c>
      <c r="J518" s="80">
        <v>45377.0</v>
      </c>
      <c r="K518" s="79">
        <v>0.0</v>
      </c>
      <c r="L518" s="81"/>
      <c r="M518" s="81"/>
      <c r="N518" s="86"/>
      <c r="O518" s="61"/>
      <c r="P518" s="61"/>
      <c r="Q518" s="61"/>
      <c r="R518" s="61" t="str">
        <f t="shared" si="1"/>
        <v>2024</v>
      </c>
      <c r="S518" s="62">
        <f t="shared" si="2"/>
        <v>3</v>
      </c>
      <c r="T518" s="61" t="str">
        <f t="shared" si="3"/>
        <v>2024-Q1</v>
      </c>
      <c r="U518" s="63" t="str">
        <f t="shared" si="4"/>
        <v>2024-03</v>
      </c>
      <c r="V518" s="64" t="str">
        <f t="shared" si="5"/>
        <v>2024-H1</v>
      </c>
      <c r="W518" s="32"/>
      <c r="X518" s="32"/>
    </row>
    <row r="519">
      <c r="A519" s="77">
        <f>HYPERLINK("https://polkadot.subsquare.io/referenda/517", 517)</f>
        <v>517</v>
      </c>
      <c r="B519" s="40" t="s">
        <v>2123</v>
      </c>
      <c r="C519" s="40" t="s">
        <v>1846</v>
      </c>
      <c r="D519" s="78">
        <v>5986.39</v>
      </c>
      <c r="E519" s="79">
        <v>44795.50434894562</v>
      </c>
      <c r="F519" s="40" t="s">
        <v>1848</v>
      </c>
      <c r="G519" s="78">
        <v>5030.211</v>
      </c>
      <c r="H519" s="78">
        <v>7.252427399529381E7</v>
      </c>
      <c r="I519" s="80">
        <v>45341.0</v>
      </c>
      <c r="J519" s="80">
        <v>45370.0</v>
      </c>
      <c r="K519" s="79">
        <v>54912.51806415558</v>
      </c>
      <c r="L519" s="70"/>
      <c r="M519" s="70"/>
      <c r="N519" s="61"/>
      <c r="O519" s="86"/>
      <c r="P519" s="86"/>
      <c r="Q519" s="86"/>
      <c r="R519" s="61" t="str">
        <f t="shared" si="1"/>
        <v>2024</v>
      </c>
      <c r="S519" s="62">
        <f t="shared" si="2"/>
        <v>3</v>
      </c>
      <c r="T519" s="61" t="str">
        <f t="shared" si="3"/>
        <v>2024-Q1</v>
      </c>
      <c r="U519" s="63" t="str">
        <f t="shared" si="4"/>
        <v>2024-03</v>
      </c>
      <c r="V519" s="64" t="str">
        <f t="shared" si="5"/>
        <v>2024-H1</v>
      </c>
      <c r="W519" s="32"/>
      <c r="X519" s="32"/>
    </row>
    <row r="520">
      <c r="A520" s="77">
        <f>HYPERLINK("https://polkadot.subsquare.io/referenda/518", 518)</f>
        <v>518</v>
      </c>
      <c r="B520" s="40" t="s">
        <v>1186</v>
      </c>
      <c r="C520" s="40" t="s">
        <v>1851</v>
      </c>
      <c r="D520" s="78">
        <v>34540.0</v>
      </c>
      <c r="E520" s="79">
        <v>258459.05799865723</v>
      </c>
      <c r="F520" s="40" t="s">
        <v>1853</v>
      </c>
      <c r="G520" s="78">
        <v>3.6588895925391264E7</v>
      </c>
      <c r="H520" s="78">
        <v>1.2985730966137746E7</v>
      </c>
      <c r="I520" s="80">
        <v>45341.0</v>
      </c>
      <c r="J520" s="80">
        <v>45382.0</v>
      </c>
      <c r="K520" s="79">
        <v>296305.302734375</v>
      </c>
      <c r="L520" s="81" t="s">
        <v>46</v>
      </c>
      <c r="M520" s="81" t="s">
        <v>102</v>
      </c>
      <c r="N520" s="86"/>
      <c r="O520" s="61"/>
      <c r="P520" s="61"/>
      <c r="Q520" s="61"/>
      <c r="R520" s="61" t="str">
        <f t="shared" si="1"/>
        <v>2024</v>
      </c>
      <c r="S520" s="62">
        <f t="shared" si="2"/>
        <v>3</v>
      </c>
      <c r="T520" s="61" t="str">
        <f t="shared" si="3"/>
        <v>2024-Q1</v>
      </c>
      <c r="U520" s="63" t="str">
        <f t="shared" si="4"/>
        <v>2024-03</v>
      </c>
      <c r="V520" s="64" t="str">
        <f t="shared" si="5"/>
        <v>2024-H1</v>
      </c>
      <c r="W520" s="32"/>
      <c r="X520" s="32"/>
    </row>
    <row r="521">
      <c r="A521" s="77">
        <f>HYPERLINK("https://polkadot.subsquare.io/referenda/519", 519)</f>
        <v>519</v>
      </c>
      <c r="B521" s="40" t="s">
        <v>2124</v>
      </c>
      <c r="C521" s="40" t="s">
        <v>1851</v>
      </c>
      <c r="D521" s="78">
        <v>0.0</v>
      </c>
      <c r="E521" s="79">
        <v>0.0</v>
      </c>
      <c r="F521" s="40" t="s">
        <v>982</v>
      </c>
      <c r="G521" s="78">
        <v>4965874.744405296</v>
      </c>
      <c r="H521" s="78">
        <v>0.0</v>
      </c>
      <c r="I521" s="80">
        <v>45342.0</v>
      </c>
      <c r="J521" s="80">
        <v>45344.0</v>
      </c>
      <c r="K521" s="79">
        <v>0.0</v>
      </c>
      <c r="L521" s="70" t="s">
        <v>49</v>
      </c>
      <c r="M521" s="70" t="s">
        <v>146</v>
      </c>
      <c r="N521" s="61"/>
      <c r="O521" s="86"/>
      <c r="P521" s="86"/>
      <c r="Q521" s="86"/>
      <c r="R521" s="61" t="str">
        <f t="shared" si="1"/>
        <v>2024</v>
      </c>
      <c r="S521" s="62">
        <f t="shared" si="2"/>
        <v>2</v>
      </c>
      <c r="T521" s="61" t="str">
        <f t="shared" si="3"/>
        <v>2024-Q1</v>
      </c>
      <c r="U521" s="63" t="str">
        <f t="shared" si="4"/>
        <v>2024-02</v>
      </c>
      <c r="V521" s="64" t="str">
        <f t="shared" si="5"/>
        <v>2024-H1</v>
      </c>
      <c r="W521" s="32"/>
      <c r="X521" s="32"/>
    </row>
    <row r="522">
      <c r="A522" s="77">
        <f>HYPERLINK("https://polkadot.subsquare.io/referenda/520", 520)</f>
        <v>520</v>
      </c>
      <c r="B522" s="40" t="s">
        <v>1187</v>
      </c>
      <c r="C522" s="40" t="s">
        <v>1851</v>
      </c>
      <c r="D522" s="78">
        <v>90.0</v>
      </c>
      <c r="E522" s="79">
        <v>702.84583568573</v>
      </c>
      <c r="F522" s="40" t="s">
        <v>982</v>
      </c>
      <c r="G522" s="78">
        <v>4424404.1293616155</v>
      </c>
      <c r="H522" s="78">
        <v>2426.0</v>
      </c>
      <c r="I522" s="80">
        <v>45343.0</v>
      </c>
      <c r="J522" s="80">
        <v>45346.0</v>
      </c>
      <c r="K522" s="79">
        <v>729.3909072875977</v>
      </c>
      <c r="L522" s="81" t="s">
        <v>81</v>
      </c>
      <c r="M522" s="85" t="s">
        <v>86</v>
      </c>
      <c r="N522" s="86"/>
      <c r="O522" s="61"/>
      <c r="P522" s="61"/>
      <c r="Q522" s="61"/>
      <c r="R522" s="61" t="str">
        <f t="shared" si="1"/>
        <v>2024</v>
      </c>
      <c r="S522" s="62">
        <f t="shared" si="2"/>
        <v>2</v>
      </c>
      <c r="T522" s="61" t="str">
        <f t="shared" si="3"/>
        <v>2024-Q1</v>
      </c>
      <c r="U522" s="63" t="str">
        <f t="shared" si="4"/>
        <v>2024-02</v>
      </c>
      <c r="V522" s="64" t="str">
        <f t="shared" si="5"/>
        <v>2024-H1</v>
      </c>
      <c r="W522" s="32"/>
      <c r="X522" s="32"/>
    </row>
    <row r="523">
      <c r="A523" s="77">
        <f>HYPERLINK("https://polkadot.subsquare.io/referenda/521", 521)</f>
        <v>521</v>
      </c>
      <c r="B523" s="40" t="s">
        <v>2125</v>
      </c>
      <c r="C523" s="40" t="s">
        <v>1846</v>
      </c>
      <c r="D523" s="78">
        <v>1500.0</v>
      </c>
      <c r="E523" s="79">
        <v>11884.592771530151</v>
      </c>
      <c r="F523" s="40" t="s">
        <v>1848</v>
      </c>
      <c r="G523" s="78">
        <v>27572.1915504368</v>
      </c>
      <c r="H523" s="78">
        <v>3.5034033163067766E7</v>
      </c>
      <c r="I523" s="80">
        <v>45344.0</v>
      </c>
      <c r="J523" s="80">
        <v>45372.0</v>
      </c>
      <c r="K523" s="79">
        <v>14053.964138031006</v>
      </c>
      <c r="L523" s="70"/>
      <c r="M523" s="70"/>
      <c r="N523" s="61"/>
      <c r="O523" s="86"/>
      <c r="P523" s="86"/>
      <c r="Q523" s="86"/>
      <c r="R523" s="61" t="str">
        <f t="shared" si="1"/>
        <v>2024</v>
      </c>
      <c r="S523" s="62">
        <f t="shared" si="2"/>
        <v>3</v>
      </c>
      <c r="T523" s="61" t="str">
        <f t="shared" si="3"/>
        <v>2024-Q1</v>
      </c>
      <c r="U523" s="63" t="str">
        <f t="shared" si="4"/>
        <v>2024-03</v>
      </c>
      <c r="V523" s="64" t="str">
        <f t="shared" si="5"/>
        <v>2024-H1</v>
      </c>
      <c r="W523" s="32"/>
      <c r="X523" s="32"/>
    </row>
    <row r="524">
      <c r="A524" s="77">
        <f>HYPERLINK("https://polkadot.subsquare.io/referenda/522", 522)</f>
        <v>522</v>
      </c>
      <c r="B524" s="40" t="s">
        <v>2126</v>
      </c>
      <c r="C524" s="40" t="s">
        <v>1846</v>
      </c>
      <c r="D524" s="78">
        <v>8.0E-8</v>
      </c>
      <c r="E524" s="79">
        <v>6.338449478149414E-7</v>
      </c>
      <c r="F524" s="40" t="s">
        <v>1869</v>
      </c>
      <c r="G524" s="78">
        <v>1536.0</v>
      </c>
      <c r="H524" s="78">
        <v>3.2649877025333583E7</v>
      </c>
      <c r="I524" s="80">
        <v>45344.0</v>
      </c>
      <c r="J524" s="80">
        <v>45351.0</v>
      </c>
      <c r="K524" s="79">
        <v>7.837951660156251E-7</v>
      </c>
      <c r="L524" s="81"/>
      <c r="M524" s="81"/>
      <c r="N524" s="86"/>
      <c r="O524" s="61"/>
      <c r="P524" s="61"/>
      <c r="Q524" s="61"/>
      <c r="R524" s="61" t="str">
        <f t="shared" si="1"/>
        <v>2024</v>
      </c>
      <c r="S524" s="62">
        <f t="shared" si="2"/>
        <v>2</v>
      </c>
      <c r="T524" s="61" t="str">
        <f t="shared" si="3"/>
        <v>2024-Q1</v>
      </c>
      <c r="U524" s="63" t="str">
        <f t="shared" si="4"/>
        <v>2024-02</v>
      </c>
      <c r="V524" s="64" t="str">
        <f t="shared" si="5"/>
        <v>2024-H1</v>
      </c>
      <c r="W524" s="32"/>
      <c r="X524" s="32"/>
    </row>
    <row r="525">
      <c r="A525" s="77">
        <f>HYPERLINK("https://polkadot.subsquare.io/referenda/523", 523)</f>
        <v>523</v>
      </c>
      <c r="B525" s="40" t="s">
        <v>2127</v>
      </c>
      <c r="C525" s="40" t="s">
        <v>1846</v>
      </c>
      <c r="D525" s="78">
        <v>8260.0</v>
      </c>
      <c r="E525" s="79">
        <v>65444.4908618927</v>
      </c>
      <c r="F525" s="40" t="s">
        <v>1848</v>
      </c>
      <c r="G525" s="78">
        <v>30061.7151</v>
      </c>
      <c r="H525" s="78">
        <v>4.7335480921400055E7</v>
      </c>
      <c r="I525" s="80">
        <v>45345.0</v>
      </c>
      <c r="J525" s="80">
        <v>45373.0</v>
      </c>
      <c r="K525" s="79">
        <v>80432.73624420166</v>
      </c>
      <c r="L525" s="70"/>
      <c r="M525" s="70"/>
      <c r="N525" s="61"/>
      <c r="O525" s="86"/>
      <c r="P525" s="86"/>
      <c r="Q525" s="86"/>
      <c r="R525" s="61" t="str">
        <f t="shared" si="1"/>
        <v>2024</v>
      </c>
      <c r="S525" s="62">
        <f t="shared" si="2"/>
        <v>3</v>
      </c>
      <c r="T525" s="61" t="str">
        <f t="shared" si="3"/>
        <v>2024-Q1</v>
      </c>
      <c r="U525" s="63" t="str">
        <f t="shared" si="4"/>
        <v>2024-03</v>
      </c>
      <c r="V525" s="64" t="str">
        <f t="shared" si="5"/>
        <v>2024-H1</v>
      </c>
      <c r="W525" s="32"/>
      <c r="X525" s="32"/>
    </row>
    <row r="526">
      <c r="A526" s="77">
        <f>HYPERLINK("https://polkadot.subsquare.io/referenda/524", 524)</f>
        <v>524</v>
      </c>
      <c r="B526" s="40" t="s">
        <v>2128</v>
      </c>
      <c r="C526" s="40" t="s">
        <v>1851</v>
      </c>
      <c r="D526" s="78">
        <v>0.0</v>
      </c>
      <c r="E526" s="79">
        <v>0.0</v>
      </c>
      <c r="F526" s="40" t="s">
        <v>2129</v>
      </c>
      <c r="G526" s="78">
        <v>4610983.325563604</v>
      </c>
      <c r="H526" s="78">
        <v>22.0</v>
      </c>
      <c r="I526" s="80">
        <v>45346.0</v>
      </c>
      <c r="J526" s="80">
        <v>45367.0</v>
      </c>
      <c r="K526" s="79">
        <v>0.0</v>
      </c>
      <c r="L526" s="81"/>
      <c r="M526" s="81"/>
      <c r="N526" s="86"/>
      <c r="O526" s="61"/>
      <c r="P526" s="61"/>
      <c r="Q526" s="61"/>
      <c r="R526" s="61" t="str">
        <f t="shared" si="1"/>
        <v>2024</v>
      </c>
      <c r="S526" s="62">
        <f t="shared" si="2"/>
        <v>3</v>
      </c>
      <c r="T526" s="61" t="str">
        <f t="shared" si="3"/>
        <v>2024-Q1</v>
      </c>
      <c r="U526" s="63" t="str">
        <f t="shared" si="4"/>
        <v>2024-03</v>
      </c>
      <c r="V526" s="64" t="str">
        <f t="shared" si="5"/>
        <v>2024-H1</v>
      </c>
      <c r="W526" s="32"/>
      <c r="X526" s="32"/>
    </row>
    <row r="527">
      <c r="A527" s="77">
        <f>HYPERLINK("https://polkadot.subsquare.io/referenda/525", 525)</f>
        <v>525</v>
      </c>
      <c r="B527" s="40" t="s">
        <v>2130</v>
      </c>
      <c r="C527" s="40" t="s">
        <v>1846</v>
      </c>
      <c r="D527" s="78">
        <v>10458.0</v>
      </c>
      <c r="E527" s="79">
        <v>87549.09729194641</v>
      </c>
      <c r="F527" s="40" t="s">
        <v>1853</v>
      </c>
      <c r="G527" s="78">
        <v>2.8277300918579224E7</v>
      </c>
      <c r="H527" s="78">
        <v>3.267506649973905E7</v>
      </c>
      <c r="I527" s="80">
        <v>45346.0</v>
      </c>
      <c r="J527" s="80">
        <v>45381.0</v>
      </c>
      <c r="K527" s="79">
        <v>95806.37893867493</v>
      </c>
      <c r="L527" s="70"/>
      <c r="M527" s="70"/>
      <c r="N527" s="61"/>
      <c r="O527" s="86"/>
      <c r="P527" s="86"/>
      <c r="Q527" s="86"/>
      <c r="R527" s="61" t="str">
        <f t="shared" si="1"/>
        <v>2024</v>
      </c>
      <c r="S527" s="62">
        <f t="shared" si="2"/>
        <v>3</v>
      </c>
      <c r="T527" s="61" t="str">
        <f t="shared" si="3"/>
        <v>2024-Q1</v>
      </c>
      <c r="U527" s="63" t="str">
        <f t="shared" si="4"/>
        <v>2024-03</v>
      </c>
      <c r="V527" s="64" t="str">
        <f t="shared" si="5"/>
        <v>2024-H1</v>
      </c>
      <c r="W527" s="32"/>
      <c r="X527" s="32"/>
    </row>
    <row r="528">
      <c r="A528" s="77">
        <f>HYPERLINK("https://polkadot.subsquare.io/referenda/526", 526)</f>
        <v>526</v>
      </c>
      <c r="B528" s="40" t="s">
        <v>2131</v>
      </c>
      <c r="C528" s="40" t="s">
        <v>1851</v>
      </c>
      <c r="D528" s="78">
        <v>0.0</v>
      </c>
      <c r="E528" s="79">
        <v>0.0</v>
      </c>
      <c r="F528" s="40" t="s">
        <v>1853</v>
      </c>
      <c r="G528" s="78">
        <v>2.4519970660588082E7</v>
      </c>
      <c r="H528" s="78">
        <v>7601777.003720318</v>
      </c>
      <c r="I528" s="80">
        <v>45346.0</v>
      </c>
      <c r="J528" s="80">
        <v>45374.0</v>
      </c>
      <c r="K528" s="79">
        <v>0.0</v>
      </c>
      <c r="L528" s="81" t="s">
        <v>81</v>
      </c>
      <c r="M528" s="81" t="s">
        <v>88</v>
      </c>
      <c r="N528" s="86"/>
      <c r="O528" s="61" t="s">
        <v>1881</v>
      </c>
      <c r="P528" s="61" t="s">
        <v>1881</v>
      </c>
      <c r="Q528" s="61"/>
      <c r="R528" s="61" t="str">
        <f t="shared" si="1"/>
        <v>2024</v>
      </c>
      <c r="S528" s="62">
        <f t="shared" si="2"/>
        <v>3</v>
      </c>
      <c r="T528" s="61" t="str">
        <f t="shared" si="3"/>
        <v>2024-Q1</v>
      </c>
      <c r="U528" s="63" t="str">
        <f t="shared" si="4"/>
        <v>2024-03</v>
      </c>
      <c r="V528" s="64" t="str">
        <f t="shared" si="5"/>
        <v>2024-H1</v>
      </c>
      <c r="W528" s="32"/>
      <c r="X528" s="32"/>
    </row>
    <row r="529">
      <c r="A529" s="77">
        <f>HYPERLINK("https://polkadot.subsquare.io/referenda/527", 527)</f>
        <v>527</v>
      </c>
      <c r="B529" s="40" t="s">
        <v>1188</v>
      </c>
      <c r="C529" s="40" t="s">
        <v>1851</v>
      </c>
      <c r="D529" s="78">
        <v>121.8441544774</v>
      </c>
      <c r="E529" s="79">
        <v>1020.0177600685447</v>
      </c>
      <c r="F529" s="40" t="s">
        <v>982</v>
      </c>
      <c r="G529" s="78">
        <v>1.6398563393097922E7</v>
      </c>
      <c r="H529" s="78">
        <v>10.0</v>
      </c>
      <c r="I529" s="80">
        <v>45347.0</v>
      </c>
      <c r="J529" s="80">
        <v>45349.0</v>
      </c>
      <c r="K529" s="79">
        <v>1056.9041740216637</v>
      </c>
      <c r="L529" s="70" t="s">
        <v>49</v>
      </c>
      <c r="M529" s="70" t="s">
        <v>146</v>
      </c>
      <c r="N529" s="61"/>
      <c r="O529" s="86"/>
      <c r="P529" s="86"/>
      <c r="Q529" s="86"/>
      <c r="R529" s="61" t="str">
        <f t="shared" si="1"/>
        <v>2024</v>
      </c>
      <c r="S529" s="62">
        <f t="shared" si="2"/>
        <v>2</v>
      </c>
      <c r="T529" s="61" t="str">
        <f t="shared" si="3"/>
        <v>2024-Q1</v>
      </c>
      <c r="U529" s="63" t="str">
        <f t="shared" si="4"/>
        <v>2024-02</v>
      </c>
      <c r="V529" s="64" t="str">
        <f t="shared" si="5"/>
        <v>2024-H1</v>
      </c>
      <c r="W529" s="32"/>
      <c r="X529" s="32"/>
    </row>
    <row r="530">
      <c r="A530" s="77">
        <f>HYPERLINK("https://polkadot.subsquare.io/referenda/528", 528)</f>
        <v>528</v>
      </c>
      <c r="B530" s="40" t="s">
        <v>2132</v>
      </c>
      <c r="C530" s="40" t="s">
        <v>1846</v>
      </c>
      <c r="D530" s="78">
        <v>2.5E-5</v>
      </c>
      <c r="E530" s="79">
        <v>2.0856547355651856E-4</v>
      </c>
      <c r="F530" s="40" t="s">
        <v>1855</v>
      </c>
      <c r="G530" s="78">
        <v>38.0233960344</v>
      </c>
      <c r="H530" s="78">
        <v>3.3513300727425277E7</v>
      </c>
      <c r="I530" s="80">
        <v>45347.0</v>
      </c>
      <c r="J530" s="80">
        <v>45376.0</v>
      </c>
      <c r="K530" s="79">
        <v>2.3609445095062258E-4</v>
      </c>
      <c r="L530" s="81"/>
      <c r="M530" s="81"/>
      <c r="N530" s="86"/>
      <c r="O530" s="61"/>
      <c r="P530" s="61"/>
      <c r="Q530" s="61"/>
      <c r="R530" s="61" t="str">
        <f t="shared" si="1"/>
        <v>2024</v>
      </c>
      <c r="S530" s="62">
        <f t="shared" si="2"/>
        <v>3</v>
      </c>
      <c r="T530" s="61" t="str">
        <f t="shared" si="3"/>
        <v>2024-Q1</v>
      </c>
      <c r="U530" s="63" t="str">
        <f t="shared" si="4"/>
        <v>2024-03</v>
      </c>
      <c r="V530" s="64" t="str">
        <f t="shared" si="5"/>
        <v>2024-H1</v>
      </c>
      <c r="W530" s="32"/>
      <c r="X530" s="32"/>
    </row>
    <row r="531">
      <c r="A531" s="77">
        <f>HYPERLINK("https://polkadot.subsquare.io/referenda/529", 529)</f>
        <v>529</v>
      </c>
      <c r="B531" s="40" t="s">
        <v>2133</v>
      </c>
      <c r="C531" s="40" t="s">
        <v>1851</v>
      </c>
      <c r="D531" s="78">
        <v>250000.0</v>
      </c>
      <c r="E531" s="79">
        <v>2085654.7355651855</v>
      </c>
      <c r="F531" s="40" t="s">
        <v>1855</v>
      </c>
      <c r="G531" s="78">
        <v>8.966078829988521E7</v>
      </c>
      <c r="H531" s="78">
        <v>1194965.752327497</v>
      </c>
      <c r="I531" s="80">
        <v>45347.0</v>
      </c>
      <c r="J531" s="80">
        <v>45370.0</v>
      </c>
      <c r="K531" s="79">
        <v>2229814.5294189453</v>
      </c>
      <c r="L531" s="70"/>
      <c r="M531" s="70"/>
      <c r="N531" s="61" t="s">
        <v>1881</v>
      </c>
      <c r="O531" s="86" t="s">
        <v>1881</v>
      </c>
      <c r="P531" s="86" t="s">
        <v>1881</v>
      </c>
      <c r="Q531" s="86"/>
      <c r="R531" s="61" t="str">
        <f t="shared" si="1"/>
        <v>2024</v>
      </c>
      <c r="S531" s="62">
        <f t="shared" si="2"/>
        <v>3</v>
      </c>
      <c r="T531" s="61" t="str">
        <f t="shared" si="3"/>
        <v>2024-Q1</v>
      </c>
      <c r="U531" s="63" t="str">
        <f t="shared" si="4"/>
        <v>2024-03</v>
      </c>
      <c r="V531" s="64" t="str">
        <f t="shared" si="5"/>
        <v>2024-H1</v>
      </c>
      <c r="W531" s="32"/>
      <c r="X531" s="32"/>
    </row>
    <row r="532">
      <c r="A532" s="77">
        <f>HYPERLINK("https://polkadot.subsquare.io/referenda/530", 530)</f>
        <v>530</v>
      </c>
      <c r="B532" s="40"/>
      <c r="C532" s="40" t="s">
        <v>1846</v>
      </c>
      <c r="D532" s="78">
        <v>5.867E-7</v>
      </c>
      <c r="E532" s="79">
        <v>4.894614533424378E-6</v>
      </c>
      <c r="F532" s="40" t="s">
        <v>1848</v>
      </c>
      <c r="G532" s="78">
        <v>51063.3338906851</v>
      </c>
      <c r="H532" s="78">
        <v>2.2576365839067608E7</v>
      </c>
      <c r="I532" s="80">
        <v>45347.0</v>
      </c>
      <c r="J532" s="80">
        <v>45376.0</v>
      </c>
      <c r="K532" s="79">
        <v>5.540664574909211E-6</v>
      </c>
      <c r="L532" s="81"/>
      <c r="M532" s="81"/>
      <c r="N532" s="86"/>
      <c r="O532" s="61"/>
      <c r="P532" s="61"/>
      <c r="Q532" s="61"/>
      <c r="R532" s="61" t="str">
        <f t="shared" si="1"/>
        <v>2024</v>
      </c>
      <c r="S532" s="62">
        <f t="shared" si="2"/>
        <v>3</v>
      </c>
      <c r="T532" s="61" t="str">
        <f t="shared" si="3"/>
        <v>2024-Q1</v>
      </c>
      <c r="U532" s="63" t="str">
        <f t="shared" si="4"/>
        <v>2024-03</v>
      </c>
      <c r="V532" s="64" t="str">
        <f t="shared" si="5"/>
        <v>2024-H1</v>
      </c>
      <c r="W532" s="32"/>
      <c r="X532" s="32"/>
    </row>
    <row r="533">
      <c r="A533" s="77">
        <f>HYPERLINK("https://polkadot.subsquare.io/referenda/531", 531)</f>
        <v>531</v>
      </c>
      <c r="B533" s="40" t="s">
        <v>2134</v>
      </c>
      <c r="C533" s="40" t="s">
        <v>1846</v>
      </c>
      <c r="D533" s="78">
        <v>9986.112944</v>
      </c>
      <c r="E533" s="79">
        <v>83310.3350061696</v>
      </c>
      <c r="F533" s="40" t="s">
        <v>1848</v>
      </c>
      <c r="G533" s="78">
        <v>3858268.0759964073</v>
      </c>
      <c r="H533" s="78">
        <v>3.1387811959456928E7</v>
      </c>
      <c r="I533" s="80">
        <v>45348.0</v>
      </c>
      <c r="J533" s="80">
        <v>45382.0</v>
      </c>
      <c r="K533" s="79">
        <v>85667.00112946094</v>
      </c>
      <c r="L533" s="70"/>
      <c r="M533" s="70"/>
      <c r="N533" s="61"/>
      <c r="O533" s="86"/>
      <c r="P533" s="86"/>
      <c r="Q533" s="86"/>
      <c r="R533" s="61" t="str">
        <f t="shared" si="1"/>
        <v>2024</v>
      </c>
      <c r="S533" s="62">
        <f t="shared" si="2"/>
        <v>3</v>
      </c>
      <c r="T533" s="61" t="str">
        <f t="shared" si="3"/>
        <v>2024-Q1</v>
      </c>
      <c r="U533" s="63" t="str">
        <f t="shared" si="4"/>
        <v>2024-03</v>
      </c>
      <c r="V533" s="64" t="str">
        <f t="shared" si="5"/>
        <v>2024-H1</v>
      </c>
      <c r="W533" s="32"/>
      <c r="X533" s="32"/>
    </row>
    <row r="534">
      <c r="A534" s="77">
        <f>HYPERLINK("https://polkadot.subsquare.io/referenda/532", 532)</f>
        <v>532</v>
      </c>
      <c r="B534" s="40" t="s">
        <v>2135</v>
      </c>
      <c r="C534" s="40" t="s">
        <v>1851</v>
      </c>
      <c r="D534" s="78">
        <v>0.0</v>
      </c>
      <c r="E534" s="79">
        <v>0.0</v>
      </c>
      <c r="F534" s="40" t="s">
        <v>1853</v>
      </c>
      <c r="G534" s="78">
        <v>6.128728843590205E7</v>
      </c>
      <c r="H534" s="78">
        <v>1.3433586302915389E7</v>
      </c>
      <c r="I534" s="80">
        <v>45348.0</v>
      </c>
      <c r="J534" s="80">
        <v>45368.0</v>
      </c>
      <c r="K534" s="79">
        <v>0.0</v>
      </c>
      <c r="L534" s="81" t="s">
        <v>81</v>
      </c>
      <c r="M534" s="81" t="s">
        <v>93</v>
      </c>
      <c r="N534" s="86"/>
      <c r="O534" s="61" t="s">
        <v>1881</v>
      </c>
      <c r="P534" s="61" t="s">
        <v>1881</v>
      </c>
      <c r="Q534" s="61"/>
      <c r="R534" s="61" t="str">
        <f t="shared" si="1"/>
        <v>2024</v>
      </c>
      <c r="S534" s="62">
        <f t="shared" si="2"/>
        <v>3</v>
      </c>
      <c r="T534" s="61" t="str">
        <f t="shared" si="3"/>
        <v>2024-Q1</v>
      </c>
      <c r="U534" s="63" t="str">
        <f t="shared" si="4"/>
        <v>2024-03</v>
      </c>
      <c r="V534" s="64" t="str">
        <f t="shared" si="5"/>
        <v>2024-H1</v>
      </c>
      <c r="W534" s="32"/>
      <c r="X534" s="32"/>
    </row>
    <row r="535">
      <c r="A535" s="77">
        <f>HYPERLINK("https://polkadot.subsquare.io/referenda/533", 533)</f>
        <v>533</v>
      </c>
      <c r="B535" s="40" t="s">
        <v>2136</v>
      </c>
      <c r="C535" s="40" t="s">
        <v>1851</v>
      </c>
      <c r="D535" s="78">
        <v>0.0</v>
      </c>
      <c r="E535" s="79">
        <v>0.0</v>
      </c>
      <c r="F535" s="40" t="s">
        <v>1848</v>
      </c>
      <c r="G535" s="78">
        <v>2.788864812668885E7</v>
      </c>
      <c r="H535" s="78">
        <v>1099041.2946260439</v>
      </c>
      <c r="I535" s="80">
        <v>45348.0</v>
      </c>
      <c r="J535" s="80">
        <v>45371.0</v>
      </c>
      <c r="K535" s="79">
        <v>0.0</v>
      </c>
      <c r="L535" s="70" t="s">
        <v>81</v>
      </c>
      <c r="M535" s="71" t="s">
        <v>97</v>
      </c>
      <c r="N535" s="61"/>
      <c r="O535" s="86" t="s">
        <v>1881</v>
      </c>
      <c r="P535" s="86" t="s">
        <v>1881</v>
      </c>
      <c r="Q535" s="86"/>
      <c r="R535" s="61" t="str">
        <f t="shared" si="1"/>
        <v>2024</v>
      </c>
      <c r="S535" s="62">
        <f t="shared" si="2"/>
        <v>3</v>
      </c>
      <c r="T535" s="61" t="str">
        <f t="shared" si="3"/>
        <v>2024-Q1</v>
      </c>
      <c r="U535" s="63" t="str">
        <f t="shared" si="4"/>
        <v>2024-03</v>
      </c>
      <c r="V535" s="64" t="str">
        <f t="shared" si="5"/>
        <v>2024-H1</v>
      </c>
      <c r="W535" s="32"/>
      <c r="X535" s="32"/>
    </row>
    <row r="536">
      <c r="A536" s="77">
        <f>HYPERLINK("https://polkadot.subsquare.io/referenda/534", 534)</f>
        <v>534</v>
      </c>
      <c r="B536" s="40" t="s">
        <v>2137</v>
      </c>
      <c r="C536" s="40" t="s">
        <v>1846</v>
      </c>
      <c r="D536" s="78">
        <v>0.0</v>
      </c>
      <c r="E536" s="79">
        <v>0.0</v>
      </c>
      <c r="F536" s="40" t="s">
        <v>1853</v>
      </c>
      <c r="G536" s="78">
        <v>144746.2855027388</v>
      </c>
      <c r="H536" s="78">
        <v>2.6122980728841063E7</v>
      </c>
      <c r="I536" s="80">
        <v>45349.0</v>
      </c>
      <c r="J536" s="80">
        <v>45377.0</v>
      </c>
      <c r="K536" s="79">
        <v>0.0</v>
      </c>
      <c r="L536" s="81"/>
      <c r="M536" s="81"/>
      <c r="N536" s="86"/>
      <c r="O536" s="61"/>
      <c r="P536" s="61"/>
      <c r="Q536" s="61"/>
      <c r="R536" s="61" t="str">
        <f t="shared" si="1"/>
        <v>2024</v>
      </c>
      <c r="S536" s="62">
        <f t="shared" si="2"/>
        <v>3</v>
      </c>
      <c r="T536" s="61" t="str">
        <f t="shared" si="3"/>
        <v>2024-Q1</v>
      </c>
      <c r="U536" s="63" t="str">
        <f t="shared" si="4"/>
        <v>2024-03</v>
      </c>
      <c r="V536" s="64" t="str">
        <f t="shared" si="5"/>
        <v>2024-H1</v>
      </c>
      <c r="W536" s="32"/>
      <c r="X536" s="32"/>
    </row>
    <row r="537">
      <c r="A537" s="77">
        <f>HYPERLINK("https://polkadot.subsquare.io/referenda/535", 535)</f>
        <v>535</v>
      </c>
      <c r="B537" s="40" t="s">
        <v>2138</v>
      </c>
      <c r="C537" s="40" t="s">
        <v>1846</v>
      </c>
      <c r="D537" s="78">
        <v>100000.0</v>
      </c>
      <c r="E537" s="79">
        <v>867422.9621887207</v>
      </c>
      <c r="F537" s="40" t="s">
        <v>1853</v>
      </c>
      <c r="G537" s="78">
        <v>56434.4628020922</v>
      </c>
      <c r="H537" s="78">
        <v>3.1575514884293318E7</v>
      </c>
      <c r="I537" s="80">
        <v>45349.0</v>
      </c>
      <c r="J537" s="80">
        <v>45377.0</v>
      </c>
      <c r="K537" s="79">
        <v>959623.5275268555</v>
      </c>
      <c r="L537" s="70"/>
      <c r="M537" s="70"/>
      <c r="N537" s="61"/>
      <c r="O537" s="86"/>
      <c r="P537" s="86"/>
      <c r="Q537" s="86"/>
      <c r="R537" s="61" t="str">
        <f t="shared" si="1"/>
        <v>2024</v>
      </c>
      <c r="S537" s="62">
        <f t="shared" si="2"/>
        <v>3</v>
      </c>
      <c r="T537" s="61" t="str">
        <f t="shared" si="3"/>
        <v>2024-Q1</v>
      </c>
      <c r="U537" s="63" t="str">
        <f t="shared" si="4"/>
        <v>2024-03</v>
      </c>
      <c r="V537" s="64" t="str">
        <f t="shared" si="5"/>
        <v>2024-H1</v>
      </c>
      <c r="W537" s="32"/>
      <c r="X537" s="32"/>
    </row>
    <row r="538">
      <c r="A538" s="77">
        <f>HYPERLINK("https://polkadot.subsquare.io/referenda/536", 536)</f>
        <v>536</v>
      </c>
      <c r="B538" s="40" t="s">
        <v>2139</v>
      </c>
      <c r="C538" s="40" t="s">
        <v>1846</v>
      </c>
      <c r="D538" s="78">
        <v>3.9326E-6</v>
      </c>
      <c r="E538" s="79">
        <v>3.4112275411033634E-5</v>
      </c>
      <c r="F538" s="40" t="s">
        <v>1853</v>
      </c>
      <c r="G538" s="78">
        <v>223662.7050747599</v>
      </c>
      <c r="H538" s="78">
        <v>2.5362440160063986E7</v>
      </c>
      <c r="I538" s="80">
        <v>45349.0</v>
      </c>
      <c r="J538" s="80">
        <v>45378.0</v>
      </c>
      <c r="K538" s="79">
        <v>3.773815484352112E-5</v>
      </c>
      <c r="L538" s="81"/>
      <c r="M538" s="81"/>
      <c r="N538" s="86"/>
      <c r="O538" s="61"/>
      <c r="P538" s="61"/>
      <c r="Q538" s="61"/>
      <c r="R538" s="61" t="str">
        <f t="shared" si="1"/>
        <v>2024</v>
      </c>
      <c r="S538" s="62">
        <f t="shared" si="2"/>
        <v>3</v>
      </c>
      <c r="T538" s="61" t="str">
        <f t="shared" si="3"/>
        <v>2024-Q1</v>
      </c>
      <c r="U538" s="63" t="str">
        <f t="shared" si="4"/>
        <v>2024-03</v>
      </c>
      <c r="V538" s="64" t="str">
        <f t="shared" si="5"/>
        <v>2024-H1</v>
      </c>
      <c r="W538" s="32"/>
      <c r="X538" s="32"/>
    </row>
    <row r="539">
      <c r="A539" s="77">
        <f>HYPERLINK("https://polkadot.subsquare.io/referenda/537", 537)</f>
        <v>537</v>
      </c>
      <c r="B539" s="40" t="s">
        <v>2139</v>
      </c>
      <c r="C539" s="40" t="s">
        <v>1846</v>
      </c>
      <c r="D539" s="78">
        <v>31500.0</v>
      </c>
      <c r="E539" s="79">
        <v>273238.233089447</v>
      </c>
      <c r="F539" s="40" t="s">
        <v>1853</v>
      </c>
      <c r="G539" s="78">
        <v>286690.0646839105</v>
      </c>
      <c r="H539" s="78">
        <v>2.5072181173129573E7</v>
      </c>
      <c r="I539" s="80">
        <v>45349.0</v>
      </c>
      <c r="J539" s="80">
        <v>45378.0</v>
      </c>
      <c r="K539" s="79">
        <v>302281.4111709595</v>
      </c>
      <c r="L539" s="70"/>
      <c r="M539" s="70"/>
      <c r="N539" s="61"/>
      <c r="O539" s="86"/>
      <c r="P539" s="86"/>
      <c r="Q539" s="86"/>
      <c r="R539" s="61" t="str">
        <f t="shared" si="1"/>
        <v>2024</v>
      </c>
      <c r="S539" s="62">
        <f t="shared" si="2"/>
        <v>3</v>
      </c>
      <c r="T539" s="61" t="str">
        <f t="shared" si="3"/>
        <v>2024-Q1</v>
      </c>
      <c r="U539" s="63" t="str">
        <f t="shared" si="4"/>
        <v>2024-03</v>
      </c>
      <c r="V539" s="64" t="str">
        <f t="shared" si="5"/>
        <v>2024-H1</v>
      </c>
      <c r="W539" s="32"/>
      <c r="X539" s="32"/>
    </row>
    <row r="540">
      <c r="A540" s="77">
        <f>HYPERLINK("https://polkadot.subsquare.io/referenda/538", 538)</f>
        <v>538</v>
      </c>
      <c r="B540" s="40" t="s">
        <v>982</v>
      </c>
      <c r="C540" s="40" t="s">
        <v>1851</v>
      </c>
      <c r="D540" s="78">
        <v>80.0</v>
      </c>
      <c r="E540" s="79">
        <v>693.9383697509766</v>
      </c>
      <c r="F540" s="40" t="s">
        <v>982</v>
      </c>
      <c r="G540" s="78">
        <v>1.957999529438962E7</v>
      </c>
      <c r="H540" s="78">
        <v>25922.3579718795</v>
      </c>
      <c r="I540" s="80">
        <v>45349.0</v>
      </c>
      <c r="J540" s="80">
        <v>45352.0</v>
      </c>
      <c r="K540" s="79">
        <v>783.795166015625</v>
      </c>
      <c r="L540" s="81" t="s">
        <v>46</v>
      </c>
      <c r="M540" s="81" t="s">
        <v>102</v>
      </c>
      <c r="N540" s="86"/>
      <c r="O540" s="61"/>
      <c r="P540" s="61"/>
      <c r="Q540" s="61"/>
      <c r="R540" s="61" t="str">
        <f t="shared" si="1"/>
        <v>2024</v>
      </c>
      <c r="S540" s="62">
        <f t="shared" si="2"/>
        <v>3</v>
      </c>
      <c r="T540" s="61" t="str">
        <f t="shared" si="3"/>
        <v>2024-Q1</v>
      </c>
      <c r="U540" s="63" t="str">
        <f t="shared" si="4"/>
        <v>2024-03</v>
      </c>
      <c r="V540" s="64" t="str">
        <f t="shared" si="5"/>
        <v>2024-H1</v>
      </c>
      <c r="W540" s="32"/>
      <c r="X540" s="32"/>
    </row>
    <row r="541">
      <c r="A541" s="77">
        <f>HYPERLINK("https://polkadot.subsquare.io/referenda/539", 539)</f>
        <v>539</v>
      </c>
      <c r="B541" s="40" t="s">
        <v>1189</v>
      </c>
      <c r="C541" s="40" t="s">
        <v>1851</v>
      </c>
      <c r="D541" s="78">
        <v>39326.0</v>
      </c>
      <c r="E541" s="79">
        <v>341122.7541103363</v>
      </c>
      <c r="F541" s="40" t="s">
        <v>1853</v>
      </c>
      <c r="G541" s="78">
        <v>3.3321280719731968E7</v>
      </c>
      <c r="H541" s="78">
        <v>3.2737453567175914E7</v>
      </c>
      <c r="I541" s="80">
        <v>45350.0</v>
      </c>
      <c r="J541" s="80">
        <v>45383.0</v>
      </c>
      <c r="K541" s="79">
        <v>331657.97014045715</v>
      </c>
      <c r="L541" s="70" t="s">
        <v>48</v>
      </c>
      <c r="M541" s="70" t="s">
        <v>131</v>
      </c>
      <c r="N541" s="61"/>
      <c r="O541" s="86"/>
      <c r="P541" s="86"/>
      <c r="Q541" s="86"/>
      <c r="R541" s="61" t="str">
        <f t="shared" si="1"/>
        <v>2024</v>
      </c>
      <c r="S541" s="62">
        <f t="shared" si="2"/>
        <v>4</v>
      </c>
      <c r="T541" s="61" t="str">
        <f t="shared" si="3"/>
        <v>2024-Q2</v>
      </c>
      <c r="U541" s="63" t="str">
        <f t="shared" si="4"/>
        <v>2024-04</v>
      </c>
      <c r="V541" s="64" t="str">
        <f t="shared" si="5"/>
        <v>2024-H1</v>
      </c>
      <c r="W541" s="32"/>
      <c r="X541" s="32"/>
    </row>
    <row r="542">
      <c r="A542" s="77">
        <f>HYPERLINK("https://polkadot.subsquare.io/referenda/540", 540)</f>
        <v>540</v>
      </c>
      <c r="B542" s="40" t="s">
        <v>2140</v>
      </c>
      <c r="C542" s="40" t="s">
        <v>1851</v>
      </c>
      <c r="D542" s="78">
        <v>0.0</v>
      </c>
      <c r="E542" s="79">
        <v>0.0</v>
      </c>
      <c r="F542" s="40" t="s">
        <v>1853</v>
      </c>
      <c r="G542" s="78">
        <v>3.0955745308786813E7</v>
      </c>
      <c r="H542" s="78">
        <v>558210.6445514183</v>
      </c>
      <c r="I542" s="80">
        <v>45350.0</v>
      </c>
      <c r="J542" s="80">
        <v>45375.0</v>
      </c>
      <c r="K542" s="79">
        <v>0.0</v>
      </c>
      <c r="L542" s="81" t="s">
        <v>50</v>
      </c>
      <c r="M542" s="81" t="s">
        <v>144</v>
      </c>
      <c r="N542" s="86"/>
      <c r="O542" s="61" t="s">
        <v>1881</v>
      </c>
      <c r="P542" s="61" t="s">
        <v>1881</v>
      </c>
      <c r="Q542" s="61"/>
      <c r="R542" s="61" t="str">
        <f t="shared" si="1"/>
        <v>2024</v>
      </c>
      <c r="S542" s="62">
        <f t="shared" si="2"/>
        <v>3</v>
      </c>
      <c r="T542" s="61" t="str">
        <f t="shared" si="3"/>
        <v>2024-Q1</v>
      </c>
      <c r="U542" s="63" t="str">
        <f t="shared" si="4"/>
        <v>2024-03</v>
      </c>
      <c r="V542" s="64" t="str">
        <f t="shared" si="5"/>
        <v>2024-H1</v>
      </c>
      <c r="W542" s="32"/>
      <c r="X542" s="32"/>
    </row>
    <row r="543">
      <c r="A543" s="77">
        <f>HYPERLINK("https://polkadot.subsquare.io/referenda/396", 396)</f>
        <v>396</v>
      </c>
      <c r="B543" s="40" t="s">
        <v>1132</v>
      </c>
      <c r="C543" s="40" t="s">
        <v>1851</v>
      </c>
      <c r="D543" s="78">
        <v>2000.0</v>
      </c>
      <c r="E543" s="79">
        <v>15762.951850891113</v>
      </c>
      <c r="F543" s="40" t="s">
        <v>1848</v>
      </c>
      <c r="G543" s="78">
        <v>1.6188858585702918E7</v>
      </c>
      <c r="H543" s="78">
        <v>8487.6229564742</v>
      </c>
      <c r="I543" s="80">
        <v>45293.0</v>
      </c>
      <c r="J543" s="80">
        <v>45311.0</v>
      </c>
      <c r="K543" s="79">
        <v>12665.849685668945</v>
      </c>
      <c r="L543" s="70" t="s">
        <v>46</v>
      </c>
      <c r="M543" s="70" t="s">
        <v>116</v>
      </c>
      <c r="N543" s="86"/>
      <c r="O543" s="61"/>
      <c r="P543" s="61"/>
      <c r="Q543" s="61"/>
      <c r="R543" s="61" t="str">
        <f t="shared" si="1"/>
        <v>2024</v>
      </c>
      <c r="S543" s="62">
        <f t="shared" si="2"/>
        <v>1</v>
      </c>
      <c r="T543" s="61" t="str">
        <f t="shared" si="3"/>
        <v>2024-Q1</v>
      </c>
      <c r="U543" s="63" t="str">
        <f t="shared" si="4"/>
        <v>2024-01</v>
      </c>
      <c r="V543" s="64" t="str">
        <f t="shared" si="5"/>
        <v>2024-H1</v>
      </c>
      <c r="W543" s="32"/>
      <c r="X543" s="32"/>
    </row>
    <row r="544">
      <c r="A544" s="77">
        <f>HYPERLINK("https://polkadot.subsquare.io/referenda/542", 542)</f>
        <v>542</v>
      </c>
      <c r="B544" s="40" t="s">
        <v>1191</v>
      </c>
      <c r="C544" s="40" t="s">
        <v>1851</v>
      </c>
      <c r="D544" s="78">
        <v>14737.47</v>
      </c>
      <c r="E544" s="79">
        <v>144389.47181625364</v>
      </c>
      <c r="F544" s="40" t="s">
        <v>1853</v>
      </c>
      <c r="G544" s="78">
        <v>8.085623036125809E7</v>
      </c>
      <c r="H544" s="78">
        <v>335520.1</v>
      </c>
      <c r="I544" s="80">
        <v>45351.0</v>
      </c>
      <c r="J544" s="80">
        <v>45369.0</v>
      </c>
      <c r="K544" s="79">
        <v>135185.2431256485</v>
      </c>
      <c r="L544" s="81" t="s">
        <v>46</v>
      </c>
      <c r="M544" s="81" t="s">
        <v>108</v>
      </c>
      <c r="N544" s="86"/>
      <c r="O544" s="61"/>
      <c r="P544" s="61"/>
      <c r="Q544" s="61"/>
      <c r="R544" s="61" t="str">
        <f t="shared" si="1"/>
        <v>2024</v>
      </c>
      <c r="S544" s="62">
        <f t="shared" si="2"/>
        <v>3</v>
      </c>
      <c r="T544" s="61" t="str">
        <f t="shared" si="3"/>
        <v>2024-Q1</v>
      </c>
      <c r="U544" s="63" t="str">
        <f t="shared" si="4"/>
        <v>2024-03</v>
      </c>
      <c r="V544" s="64" t="str">
        <f t="shared" si="5"/>
        <v>2024-H1</v>
      </c>
      <c r="W544" s="32"/>
      <c r="X544" s="32"/>
    </row>
    <row r="545">
      <c r="A545" s="77">
        <f>HYPERLINK("https://polkadot.subsquare.io/referenda/543", 543)</f>
        <v>543</v>
      </c>
      <c r="B545" s="40" t="s">
        <v>2141</v>
      </c>
      <c r="C545" s="40" t="s">
        <v>1846</v>
      </c>
      <c r="D545" s="78">
        <v>2.0E-8</v>
      </c>
      <c r="E545" s="79">
        <v>1.9594879150390627E-7</v>
      </c>
      <c r="F545" s="40" t="s">
        <v>982</v>
      </c>
      <c r="G545" s="78">
        <v>2084645.057263179</v>
      </c>
      <c r="H545" s="78">
        <v>2.635230953094221E7</v>
      </c>
      <c r="I545" s="80">
        <v>45351.0</v>
      </c>
      <c r="J545" s="80">
        <v>45359.0</v>
      </c>
      <c r="K545" s="79">
        <v>2.0557626724243163E-7</v>
      </c>
      <c r="L545" s="70"/>
      <c r="M545" s="70"/>
      <c r="N545" s="61"/>
      <c r="O545" s="86"/>
      <c r="P545" s="86"/>
      <c r="Q545" s="86"/>
      <c r="R545" s="61" t="str">
        <f t="shared" si="1"/>
        <v>2024</v>
      </c>
      <c r="S545" s="62">
        <f t="shared" si="2"/>
        <v>3</v>
      </c>
      <c r="T545" s="61" t="str">
        <f t="shared" si="3"/>
        <v>2024-Q1</v>
      </c>
      <c r="U545" s="63" t="str">
        <f t="shared" si="4"/>
        <v>2024-03</v>
      </c>
      <c r="V545" s="64" t="str">
        <f t="shared" si="5"/>
        <v>2024-H1</v>
      </c>
      <c r="W545" s="32"/>
      <c r="X545" s="32"/>
    </row>
    <row r="546">
      <c r="A546" s="77">
        <f>HYPERLINK("https://polkadot.subsquare.io/referenda/544", 544)</f>
        <v>544</v>
      </c>
      <c r="B546" s="40" t="s">
        <v>1192</v>
      </c>
      <c r="C546" s="40" t="s">
        <v>1851</v>
      </c>
      <c r="D546" s="78">
        <v>98026.0</v>
      </c>
      <c r="E546" s="79">
        <v>960403.8117980957</v>
      </c>
      <c r="F546" s="40" t="s">
        <v>1853</v>
      </c>
      <c r="G546" s="78">
        <v>6.944506625600159E7</v>
      </c>
      <c r="H546" s="78">
        <v>444263.0355796187</v>
      </c>
      <c r="I546" s="80">
        <v>45352.0</v>
      </c>
      <c r="J546" s="80">
        <v>45371.0</v>
      </c>
      <c r="K546" s="79">
        <v>880478.2604961395</v>
      </c>
      <c r="L546" s="81" t="s">
        <v>46</v>
      </c>
      <c r="M546" s="81" t="s">
        <v>106</v>
      </c>
      <c r="N546" s="86"/>
      <c r="O546" s="61"/>
      <c r="P546" s="61"/>
      <c r="Q546" s="61"/>
      <c r="R546" s="61" t="str">
        <f t="shared" si="1"/>
        <v>2024</v>
      </c>
      <c r="S546" s="62">
        <f t="shared" si="2"/>
        <v>3</v>
      </c>
      <c r="T546" s="61" t="str">
        <f t="shared" si="3"/>
        <v>2024-Q1</v>
      </c>
      <c r="U546" s="63" t="str">
        <f t="shared" si="4"/>
        <v>2024-03</v>
      </c>
      <c r="V546" s="64" t="str">
        <f t="shared" si="5"/>
        <v>2024-H1</v>
      </c>
      <c r="W546" s="32"/>
      <c r="X546" s="32"/>
    </row>
    <row r="547">
      <c r="A547" s="77">
        <f>HYPERLINK("https://polkadot.subsquare.io/referenda/545", 545)</f>
        <v>545</v>
      </c>
      <c r="B547" s="40" t="s">
        <v>2142</v>
      </c>
      <c r="C547" s="40" t="s">
        <v>1851</v>
      </c>
      <c r="D547" s="78">
        <v>0.0</v>
      </c>
      <c r="E547" s="79">
        <v>0.0</v>
      </c>
      <c r="F547" s="40" t="s">
        <v>1852</v>
      </c>
      <c r="G547" s="78">
        <v>7.711076833889154E7</v>
      </c>
      <c r="H547" s="78">
        <v>30.0</v>
      </c>
      <c r="I547" s="80">
        <v>45353.0</v>
      </c>
      <c r="J547" s="80">
        <v>45370.0</v>
      </c>
      <c r="K547" s="79">
        <v>0.0</v>
      </c>
      <c r="L547" s="70"/>
      <c r="M547" s="70"/>
      <c r="N547" s="61"/>
      <c r="O547" s="86"/>
      <c r="P547" s="86"/>
      <c r="Q547" s="86"/>
      <c r="R547" s="61" t="str">
        <f t="shared" si="1"/>
        <v>2024</v>
      </c>
      <c r="S547" s="62">
        <f t="shared" si="2"/>
        <v>3</v>
      </c>
      <c r="T547" s="61" t="str">
        <f t="shared" si="3"/>
        <v>2024-Q1</v>
      </c>
      <c r="U547" s="63" t="str">
        <f t="shared" si="4"/>
        <v>2024-03</v>
      </c>
      <c r="V547" s="64" t="str">
        <f t="shared" si="5"/>
        <v>2024-H1</v>
      </c>
      <c r="W547" s="32"/>
      <c r="X547" s="32"/>
    </row>
    <row r="548">
      <c r="A548" s="77">
        <f>HYPERLINK("https://polkadot.subsquare.io/referenda/546", 546)</f>
        <v>546</v>
      </c>
      <c r="B548" s="40" t="s">
        <v>2143</v>
      </c>
      <c r="C548" s="40" t="s">
        <v>1861</v>
      </c>
      <c r="D548" s="78">
        <v>0.0</v>
      </c>
      <c r="E548" s="79">
        <v>0.0</v>
      </c>
      <c r="F548" s="40" t="s">
        <v>1857</v>
      </c>
      <c r="G548" s="78">
        <v>1455004.3264711692</v>
      </c>
      <c r="H548" s="78">
        <v>3320740.2697620345</v>
      </c>
      <c r="I548" s="80">
        <v>45353.0</v>
      </c>
      <c r="J548" s="80">
        <v>45367.0</v>
      </c>
      <c r="K548" s="79">
        <v>0.0</v>
      </c>
      <c r="L548" s="81"/>
      <c r="M548" s="81"/>
      <c r="N548" s="86"/>
      <c r="O548" s="61"/>
      <c r="P548" s="61"/>
      <c r="Q548" s="61"/>
      <c r="R548" s="61" t="str">
        <f t="shared" si="1"/>
        <v>2024</v>
      </c>
      <c r="S548" s="62">
        <f t="shared" si="2"/>
        <v>3</v>
      </c>
      <c r="T548" s="61" t="str">
        <f t="shared" si="3"/>
        <v>2024-Q1</v>
      </c>
      <c r="U548" s="63" t="str">
        <f t="shared" si="4"/>
        <v>2024-03</v>
      </c>
      <c r="V548" s="64" t="str">
        <f t="shared" si="5"/>
        <v>2024-H1</v>
      </c>
      <c r="W548" s="32"/>
      <c r="X548" s="32"/>
    </row>
    <row r="549">
      <c r="A549" s="77">
        <f>HYPERLINK("https://polkadot.subsquare.io/referenda/547", 547)</f>
        <v>547</v>
      </c>
      <c r="B549" s="40" t="s">
        <v>2144</v>
      </c>
      <c r="C549" s="40" t="s">
        <v>1861</v>
      </c>
      <c r="D549" s="78">
        <v>3600.0</v>
      </c>
      <c r="E549" s="79">
        <v>37851.216888427734</v>
      </c>
      <c r="F549" s="40" t="s">
        <v>1866</v>
      </c>
      <c r="G549" s="78">
        <v>161606.7647552435</v>
      </c>
      <c r="H549" s="78">
        <v>4183795.537339843</v>
      </c>
      <c r="I549" s="80">
        <v>45354.0</v>
      </c>
      <c r="J549" s="80">
        <v>45368.0</v>
      </c>
      <c r="K549" s="79">
        <v>34170.69396972656</v>
      </c>
      <c r="L549" s="70"/>
      <c r="M549" s="70"/>
      <c r="N549" s="61"/>
      <c r="O549" s="86"/>
      <c r="P549" s="86"/>
      <c r="Q549" s="86"/>
      <c r="R549" s="61" t="str">
        <f t="shared" si="1"/>
        <v>2024</v>
      </c>
      <c r="S549" s="62">
        <f t="shared" si="2"/>
        <v>3</v>
      </c>
      <c r="T549" s="61" t="str">
        <f t="shared" si="3"/>
        <v>2024-Q1</v>
      </c>
      <c r="U549" s="63" t="str">
        <f t="shared" si="4"/>
        <v>2024-03</v>
      </c>
      <c r="V549" s="64" t="str">
        <f t="shared" si="5"/>
        <v>2024-H1</v>
      </c>
      <c r="W549" s="32"/>
      <c r="X549" s="32"/>
    </row>
    <row r="550">
      <c r="A550" s="77">
        <f>HYPERLINK("https://polkadot.subsquare.io/referenda/548", 548)</f>
        <v>548</v>
      </c>
      <c r="B550" s="40" t="s">
        <v>2145</v>
      </c>
      <c r="C550" s="40" t="s">
        <v>1846</v>
      </c>
      <c r="D550" s="78">
        <v>31200.0</v>
      </c>
      <c r="E550" s="79">
        <v>328043.87969970703</v>
      </c>
      <c r="F550" s="40" t="s">
        <v>1853</v>
      </c>
      <c r="G550" s="78">
        <v>2970382.273284831</v>
      </c>
      <c r="H550" s="78">
        <v>3.216677391766458E7</v>
      </c>
      <c r="I550" s="80">
        <v>45354.0</v>
      </c>
      <c r="J550" s="80">
        <v>45382.0</v>
      </c>
      <c r="K550" s="79">
        <v>263126.90505981445</v>
      </c>
      <c r="L550" s="81"/>
      <c r="M550" s="81"/>
      <c r="N550" s="86"/>
      <c r="O550" s="61"/>
      <c r="P550" s="61"/>
      <c r="Q550" s="61"/>
      <c r="R550" s="61" t="str">
        <f t="shared" si="1"/>
        <v>2024</v>
      </c>
      <c r="S550" s="62">
        <f t="shared" si="2"/>
        <v>3</v>
      </c>
      <c r="T550" s="61" t="str">
        <f t="shared" si="3"/>
        <v>2024-Q1</v>
      </c>
      <c r="U550" s="63" t="str">
        <f t="shared" si="4"/>
        <v>2024-03</v>
      </c>
      <c r="V550" s="64" t="str">
        <f t="shared" si="5"/>
        <v>2024-H1</v>
      </c>
      <c r="W550" s="32"/>
      <c r="X550" s="32"/>
    </row>
    <row r="551">
      <c r="A551" s="77">
        <f>HYPERLINK("https://polkadot.subsquare.io/referenda/549", 549)</f>
        <v>549</v>
      </c>
      <c r="B551" s="40" t="s">
        <v>2146</v>
      </c>
      <c r="C551" s="40" t="s">
        <v>1861</v>
      </c>
      <c r="D551" s="78">
        <v>3.5E-6</v>
      </c>
      <c r="E551" s="79">
        <v>3.679979419708252E-5</v>
      </c>
      <c r="F551" s="40" t="s">
        <v>1853</v>
      </c>
      <c r="G551" s="78">
        <v>0.0</v>
      </c>
      <c r="H551" s="78">
        <v>2.491657567396045E7</v>
      </c>
      <c r="I551" s="80">
        <v>45354.0</v>
      </c>
      <c r="J551" s="80">
        <v>45369.0</v>
      </c>
      <c r="K551" s="79">
        <v>3.322150802612305E-5</v>
      </c>
      <c r="L551" s="70"/>
      <c r="M551" s="70"/>
      <c r="N551" s="61"/>
      <c r="O551" s="86"/>
      <c r="P551" s="86"/>
      <c r="Q551" s="86"/>
      <c r="R551" s="61" t="str">
        <f t="shared" si="1"/>
        <v>2024</v>
      </c>
      <c r="S551" s="62">
        <f t="shared" si="2"/>
        <v>3</v>
      </c>
      <c r="T551" s="61" t="str">
        <f t="shared" si="3"/>
        <v>2024-Q1</v>
      </c>
      <c r="U551" s="63" t="str">
        <f t="shared" si="4"/>
        <v>2024-03</v>
      </c>
      <c r="V551" s="64" t="str">
        <f t="shared" si="5"/>
        <v>2024-H1</v>
      </c>
      <c r="W551" s="32"/>
      <c r="X551" s="32"/>
    </row>
    <row r="552">
      <c r="A552" s="77">
        <f>HYPERLINK("https://polkadot.subsquare.io/referenda/550", 550)</f>
        <v>550</v>
      </c>
      <c r="B552" s="40" t="s">
        <v>2147</v>
      </c>
      <c r="C552" s="40" t="s">
        <v>1846</v>
      </c>
      <c r="D552" s="78">
        <v>35100.0</v>
      </c>
      <c r="E552" s="79">
        <v>369049.3646621704</v>
      </c>
      <c r="F552" s="40" t="s">
        <v>1853</v>
      </c>
      <c r="G552" s="78">
        <v>52422.31</v>
      </c>
      <c r="H552" s="78">
        <v>3.1417885871800378E7</v>
      </c>
      <c r="I552" s="80">
        <v>45355.0</v>
      </c>
      <c r="J552" s="80">
        <v>45383.0</v>
      </c>
      <c r="K552" s="79">
        <v>296017.76819229126</v>
      </c>
      <c r="L552" s="81"/>
      <c r="M552" s="81"/>
      <c r="N552" s="86"/>
      <c r="O552" s="61"/>
      <c r="P552" s="61"/>
      <c r="Q552" s="61"/>
      <c r="R552" s="61" t="str">
        <f t="shared" si="1"/>
        <v>2024</v>
      </c>
      <c r="S552" s="62">
        <f t="shared" si="2"/>
        <v>4</v>
      </c>
      <c r="T552" s="61" t="str">
        <f t="shared" si="3"/>
        <v>2024-Q2</v>
      </c>
      <c r="U552" s="63" t="str">
        <f t="shared" si="4"/>
        <v>2024-04</v>
      </c>
      <c r="V552" s="64" t="str">
        <f t="shared" si="5"/>
        <v>2024-H1</v>
      </c>
      <c r="W552" s="32"/>
      <c r="X552" s="32"/>
    </row>
    <row r="553">
      <c r="A553" s="77">
        <f>HYPERLINK("https://polkadot.subsquare.io/referenda/551", 551)</f>
        <v>551</v>
      </c>
      <c r="B553" s="40" t="s">
        <v>2148</v>
      </c>
      <c r="C553" s="40" t="s">
        <v>1861</v>
      </c>
      <c r="D553" s="78">
        <v>3600.0</v>
      </c>
      <c r="E553" s="79">
        <v>37851.216888427734</v>
      </c>
      <c r="F553" s="40" t="s">
        <v>1848</v>
      </c>
      <c r="G553" s="78">
        <v>0.1</v>
      </c>
      <c r="H553" s="78">
        <v>3.0985409985731587E7</v>
      </c>
      <c r="I553" s="80">
        <v>45355.0</v>
      </c>
      <c r="J553" s="80">
        <v>45369.0</v>
      </c>
      <c r="K553" s="79">
        <v>34170.69396972656</v>
      </c>
      <c r="L553" s="70"/>
      <c r="M553" s="70"/>
      <c r="N553" s="61"/>
      <c r="O553" s="86"/>
      <c r="P553" s="86"/>
      <c r="Q553" s="86"/>
      <c r="R553" s="61" t="str">
        <f t="shared" si="1"/>
        <v>2024</v>
      </c>
      <c r="S553" s="62">
        <f t="shared" si="2"/>
        <v>3</v>
      </c>
      <c r="T553" s="61" t="str">
        <f t="shared" si="3"/>
        <v>2024-Q1</v>
      </c>
      <c r="U553" s="63" t="str">
        <f t="shared" si="4"/>
        <v>2024-03</v>
      </c>
      <c r="V553" s="64" t="str">
        <f t="shared" si="5"/>
        <v>2024-H1</v>
      </c>
      <c r="W553" s="32"/>
      <c r="X553" s="32"/>
    </row>
    <row r="554">
      <c r="A554" s="77">
        <f>HYPERLINK("https://polkadot.subsquare.io/referenda/552", 552)</f>
        <v>552</v>
      </c>
      <c r="B554" s="40" t="s">
        <v>1193</v>
      </c>
      <c r="C554" s="40" t="s">
        <v>1851</v>
      </c>
      <c r="D554" s="78">
        <v>171827.0</v>
      </c>
      <c r="E554" s="79">
        <v>1806628.0678577423</v>
      </c>
      <c r="F554" s="40" t="s">
        <v>1855</v>
      </c>
      <c r="G554" s="78">
        <v>6.139930534382708E7</v>
      </c>
      <c r="H554" s="78">
        <v>320201.1</v>
      </c>
      <c r="I554" s="80">
        <v>45355.0</v>
      </c>
      <c r="J554" s="80">
        <v>45383.0</v>
      </c>
      <c r="K554" s="79">
        <v>1449112.3947343826</v>
      </c>
      <c r="L554" s="81" t="s">
        <v>46</v>
      </c>
      <c r="M554" s="70" t="s">
        <v>104</v>
      </c>
      <c r="N554" s="86"/>
      <c r="O554" s="61"/>
      <c r="P554" s="61"/>
      <c r="Q554" s="61"/>
      <c r="R554" s="61" t="str">
        <f t="shared" si="1"/>
        <v>2024</v>
      </c>
      <c r="S554" s="62">
        <f t="shared" si="2"/>
        <v>4</v>
      </c>
      <c r="T554" s="61" t="str">
        <f t="shared" si="3"/>
        <v>2024-Q2</v>
      </c>
      <c r="U554" s="63" t="str">
        <f t="shared" si="4"/>
        <v>2024-04</v>
      </c>
      <c r="V554" s="64" t="str">
        <f t="shared" si="5"/>
        <v>2024-H1</v>
      </c>
      <c r="W554" s="32"/>
      <c r="X554" s="32"/>
    </row>
    <row r="555">
      <c r="A555" s="40">
        <v>553.0</v>
      </c>
      <c r="B555" s="40"/>
      <c r="C555" s="40"/>
      <c r="D555" s="78"/>
      <c r="E555" s="79"/>
      <c r="F555" s="40"/>
      <c r="G555" s="78"/>
      <c r="H555" s="78"/>
      <c r="I555" s="80"/>
      <c r="J555" s="80"/>
      <c r="K555" s="79"/>
      <c r="L555" s="70"/>
      <c r="M555" s="70"/>
      <c r="N555" s="61"/>
      <c r="O555" s="86"/>
      <c r="P555" s="86"/>
      <c r="Q555" s="86"/>
      <c r="R555" s="61"/>
      <c r="S555" s="62"/>
      <c r="T555" s="61"/>
      <c r="U555" s="63"/>
      <c r="V555" s="64"/>
      <c r="W555" s="32"/>
      <c r="X555" s="32"/>
    </row>
    <row r="556">
      <c r="A556" s="77">
        <f>HYPERLINK("https://polkadot.subsquare.io/referenda/554", 554)</f>
        <v>554</v>
      </c>
      <c r="B556" s="40" t="s">
        <v>1194</v>
      </c>
      <c r="C556" s="40" t="s">
        <v>1851</v>
      </c>
      <c r="D556" s="78">
        <v>32393.2</v>
      </c>
      <c r="E556" s="79">
        <v>345477.73993797303</v>
      </c>
      <c r="F556" s="40" t="s">
        <v>1853</v>
      </c>
      <c r="G556" s="78">
        <v>5.1964057789723456E7</v>
      </c>
      <c r="H556" s="78">
        <v>6409463.002484963</v>
      </c>
      <c r="I556" s="80">
        <v>45356.0</v>
      </c>
      <c r="J556" s="80">
        <v>45378.0</v>
      </c>
      <c r="K556" s="79">
        <v>310852.76851882937</v>
      </c>
      <c r="L556" s="81" t="s">
        <v>81</v>
      </c>
      <c r="M556" s="85" t="s">
        <v>86</v>
      </c>
      <c r="N556" s="86"/>
      <c r="O556" s="61"/>
      <c r="P556" s="61"/>
      <c r="Q556" s="61"/>
      <c r="R556" s="61" t="str">
        <f t="shared" ref="R556:R927" si="6">LEFT(J556,4)</f>
        <v>2024</v>
      </c>
      <c r="S556" s="62">
        <f t="shared" ref="S556:S927" si="7">VALUE(RIGHT(LEFT(J556,7),2))</f>
        <v>3</v>
      </c>
      <c r="T556" s="61" t="str">
        <f t="shared" ref="T556:T927" si="8">R556 &amp; "-Q" &amp; CHOOSE(CEILING(S556/3, 1), "1", "2", "3", "4")</f>
        <v>2024-Q1</v>
      </c>
      <c r="U556" s="63" t="str">
        <f t="shared" ref="U556:U927" si="9">R556&amp;"-"&amp;TEXT(S556, "00")</f>
        <v>2024-03</v>
      </c>
      <c r="V556" s="64" t="str">
        <f t="shared" ref="V556:V927" si="10">R556 &amp; "-H" &amp; CHOOSE(CEILING(S556/6, 1), "1", "2")</f>
        <v>2024-H1</v>
      </c>
      <c r="W556" s="32"/>
      <c r="X556" s="32"/>
    </row>
    <row r="557">
      <c r="A557" s="77">
        <f>HYPERLINK("https://polkadot.subsquare.io/referenda/555", 555)</f>
        <v>555</v>
      </c>
      <c r="B557" s="40" t="s">
        <v>1195</v>
      </c>
      <c r="C557" s="40" t="s">
        <v>1851</v>
      </c>
      <c r="D557" s="78">
        <v>64329.0</v>
      </c>
      <c r="E557" s="79">
        <v>686077.2486963272</v>
      </c>
      <c r="F557" s="40" t="s">
        <v>1853</v>
      </c>
      <c r="G557" s="78">
        <v>2.8993230107458778E7</v>
      </c>
      <c r="H557" s="78">
        <v>1.2726872899917431E7</v>
      </c>
      <c r="I557" s="80">
        <v>45357.0</v>
      </c>
      <c r="J557" s="80">
        <v>45389.0</v>
      </c>
      <c r="K557" s="79">
        <v>541579.5109577179</v>
      </c>
      <c r="L557" s="70" t="s">
        <v>81</v>
      </c>
      <c r="M557" s="71" t="s">
        <v>86</v>
      </c>
      <c r="N557" s="61"/>
      <c r="O557" s="86"/>
      <c r="P557" s="86"/>
      <c r="Q557" s="86"/>
      <c r="R557" s="61" t="str">
        <f t="shared" si="6"/>
        <v>2024</v>
      </c>
      <c r="S557" s="62">
        <f t="shared" si="7"/>
        <v>4</v>
      </c>
      <c r="T557" s="61" t="str">
        <f t="shared" si="8"/>
        <v>2024-Q2</v>
      </c>
      <c r="U557" s="63" t="str">
        <f t="shared" si="9"/>
        <v>2024-04</v>
      </c>
      <c r="V557" s="64" t="str">
        <f t="shared" si="10"/>
        <v>2024-H1</v>
      </c>
      <c r="W557" s="32"/>
      <c r="X557" s="32"/>
    </row>
    <row r="558">
      <c r="A558" s="77">
        <f>HYPERLINK("https://polkadot.subsquare.io/referenda/556", 556)</f>
        <v>556</v>
      </c>
      <c r="B558" s="40" t="s">
        <v>2149</v>
      </c>
      <c r="C558" s="40" t="s">
        <v>1846</v>
      </c>
      <c r="D558" s="78">
        <v>0.0</v>
      </c>
      <c r="E558" s="79">
        <v>0.0</v>
      </c>
      <c r="F558" s="40" t="s">
        <v>1855</v>
      </c>
      <c r="G558" s="78">
        <v>6378737.315504522</v>
      </c>
      <c r="H558" s="78">
        <v>5.2604431923161075E7</v>
      </c>
      <c r="I558" s="80">
        <v>45357.0</v>
      </c>
      <c r="J558" s="80">
        <v>45385.0</v>
      </c>
      <c r="K558" s="79">
        <v>0.0</v>
      </c>
      <c r="L558" s="81"/>
      <c r="M558" s="81"/>
      <c r="N558" s="86"/>
      <c r="O558" s="61"/>
      <c r="P558" s="61"/>
      <c r="Q558" s="61"/>
      <c r="R558" s="61" t="str">
        <f t="shared" si="6"/>
        <v>2024</v>
      </c>
      <c r="S558" s="62">
        <f t="shared" si="7"/>
        <v>4</v>
      </c>
      <c r="T558" s="61" t="str">
        <f t="shared" si="8"/>
        <v>2024-Q2</v>
      </c>
      <c r="U558" s="63" t="str">
        <f t="shared" si="9"/>
        <v>2024-04</v>
      </c>
      <c r="V558" s="64" t="str">
        <f t="shared" si="10"/>
        <v>2024-H1</v>
      </c>
      <c r="W558" s="32"/>
      <c r="X558" s="32"/>
    </row>
    <row r="559">
      <c r="A559" s="77">
        <f>HYPERLINK("https://polkadot.subsquare.io/referenda/557", 557)</f>
        <v>557</v>
      </c>
      <c r="B559" s="40" t="s">
        <v>2150</v>
      </c>
      <c r="C559" s="40" t="s">
        <v>1851</v>
      </c>
      <c r="D559" s="78">
        <v>0.0</v>
      </c>
      <c r="E559" s="79">
        <v>0.0</v>
      </c>
      <c r="F559" s="40" t="s">
        <v>1853</v>
      </c>
      <c r="G559" s="78">
        <v>4.114682858828724E7</v>
      </c>
      <c r="H559" s="78">
        <v>3656734.4859848544</v>
      </c>
      <c r="I559" s="80">
        <v>45357.0</v>
      </c>
      <c r="J559" s="80">
        <v>45380.0</v>
      </c>
      <c r="K559" s="79">
        <v>0.0</v>
      </c>
      <c r="L559" s="70" t="s">
        <v>81</v>
      </c>
      <c r="M559" s="70" t="s">
        <v>88</v>
      </c>
      <c r="N559" s="61"/>
      <c r="O559" s="86" t="s">
        <v>1881</v>
      </c>
      <c r="P559" s="86" t="s">
        <v>1881</v>
      </c>
      <c r="Q559" s="86"/>
      <c r="R559" s="61" t="str">
        <f t="shared" si="6"/>
        <v>2024</v>
      </c>
      <c r="S559" s="62">
        <f t="shared" si="7"/>
        <v>3</v>
      </c>
      <c r="T559" s="61" t="str">
        <f t="shared" si="8"/>
        <v>2024-Q1</v>
      </c>
      <c r="U559" s="63" t="str">
        <f t="shared" si="9"/>
        <v>2024-03</v>
      </c>
      <c r="V559" s="64" t="str">
        <f t="shared" si="10"/>
        <v>2024-H1</v>
      </c>
      <c r="W559" s="32"/>
      <c r="X559" s="32"/>
    </row>
    <row r="560">
      <c r="A560" s="77">
        <f>HYPERLINK("https://polkadot.subsquare.io/referenda/558", 558)</f>
        <v>558</v>
      </c>
      <c r="B560" s="40" t="s">
        <v>2151</v>
      </c>
      <c r="C560" s="40" t="s">
        <v>1851</v>
      </c>
      <c r="D560" s="78">
        <v>0.0</v>
      </c>
      <c r="E560" s="79">
        <v>0.0</v>
      </c>
      <c r="F560" s="40" t="s">
        <v>1853</v>
      </c>
      <c r="G560" s="78">
        <v>5.3068844008963026E7</v>
      </c>
      <c r="H560" s="78">
        <v>3660220.937915298</v>
      </c>
      <c r="I560" s="80">
        <v>45357.0</v>
      </c>
      <c r="J560" s="80">
        <v>45378.0</v>
      </c>
      <c r="K560" s="79">
        <v>0.0</v>
      </c>
      <c r="L560" s="81" t="s">
        <v>46</v>
      </c>
      <c r="M560" s="81" t="s">
        <v>126</v>
      </c>
      <c r="N560" s="86"/>
      <c r="O560" s="61" t="s">
        <v>1881</v>
      </c>
      <c r="P560" s="61" t="s">
        <v>1881</v>
      </c>
      <c r="Q560" s="61"/>
      <c r="R560" s="61" t="str">
        <f t="shared" si="6"/>
        <v>2024</v>
      </c>
      <c r="S560" s="62">
        <f t="shared" si="7"/>
        <v>3</v>
      </c>
      <c r="T560" s="61" t="str">
        <f t="shared" si="8"/>
        <v>2024-Q1</v>
      </c>
      <c r="U560" s="63" t="str">
        <f t="shared" si="9"/>
        <v>2024-03</v>
      </c>
      <c r="V560" s="64" t="str">
        <f t="shared" si="10"/>
        <v>2024-H1</v>
      </c>
      <c r="W560" s="32"/>
      <c r="X560" s="32"/>
    </row>
    <row r="561">
      <c r="A561" s="77">
        <f>HYPERLINK("https://polkadot.subsquare.io/referenda/377", 377)</f>
        <v>377</v>
      </c>
      <c r="B561" s="40" t="s">
        <v>1123</v>
      </c>
      <c r="C561" s="40" t="s">
        <v>1851</v>
      </c>
      <c r="D561" s="78">
        <v>71842.0</v>
      </c>
      <c r="E561" s="79">
        <v>572518.3773050308</v>
      </c>
      <c r="F561" s="40" t="s">
        <v>1853</v>
      </c>
      <c r="G561" s="78">
        <v>4.106191528092714E7</v>
      </c>
      <c r="H561" s="78">
        <v>1947502.7517093113</v>
      </c>
      <c r="I561" s="80">
        <v>45280.0</v>
      </c>
      <c r="J561" s="80">
        <v>45300.0</v>
      </c>
      <c r="K561" s="79">
        <v>586962.711227417</v>
      </c>
      <c r="L561" s="70" t="s">
        <v>46</v>
      </c>
      <c r="M561" s="70" t="s">
        <v>116</v>
      </c>
      <c r="N561" s="61"/>
      <c r="O561" s="86"/>
      <c r="P561" s="86"/>
      <c r="Q561" s="86"/>
      <c r="R561" s="61" t="str">
        <f t="shared" si="6"/>
        <v>2024</v>
      </c>
      <c r="S561" s="62">
        <f t="shared" si="7"/>
        <v>1</v>
      </c>
      <c r="T561" s="61" t="str">
        <f t="shared" si="8"/>
        <v>2024-Q1</v>
      </c>
      <c r="U561" s="63" t="str">
        <f t="shared" si="9"/>
        <v>2024-01</v>
      </c>
      <c r="V561" s="64" t="str">
        <f t="shared" si="10"/>
        <v>2024-H1</v>
      </c>
      <c r="W561" s="32"/>
      <c r="X561" s="32"/>
    </row>
    <row r="562">
      <c r="A562" s="77">
        <f>HYPERLINK("https://polkadot.subsquare.io/referenda/560", 560)</f>
        <v>560</v>
      </c>
      <c r="B562" s="40" t="s">
        <v>2152</v>
      </c>
      <c r="C562" s="40" t="s">
        <v>1851</v>
      </c>
      <c r="D562" s="78">
        <v>1000000.0</v>
      </c>
      <c r="E562" s="79">
        <v>1.0522542953491211E7</v>
      </c>
      <c r="F562" s="40" t="s">
        <v>1855</v>
      </c>
      <c r="G562" s="78">
        <v>5.649735380051413E7</v>
      </c>
      <c r="H562" s="78">
        <v>9316324.400581703</v>
      </c>
      <c r="I562" s="80">
        <v>45357.0</v>
      </c>
      <c r="J562" s="80">
        <v>45385.0</v>
      </c>
      <c r="K562" s="79">
        <v>8389035.22491455</v>
      </c>
      <c r="L562" s="81" t="s">
        <v>47</v>
      </c>
      <c r="M562" s="81" t="s">
        <v>2153</v>
      </c>
      <c r="N562" s="86" t="s">
        <v>1881</v>
      </c>
      <c r="O562" s="61"/>
      <c r="P562" s="61"/>
      <c r="Q562" s="61"/>
      <c r="R562" s="61" t="str">
        <f t="shared" si="6"/>
        <v>2024</v>
      </c>
      <c r="S562" s="62">
        <f t="shared" si="7"/>
        <v>4</v>
      </c>
      <c r="T562" s="61" t="str">
        <f t="shared" si="8"/>
        <v>2024-Q2</v>
      </c>
      <c r="U562" s="63" t="str">
        <f t="shared" si="9"/>
        <v>2024-04</v>
      </c>
      <c r="V562" s="64" t="str">
        <f t="shared" si="10"/>
        <v>2024-H1</v>
      </c>
      <c r="W562" s="32"/>
      <c r="X562" s="32"/>
    </row>
    <row r="563">
      <c r="A563" s="77">
        <f>HYPERLINK("https://polkadot.subsquare.io/referenda/561", 561)</f>
        <v>561</v>
      </c>
      <c r="B563" s="40" t="s">
        <v>1197</v>
      </c>
      <c r="C563" s="40" t="s">
        <v>1851</v>
      </c>
      <c r="D563" s="78">
        <v>999999.9999999999</v>
      </c>
      <c r="E563" s="79">
        <v>1.052254295349121E7</v>
      </c>
      <c r="F563" s="40" t="s">
        <v>1855</v>
      </c>
      <c r="G563" s="78">
        <v>5.663275906343913E7</v>
      </c>
      <c r="H563" s="78">
        <v>9315169.344027791</v>
      </c>
      <c r="I563" s="80">
        <v>45357.0</v>
      </c>
      <c r="J563" s="80">
        <v>45385.0</v>
      </c>
      <c r="K563" s="79">
        <v>8389035.224914549</v>
      </c>
      <c r="L563" s="70" t="s">
        <v>47</v>
      </c>
      <c r="M563" s="70" t="s">
        <v>119</v>
      </c>
      <c r="N563" s="61"/>
      <c r="O563" s="86"/>
      <c r="P563" s="86"/>
      <c r="Q563" s="86"/>
      <c r="R563" s="61" t="str">
        <f t="shared" si="6"/>
        <v>2024</v>
      </c>
      <c r="S563" s="62">
        <f t="shared" si="7"/>
        <v>4</v>
      </c>
      <c r="T563" s="61" t="str">
        <f t="shared" si="8"/>
        <v>2024-Q2</v>
      </c>
      <c r="U563" s="63" t="str">
        <f t="shared" si="9"/>
        <v>2024-04</v>
      </c>
      <c r="V563" s="64" t="str">
        <f t="shared" si="10"/>
        <v>2024-H1</v>
      </c>
      <c r="W563" s="32"/>
      <c r="X563" s="32"/>
    </row>
    <row r="564">
      <c r="A564" s="77">
        <f>HYPERLINK("https://polkadot.subsquare.io/referenda/562", 562)</f>
        <v>562</v>
      </c>
      <c r="B564" s="40" t="s">
        <v>2154</v>
      </c>
      <c r="C564" s="40" t="s">
        <v>1851</v>
      </c>
      <c r="D564" s="78">
        <v>0.0</v>
      </c>
      <c r="E564" s="79">
        <v>0.0</v>
      </c>
      <c r="F564" s="40" t="s">
        <v>1866</v>
      </c>
      <c r="G564" s="78">
        <v>6656004.024445286</v>
      </c>
      <c r="H564" s="78">
        <v>5886091.329236806</v>
      </c>
      <c r="I564" s="80">
        <v>45358.0</v>
      </c>
      <c r="J564" s="80">
        <v>45395.0</v>
      </c>
      <c r="K564" s="79">
        <v>0.0</v>
      </c>
      <c r="L564" s="81"/>
      <c r="M564" s="81"/>
      <c r="N564" s="86"/>
      <c r="O564" s="61" t="s">
        <v>1881</v>
      </c>
      <c r="P564" s="61" t="s">
        <v>1881</v>
      </c>
      <c r="Q564" s="61"/>
      <c r="R564" s="61" t="str">
        <f t="shared" si="6"/>
        <v>2024</v>
      </c>
      <c r="S564" s="62">
        <f t="shared" si="7"/>
        <v>4</v>
      </c>
      <c r="T564" s="61" t="str">
        <f t="shared" si="8"/>
        <v>2024-Q2</v>
      </c>
      <c r="U564" s="63" t="str">
        <f t="shared" si="9"/>
        <v>2024-04</v>
      </c>
      <c r="V564" s="64" t="str">
        <f t="shared" si="10"/>
        <v>2024-H1</v>
      </c>
      <c r="W564" s="32"/>
      <c r="X564" s="32"/>
    </row>
    <row r="565">
      <c r="A565" s="77">
        <f>HYPERLINK("https://polkadot.subsquare.io/referenda/563", 563)</f>
        <v>563</v>
      </c>
      <c r="B565" s="40"/>
      <c r="C565" s="40" t="s">
        <v>1861</v>
      </c>
      <c r="D565" s="78">
        <v>0.0</v>
      </c>
      <c r="E565" s="79">
        <v>0.0</v>
      </c>
      <c r="F565" s="40" t="s">
        <v>1970</v>
      </c>
      <c r="G565" s="78">
        <v>351354.5467962191</v>
      </c>
      <c r="H565" s="78">
        <v>2798853.017290459</v>
      </c>
      <c r="I565" s="80">
        <v>45359.0</v>
      </c>
      <c r="J565" s="80">
        <v>45373.0</v>
      </c>
      <c r="K565" s="79">
        <v>0.0</v>
      </c>
      <c r="L565" s="70"/>
      <c r="M565" s="70"/>
      <c r="N565" s="61"/>
      <c r="O565" s="86"/>
      <c r="P565" s="86"/>
      <c r="Q565" s="86"/>
      <c r="R565" s="61" t="str">
        <f t="shared" si="6"/>
        <v>2024</v>
      </c>
      <c r="S565" s="62">
        <f t="shared" si="7"/>
        <v>3</v>
      </c>
      <c r="T565" s="61" t="str">
        <f t="shared" si="8"/>
        <v>2024-Q1</v>
      </c>
      <c r="U565" s="63" t="str">
        <f t="shared" si="9"/>
        <v>2024-03</v>
      </c>
      <c r="V565" s="64" t="str">
        <f t="shared" si="10"/>
        <v>2024-H1</v>
      </c>
      <c r="W565" s="32"/>
      <c r="X565" s="32"/>
    </row>
    <row r="566">
      <c r="A566" s="77">
        <f>HYPERLINK("https://polkadot.subsquare.io/referenda/564", 564)</f>
        <v>564</v>
      </c>
      <c r="B566" s="40" t="s">
        <v>2155</v>
      </c>
      <c r="C566" s="40" t="s">
        <v>1861</v>
      </c>
      <c r="D566" s="78">
        <v>31200.0</v>
      </c>
      <c r="E566" s="79">
        <v>320698.97689819336</v>
      </c>
      <c r="F566" s="40" t="s">
        <v>1970</v>
      </c>
      <c r="G566" s="78">
        <v>4080227.2882983503</v>
      </c>
      <c r="H566" s="78">
        <v>594274.4879075688</v>
      </c>
      <c r="I566" s="80">
        <v>45359.0</v>
      </c>
      <c r="J566" s="80">
        <v>45373.0</v>
      </c>
      <c r="K566" s="79">
        <v>292322.4540710449</v>
      </c>
      <c r="L566" s="81"/>
      <c r="M566" s="81"/>
      <c r="N566" s="86"/>
      <c r="O566" s="61"/>
      <c r="P566" s="61"/>
      <c r="Q566" s="61"/>
      <c r="R566" s="61" t="str">
        <f t="shared" si="6"/>
        <v>2024</v>
      </c>
      <c r="S566" s="62">
        <f t="shared" si="7"/>
        <v>3</v>
      </c>
      <c r="T566" s="61" t="str">
        <f t="shared" si="8"/>
        <v>2024-Q1</v>
      </c>
      <c r="U566" s="63" t="str">
        <f t="shared" si="9"/>
        <v>2024-03</v>
      </c>
      <c r="V566" s="64" t="str">
        <f t="shared" si="10"/>
        <v>2024-H1</v>
      </c>
      <c r="W566" s="32"/>
      <c r="X566" s="32"/>
    </row>
    <row r="567">
      <c r="A567" s="77">
        <f>HYPERLINK("https://polkadot.subsquare.io/referenda/565", 565)</f>
        <v>565</v>
      </c>
      <c r="B567" s="40" t="s">
        <v>2156</v>
      </c>
      <c r="C567" s="40" t="s">
        <v>1846</v>
      </c>
      <c r="D567" s="78">
        <v>0.0</v>
      </c>
      <c r="E567" s="79">
        <v>0.0</v>
      </c>
      <c r="F567" s="40" t="s">
        <v>1853</v>
      </c>
      <c r="G567" s="78">
        <v>2.2019297241739362E7</v>
      </c>
      <c r="H567" s="78">
        <v>3.182076156662488E7</v>
      </c>
      <c r="I567" s="80">
        <v>45360.0</v>
      </c>
      <c r="J567" s="80">
        <v>45388.0</v>
      </c>
      <c r="K567" s="79">
        <v>0.0</v>
      </c>
      <c r="L567" s="70"/>
      <c r="M567" s="70"/>
      <c r="N567" s="61"/>
      <c r="O567" s="86"/>
      <c r="P567" s="86"/>
      <c r="Q567" s="86"/>
      <c r="R567" s="61" t="str">
        <f t="shared" si="6"/>
        <v>2024</v>
      </c>
      <c r="S567" s="62">
        <f t="shared" si="7"/>
        <v>4</v>
      </c>
      <c r="T567" s="61" t="str">
        <f t="shared" si="8"/>
        <v>2024-Q2</v>
      </c>
      <c r="U567" s="63" t="str">
        <f t="shared" si="9"/>
        <v>2024-04</v>
      </c>
      <c r="V567" s="64" t="str">
        <f t="shared" si="10"/>
        <v>2024-H1</v>
      </c>
      <c r="W567" s="32"/>
      <c r="X567" s="32"/>
    </row>
    <row r="568">
      <c r="A568" s="77">
        <f>HYPERLINK("https://polkadot.subsquare.io/referenda/566", 566)</f>
        <v>566</v>
      </c>
      <c r="B568" s="40"/>
      <c r="C568" s="40" t="s">
        <v>1861</v>
      </c>
      <c r="D568" s="78">
        <v>6.621E-7</v>
      </c>
      <c r="E568" s="79">
        <v>7.102098705482483E-6</v>
      </c>
      <c r="F568" s="40" t="s">
        <v>1848</v>
      </c>
      <c r="G568" s="78">
        <v>0.0</v>
      </c>
      <c r="H568" s="78">
        <v>2.1916057864740487E7</v>
      </c>
      <c r="I568" s="80">
        <v>45360.0</v>
      </c>
      <c r="J568" s="80">
        <v>45374.0</v>
      </c>
      <c r="K568" s="79">
        <v>6.416129473114013E-6</v>
      </c>
      <c r="L568" s="81"/>
      <c r="M568" s="81"/>
      <c r="N568" s="86"/>
      <c r="O568" s="61"/>
      <c r="P568" s="61"/>
      <c r="Q568" s="61"/>
      <c r="R568" s="61" t="str">
        <f t="shared" si="6"/>
        <v>2024</v>
      </c>
      <c r="S568" s="62">
        <f t="shared" si="7"/>
        <v>3</v>
      </c>
      <c r="T568" s="61" t="str">
        <f t="shared" si="8"/>
        <v>2024-Q1</v>
      </c>
      <c r="U568" s="63" t="str">
        <f t="shared" si="9"/>
        <v>2024-03</v>
      </c>
      <c r="V568" s="64" t="str">
        <f t="shared" si="10"/>
        <v>2024-H1</v>
      </c>
      <c r="W568" s="32"/>
      <c r="X568" s="32"/>
    </row>
    <row r="569">
      <c r="A569" s="77">
        <f>HYPERLINK("https://polkadot.subsquare.io/referenda/567", 567)</f>
        <v>567</v>
      </c>
      <c r="B569" s="40" t="s">
        <v>1198</v>
      </c>
      <c r="C569" s="40" t="s">
        <v>1851</v>
      </c>
      <c r="D569" s="78">
        <v>7215.0</v>
      </c>
      <c r="E569" s="79">
        <v>77392.60256767273</v>
      </c>
      <c r="F569" s="40" t="s">
        <v>1848</v>
      </c>
      <c r="G569" s="78">
        <v>5.5976035508463316E7</v>
      </c>
      <c r="H569" s="78">
        <v>392707.2075987436</v>
      </c>
      <c r="I569" s="80">
        <v>45360.0</v>
      </c>
      <c r="J569" s="80">
        <v>45374.0</v>
      </c>
      <c r="K569" s="79">
        <v>69917.49607086182</v>
      </c>
      <c r="L569" s="70" t="s">
        <v>46</v>
      </c>
      <c r="M569" s="70" t="s">
        <v>126</v>
      </c>
      <c r="N569" s="61"/>
      <c r="O569" s="86"/>
      <c r="P569" s="86"/>
      <c r="Q569" s="86"/>
      <c r="R569" s="61" t="str">
        <f t="shared" si="6"/>
        <v>2024</v>
      </c>
      <c r="S569" s="62">
        <f t="shared" si="7"/>
        <v>3</v>
      </c>
      <c r="T569" s="61" t="str">
        <f t="shared" si="8"/>
        <v>2024-Q1</v>
      </c>
      <c r="U569" s="63" t="str">
        <f t="shared" si="9"/>
        <v>2024-03</v>
      </c>
      <c r="V569" s="64" t="str">
        <f t="shared" si="10"/>
        <v>2024-H1</v>
      </c>
      <c r="W569" s="32"/>
      <c r="X569" s="32"/>
    </row>
    <row r="570">
      <c r="A570" s="77">
        <f>HYPERLINK("https://polkadot.subsquare.io/referenda/568", 568)</f>
        <v>568</v>
      </c>
      <c r="B570" s="40" t="s">
        <v>1199</v>
      </c>
      <c r="C570" s="40" t="s">
        <v>1851</v>
      </c>
      <c r="D570" s="78">
        <v>9500.0</v>
      </c>
      <c r="E570" s="79">
        <v>101902.94170379639</v>
      </c>
      <c r="F570" s="40" t="s">
        <v>1848</v>
      </c>
      <c r="G570" s="78">
        <v>2.055178827516754E7</v>
      </c>
      <c r="H570" s="78">
        <v>6521571.552653668</v>
      </c>
      <c r="I570" s="80">
        <v>45360.0</v>
      </c>
      <c r="J570" s="80">
        <v>45384.0</v>
      </c>
      <c r="K570" s="79">
        <v>79695.83463668823</v>
      </c>
      <c r="L570" s="81" t="s">
        <v>48</v>
      </c>
      <c r="M570" s="81" t="s">
        <v>131</v>
      </c>
      <c r="N570" s="86"/>
      <c r="O570" s="61"/>
      <c r="P570" s="61"/>
      <c r="Q570" s="61"/>
      <c r="R570" s="61" t="str">
        <f t="shared" si="6"/>
        <v>2024</v>
      </c>
      <c r="S570" s="62">
        <f t="shared" si="7"/>
        <v>4</v>
      </c>
      <c r="T570" s="61" t="str">
        <f t="shared" si="8"/>
        <v>2024-Q2</v>
      </c>
      <c r="U570" s="63" t="str">
        <f t="shared" si="9"/>
        <v>2024-04</v>
      </c>
      <c r="V570" s="64" t="str">
        <f t="shared" si="10"/>
        <v>2024-H1</v>
      </c>
      <c r="W570" s="32"/>
      <c r="X570" s="32"/>
    </row>
    <row r="571">
      <c r="A571" s="77">
        <f>HYPERLINK("https://polkadot.subsquare.io/referenda/569", 569)</f>
        <v>569</v>
      </c>
      <c r="B571" s="40" t="s">
        <v>1200</v>
      </c>
      <c r="C571" s="40" t="s">
        <v>1851</v>
      </c>
      <c r="D571" s="78">
        <v>900.0</v>
      </c>
      <c r="E571" s="79">
        <v>9653.962898254395</v>
      </c>
      <c r="F571" s="40" t="s">
        <v>1869</v>
      </c>
      <c r="G571" s="78">
        <v>2.1772603304757383E7</v>
      </c>
      <c r="H571" s="78">
        <v>38053.2</v>
      </c>
      <c r="I571" s="80">
        <v>45361.0</v>
      </c>
      <c r="J571" s="80">
        <v>45364.0</v>
      </c>
      <c r="K571" s="79">
        <v>8727.157974243164</v>
      </c>
      <c r="L571" s="70" t="s">
        <v>81</v>
      </c>
      <c r="M571" s="70" t="s">
        <v>89</v>
      </c>
      <c r="N571" s="61"/>
      <c r="O571" s="86"/>
      <c r="P571" s="86"/>
      <c r="Q571" s="86"/>
      <c r="R571" s="61" t="str">
        <f t="shared" si="6"/>
        <v>2024</v>
      </c>
      <c r="S571" s="62">
        <f t="shared" si="7"/>
        <v>3</v>
      </c>
      <c r="T571" s="61" t="str">
        <f t="shared" si="8"/>
        <v>2024-Q1</v>
      </c>
      <c r="U571" s="63" t="str">
        <f t="shared" si="9"/>
        <v>2024-03</v>
      </c>
      <c r="V571" s="64" t="str">
        <f t="shared" si="10"/>
        <v>2024-H1</v>
      </c>
      <c r="W571" s="32"/>
      <c r="X571" s="32"/>
    </row>
    <row r="572">
      <c r="A572" s="77">
        <f>HYPERLINK("https://polkadot.subsquare.io/referenda/570", 570)</f>
        <v>570</v>
      </c>
      <c r="B572" s="40" t="s">
        <v>2157</v>
      </c>
      <c r="C572" s="40" t="s">
        <v>1861</v>
      </c>
      <c r="D572" s="78">
        <v>0.0</v>
      </c>
      <c r="E572" s="79">
        <v>0.0</v>
      </c>
      <c r="F572" s="40" t="s">
        <v>1852</v>
      </c>
      <c r="G572" s="78">
        <v>159023.2204742318</v>
      </c>
      <c r="H572" s="78">
        <v>3724517.3345806785</v>
      </c>
      <c r="I572" s="80">
        <v>45361.0</v>
      </c>
      <c r="J572" s="80">
        <v>45375.0</v>
      </c>
      <c r="K572" s="79">
        <v>0.0</v>
      </c>
      <c r="L572" s="81"/>
      <c r="M572" s="81"/>
      <c r="N572" s="86"/>
      <c r="O572" s="61"/>
      <c r="P572" s="61"/>
      <c r="Q572" s="61"/>
      <c r="R572" s="61" t="str">
        <f t="shared" si="6"/>
        <v>2024</v>
      </c>
      <c r="S572" s="62">
        <f t="shared" si="7"/>
        <v>3</v>
      </c>
      <c r="T572" s="61" t="str">
        <f t="shared" si="8"/>
        <v>2024-Q1</v>
      </c>
      <c r="U572" s="63" t="str">
        <f t="shared" si="9"/>
        <v>2024-03</v>
      </c>
      <c r="V572" s="64" t="str">
        <f t="shared" si="10"/>
        <v>2024-H1</v>
      </c>
      <c r="W572" s="32"/>
      <c r="X572" s="32"/>
    </row>
    <row r="573">
      <c r="A573" s="77">
        <f>HYPERLINK("https://polkadot.subsquare.io/referenda/571", 571)</f>
        <v>571</v>
      </c>
      <c r="B573" s="40"/>
      <c r="C573" s="40" t="s">
        <v>1851</v>
      </c>
      <c r="D573" s="78">
        <v>20.0</v>
      </c>
      <c r="E573" s="79">
        <v>214.53250885009766</v>
      </c>
      <c r="F573" s="40" t="s">
        <v>982</v>
      </c>
      <c r="G573" s="78">
        <v>1.5509676192860667E7</v>
      </c>
      <c r="H573" s="78">
        <v>23.1</v>
      </c>
      <c r="I573" s="80">
        <v>45361.0</v>
      </c>
      <c r="J573" s="80">
        <v>45363.0</v>
      </c>
      <c r="K573" s="79">
        <v>216.76727294921875</v>
      </c>
      <c r="L573" s="70" t="s">
        <v>46</v>
      </c>
      <c r="M573" s="70" t="s">
        <v>102</v>
      </c>
      <c r="N573" s="61"/>
      <c r="O573" s="86"/>
      <c r="P573" s="86"/>
      <c r="Q573" s="86"/>
      <c r="R573" s="61" t="str">
        <f t="shared" si="6"/>
        <v>2024</v>
      </c>
      <c r="S573" s="62">
        <f t="shared" si="7"/>
        <v>3</v>
      </c>
      <c r="T573" s="61" t="str">
        <f t="shared" si="8"/>
        <v>2024-Q1</v>
      </c>
      <c r="U573" s="63" t="str">
        <f t="shared" si="9"/>
        <v>2024-03</v>
      </c>
      <c r="V573" s="64" t="str">
        <f t="shared" si="10"/>
        <v>2024-H1</v>
      </c>
      <c r="W573" s="32"/>
      <c r="X573" s="32"/>
    </row>
    <row r="574">
      <c r="A574" s="77">
        <f>HYPERLINK("https://polkadot.subsquare.io/referenda/572", 572)</f>
        <v>572</v>
      </c>
      <c r="B574" s="40" t="s">
        <v>2158</v>
      </c>
      <c r="C574" s="40" t="s">
        <v>1846</v>
      </c>
      <c r="D574" s="78">
        <v>3.1474E-6</v>
      </c>
      <c r="E574" s="79">
        <v>3.563197384929657E-5</v>
      </c>
      <c r="F574" s="40" t="s">
        <v>1853</v>
      </c>
      <c r="G574" s="78">
        <v>5272.33429015</v>
      </c>
      <c r="H574" s="78">
        <v>3.1452291738306064E7</v>
      </c>
      <c r="I574" s="80">
        <v>45361.0</v>
      </c>
      <c r="J574" s="80">
        <v>45389.0</v>
      </c>
      <c r="K574" s="79">
        <v>2.6497650403213502E-5</v>
      </c>
      <c r="L574" s="81"/>
      <c r="M574" s="81"/>
      <c r="N574" s="86"/>
      <c r="O574" s="61"/>
      <c r="P574" s="61"/>
      <c r="Q574" s="61"/>
      <c r="R574" s="61" t="str">
        <f t="shared" si="6"/>
        <v>2024</v>
      </c>
      <c r="S574" s="62">
        <f t="shared" si="7"/>
        <v>4</v>
      </c>
      <c r="T574" s="61" t="str">
        <f t="shared" si="8"/>
        <v>2024-Q2</v>
      </c>
      <c r="U574" s="63" t="str">
        <f t="shared" si="9"/>
        <v>2024-04</v>
      </c>
      <c r="V574" s="64" t="str">
        <f t="shared" si="10"/>
        <v>2024-H1</v>
      </c>
      <c r="W574" s="32"/>
      <c r="X574" s="32"/>
    </row>
    <row r="575">
      <c r="A575" s="77">
        <f>HYPERLINK("https://polkadot.subsquare.io/referenda/573", 573)</f>
        <v>573</v>
      </c>
      <c r="B575" s="40" t="s">
        <v>1201</v>
      </c>
      <c r="C575" s="40" t="s">
        <v>1851</v>
      </c>
      <c r="D575" s="78">
        <v>31474.0</v>
      </c>
      <c r="E575" s="79">
        <v>356319.7384929657</v>
      </c>
      <c r="F575" s="40" t="s">
        <v>1853</v>
      </c>
      <c r="G575" s="78">
        <v>2.668803964254866E7</v>
      </c>
      <c r="H575" s="78">
        <v>178421.2</v>
      </c>
      <c r="I575" s="80">
        <v>45361.0</v>
      </c>
      <c r="J575" s="80">
        <v>45388.0</v>
      </c>
      <c r="K575" s="79">
        <v>272566.48607444763</v>
      </c>
      <c r="L575" s="70" t="s">
        <v>81</v>
      </c>
      <c r="M575" s="70" t="s">
        <v>89</v>
      </c>
      <c r="N575" s="61"/>
      <c r="O575" s="86"/>
      <c r="P575" s="86"/>
      <c r="Q575" s="86"/>
      <c r="R575" s="61" t="str">
        <f t="shared" si="6"/>
        <v>2024</v>
      </c>
      <c r="S575" s="62">
        <f t="shared" si="7"/>
        <v>4</v>
      </c>
      <c r="T575" s="61" t="str">
        <f t="shared" si="8"/>
        <v>2024-Q2</v>
      </c>
      <c r="U575" s="63" t="str">
        <f t="shared" si="9"/>
        <v>2024-04</v>
      </c>
      <c r="V575" s="64" t="str">
        <f t="shared" si="10"/>
        <v>2024-H1</v>
      </c>
      <c r="W575" s="32"/>
      <c r="X575" s="32"/>
    </row>
    <row r="576">
      <c r="A576" s="77">
        <f>HYPERLINK("https://polkadot.subsquare.io/referenda/574", 574)</f>
        <v>574</v>
      </c>
      <c r="B576" s="40" t="s">
        <v>2159</v>
      </c>
      <c r="C576" s="40" t="s">
        <v>1851</v>
      </c>
      <c r="D576" s="78">
        <v>84476.0</v>
      </c>
      <c r="E576" s="79">
        <v>975098.1887435913</v>
      </c>
      <c r="F576" s="40" t="s">
        <v>1853</v>
      </c>
      <c r="G576" s="78">
        <v>2.7123074765413158E7</v>
      </c>
      <c r="H576" s="78">
        <v>5540634.367341298</v>
      </c>
      <c r="I576" s="80">
        <v>45362.0</v>
      </c>
      <c r="J576" s="80">
        <v>45392.0</v>
      </c>
      <c r="K576" s="79">
        <v>611698.2231445312</v>
      </c>
      <c r="L576" s="81" t="s">
        <v>49</v>
      </c>
      <c r="M576" s="81" t="s">
        <v>93</v>
      </c>
      <c r="N576" s="84" t="s">
        <v>1881</v>
      </c>
      <c r="O576" s="61" t="s">
        <v>1881</v>
      </c>
      <c r="P576" s="61" t="s">
        <v>1881</v>
      </c>
      <c r="Q576" s="61"/>
      <c r="R576" s="61" t="str">
        <f t="shared" si="6"/>
        <v>2024</v>
      </c>
      <c r="S576" s="62">
        <f t="shared" si="7"/>
        <v>4</v>
      </c>
      <c r="T576" s="61" t="str">
        <f t="shared" si="8"/>
        <v>2024-Q2</v>
      </c>
      <c r="U576" s="63" t="str">
        <f t="shared" si="9"/>
        <v>2024-04</v>
      </c>
      <c r="V576" s="64" t="str">
        <f t="shared" si="10"/>
        <v>2024-H1</v>
      </c>
      <c r="W576" s="32"/>
      <c r="X576" s="32"/>
    </row>
    <row r="577">
      <c r="A577" s="77">
        <f>HYPERLINK("https://polkadot.subsquare.io/referenda/575", 575)</f>
        <v>575</v>
      </c>
      <c r="B577" s="40" t="s">
        <v>2160</v>
      </c>
      <c r="C577" s="40" t="s">
        <v>1846</v>
      </c>
      <c r="D577" s="78">
        <v>620.0</v>
      </c>
      <c r="E577" s="79">
        <v>7156.599235534668</v>
      </c>
      <c r="F577" s="40" t="s">
        <v>1869</v>
      </c>
      <c r="G577" s="78">
        <v>6301797.348995305</v>
      </c>
      <c r="H577" s="78">
        <v>1.3916645983815167E7</v>
      </c>
      <c r="I577" s="80">
        <v>45362.0</v>
      </c>
      <c r="J577" s="80">
        <v>45369.0</v>
      </c>
      <c r="K577" s="79">
        <v>5687.193984985352</v>
      </c>
      <c r="L577" s="70"/>
      <c r="M577" s="70"/>
      <c r="N577" s="61"/>
      <c r="O577" s="86"/>
      <c r="P577" s="86"/>
      <c r="Q577" s="86"/>
      <c r="R577" s="61" t="str">
        <f t="shared" si="6"/>
        <v>2024</v>
      </c>
      <c r="S577" s="62">
        <f t="shared" si="7"/>
        <v>3</v>
      </c>
      <c r="T577" s="61" t="str">
        <f t="shared" si="8"/>
        <v>2024-Q1</v>
      </c>
      <c r="U577" s="63" t="str">
        <f t="shared" si="9"/>
        <v>2024-03</v>
      </c>
      <c r="V577" s="64" t="str">
        <f t="shared" si="10"/>
        <v>2024-H1</v>
      </c>
      <c r="W577" s="32"/>
      <c r="X577" s="32"/>
    </row>
    <row r="578">
      <c r="A578" s="77">
        <f>HYPERLINK("https://polkadot.subsquare.io/referenda/576", 576)</f>
        <v>576</v>
      </c>
      <c r="B578" s="40" t="s">
        <v>1202</v>
      </c>
      <c r="C578" s="40" t="s">
        <v>1851</v>
      </c>
      <c r="D578" s="78">
        <v>11121.0</v>
      </c>
      <c r="E578" s="79">
        <v>120533.44212341309</v>
      </c>
      <c r="F578" s="40" t="s">
        <v>1853</v>
      </c>
      <c r="G578" s="78">
        <v>3.858853669086745E7</v>
      </c>
      <c r="H578" s="78">
        <v>372833.5199173186</v>
      </c>
      <c r="I578" s="80">
        <v>45363.0</v>
      </c>
      <c r="J578" s="80">
        <v>45388.0</v>
      </c>
      <c r="K578" s="79">
        <v>100585.54290962219</v>
      </c>
      <c r="L578" s="81" t="s">
        <v>50</v>
      </c>
      <c r="M578" s="81" t="s">
        <v>50</v>
      </c>
      <c r="N578" s="86"/>
      <c r="O578" s="61"/>
      <c r="P578" s="61" t="s">
        <v>1881</v>
      </c>
      <c r="Q578" s="61"/>
      <c r="R578" s="61" t="str">
        <f t="shared" si="6"/>
        <v>2024</v>
      </c>
      <c r="S578" s="62">
        <f t="shared" si="7"/>
        <v>4</v>
      </c>
      <c r="T578" s="61" t="str">
        <f t="shared" si="8"/>
        <v>2024-Q2</v>
      </c>
      <c r="U578" s="63" t="str">
        <f t="shared" si="9"/>
        <v>2024-04</v>
      </c>
      <c r="V578" s="64" t="str">
        <f t="shared" si="10"/>
        <v>2024-H1</v>
      </c>
      <c r="W578" s="32"/>
      <c r="X578" s="32"/>
    </row>
    <row r="579">
      <c r="A579" s="77">
        <f>HYPERLINK("https://polkadot.subsquare.io/referenda/577", 577)</f>
        <v>577</v>
      </c>
      <c r="B579" s="40" t="s">
        <v>2161</v>
      </c>
      <c r="C579" s="40" t="s">
        <v>1846</v>
      </c>
      <c r="D579" s="78">
        <v>97747.61</v>
      </c>
      <c r="E579" s="79">
        <v>1059424.1428501892</v>
      </c>
      <c r="F579" s="40" t="s">
        <v>1853</v>
      </c>
      <c r="G579" s="78">
        <v>2.6266859183600828E7</v>
      </c>
      <c r="H579" s="78">
        <v>3.1948772835707758E7</v>
      </c>
      <c r="I579" s="80">
        <v>45363.0</v>
      </c>
      <c r="J579" s="80">
        <v>45392.0</v>
      </c>
      <c r="K579" s="79">
        <v>707799.1305651856</v>
      </c>
      <c r="L579" s="70"/>
      <c r="M579" s="70"/>
      <c r="N579" s="61"/>
      <c r="O579" s="86"/>
      <c r="P579" s="86"/>
      <c r="Q579" s="86"/>
      <c r="R579" s="61" t="str">
        <f t="shared" si="6"/>
        <v>2024</v>
      </c>
      <c r="S579" s="62">
        <f t="shared" si="7"/>
        <v>4</v>
      </c>
      <c r="T579" s="61" t="str">
        <f t="shared" si="8"/>
        <v>2024-Q2</v>
      </c>
      <c r="U579" s="63" t="str">
        <f t="shared" si="9"/>
        <v>2024-04</v>
      </c>
      <c r="V579" s="64" t="str">
        <f t="shared" si="10"/>
        <v>2024-H1</v>
      </c>
      <c r="W579" s="32"/>
      <c r="X579" s="32"/>
    </row>
    <row r="580">
      <c r="A580" s="77">
        <f>HYPERLINK("https://polkadot.subsquare.io/referenda/578", 578)</f>
        <v>578</v>
      </c>
      <c r="B580" s="40" t="s">
        <v>982</v>
      </c>
      <c r="C580" s="40" t="s">
        <v>1851</v>
      </c>
      <c r="D580" s="78">
        <v>20.0</v>
      </c>
      <c r="E580" s="79">
        <v>216.76727294921875</v>
      </c>
      <c r="F580" s="40" t="s">
        <v>982</v>
      </c>
      <c r="G580" s="78">
        <v>1.983412784100694E7</v>
      </c>
      <c r="H580" s="78">
        <v>5023.1</v>
      </c>
      <c r="I580" s="80">
        <v>45364.0</v>
      </c>
      <c r="J580" s="80">
        <v>45366.0</v>
      </c>
      <c r="K580" s="79">
        <v>198.14796447753906</v>
      </c>
      <c r="L580" s="81" t="s">
        <v>46</v>
      </c>
      <c r="M580" s="81" t="s">
        <v>102</v>
      </c>
      <c r="N580" s="86"/>
      <c r="O580" s="61"/>
      <c r="P580" s="61"/>
      <c r="Q580" s="61"/>
      <c r="R580" s="61" t="str">
        <f t="shared" si="6"/>
        <v>2024</v>
      </c>
      <c r="S580" s="62">
        <f t="shared" si="7"/>
        <v>3</v>
      </c>
      <c r="T580" s="61" t="str">
        <f t="shared" si="8"/>
        <v>2024-Q1</v>
      </c>
      <c r="U580" s="63" t="str">
        <f t="shared" si="9"/>
        <v>2024-03</v>
      </c>
      <c r="V580" s="64" t="str">
        <f t="shared" si="10"/>
        <v>2024-H1</v>
      </c>
      <c r="W580" s="32"/>
      <c r="X580" s="32"/>
    </row>
    <row r="581">
      <c r="A581" s="77">
        <f>HYPERLINK("https://polkadot.subsquare.io/referenda/579", 579)</f>
        <v>579</v>
      </c>
      <c r="B581" s="40" t="s">
        <v>982</v>
      </c>
      <c r="C581" s="40" t="s">
        <v>1851</v>
      </c>
      <c r="D581" s="78">
        <v>20.0</v>
      </c>
      <c r="E581" s="79">
        <v>216.76727294921875</v>
      </c>
      <c r="F581" s="40" t="s">
        <v>982</v>
      </c>
      <c r="G581" s="78">
        <v>1.982902712300694E7</v>
      </c>
      <c r="H581" s="78">
        <v>5005.0</v>
      </c>
      <c r="I581" s="80">
        <v>45364.0</v>
      </c>
      <c r="J581" s="80">
        <v>45366.0</v>
      </c>
      <c r="K581" s="79">
        <v>198.14796447753906</v>
      </c>
      <c r="L581" s="70" t="s">
        <v>46</v>
      </c>
      <c r="M581" s="70" t="s">
        <v>102</v>
      </c>
      <c r="N581" s="61"/>
      <c r="O581" s="86"/>
      <c r="P581" s="86"/>
      <c r="Q581" s="86"/>
      <c r="R581" s="61" t="str">
        <f t="shared" si="6"/>
        <v>2024</v>
      </c>
      <c r="S581" s="62">
        <f t="shared" si="7"/>
        <v>3</v>
      </c>
      <c r="T581" s="61" t="str">
        <f t="shared" si="8"/>
        <v>2024-Q1</v>
      </c>
      <c r="U581" s="63" t="str">
        <f t="shared" si="9"/>
        <v>2024-03</v>
      </c>
      <c r="V581" s="64" t="str">
        <f t="shared" si="10"/>
        <v>2024-H1</v>
      </c>
      <c r="W581" s="32"/>
      <c r="X581" s="32"/>
    </row>
    <row r="582">
      <c r="A582" s="77">
        <f>HYPERLINK("https://polkadot.subsquare.io/referenda/580", 580)</f>
        <v>580</v>
      </c>
      <c r="B582" s="40" t="s">
        <v>1203</v>
      </c>
      <c r="C582" s="40" t="s">
        <v>1851</v>
      </c>
      <c r="D582" s="78">
        <v>1000000.0</v>
      </c>
      <c r="E582" s="79">
        <v>1.0838363647460938E7</v>
      </c>
      <c r="F582" s="40" t="s">
        <v>1855</v>
      </c>
      <c r="G582" s="78">
        <v>4.3585097631919436E7</v>
      </c>
      <c r="H582" s="78">
        <v>1.3476547122945933E7</v>
      </c>
      <c r="I582" s="80">
        <v>45364.0</v>
      </c>
      <c r="J582" s="80">
        <v>45393.0</v>
      </c>
      <c r="K582" s="79">
        <v>6869346.141815186</v>
      </c>
      <c r="L582" s="81" t="s">
        <v>47</v>
      </c>
      <c r="M582" s="81" t="s">
        <v>119</v>
      </c>
      <c r="N582" s="86"/>
      <c r="O582" s="61"/>
      <c r="P582" s="61"/>
      <c r="Q582" s="61"/>
      <c r="R582" s="61" t="str">
        <f t="shared" si="6"/>
        <v>2024</v>
      </c>
      <c r="S582" s="62">
        <f t="shared" si="7"/>
        <v>4</v>
      </c>
      <c r="T582" s="61" t="str">
        <f t="shared" si="8"/>
        <v>2024-Q2</v>
      </c>
      <c r="U582" s="63" t="str">
        <f t="shared" si="9"/>
        <v>2024-04</v>
      </c>
      <c r="V582" s="64" t="str">
        <f t="shared" si="10"/>
        <v>2024-H1</v>
      </c>
      <c r="W582" s="32"/>
      <c r="X582" s="32"/>
    </row>
    <row r="583">
      <c r="A583" s="77">
        <f>HYPERLINK("https://polkadot.subsquare.io/referenda/581", 581)</f>
        <v>581</v>
      </c>
      <c r="B583" s="40" t="s">
        <v>2162</v>
      </c>
      <c r="C583" s="40" t="s">
        <v>1851</v>
      </c>
      <c r="D583" s="78">
        <v>0.0</v>
      </c>
      <c r="E583" s="79">
        <v>0.0</v>
      </c>
      <c r="F583" s="40" t="s">
        <v>1852</v>
      </c>
      <c r="G583" s="78">
        <v>9.584684971349336E7</v>
      </c>
      <c r="H583" s="78">
        <v>33.3</v>
      </c>
      <c r="I583" s="80">
        <v>45366.0</v>
      </c>
      <c r="J583" s="80">
        <v>45383.0</v>
      </c>
      <c r="K583" s="79">
        <v>0.0</v>
      </c>
      <c r="L583" s="70"/>
      <c r="M583" s="70"/>
      <c r="N583" s="61"/>
      <c r="O583" s="86"/>
      <c r="P583" s="86"/>
      <c r="Q583" s="86"/>
      <c r="R583" s="61" t="str">
        <f t="shared" si="6"/>
        <v>2024</v>
      </c>
      <c r="S583" s="62">
        <f t="shared" si="7"/>
        <v>4</v>
      </c>
      <c r="T583" s="61" t="str">
        <f t="shared" si="8"/>
        <v>2024-Q2</v>
      </c>
      <c r="U583" s="63" t="str">
        <f t="shared" si="9"/>
        <v>2024-04</v>
      </c>
      <c r="V583" s="64" t="str">
        <f t="shared" si="10"/>
        <v>2024-H1</v>
      </c>
      <c r="W583" s="32"/>
      <c r="X583" s="32"/>
    </row>
    <row r="584">
      <c r="A584" s="77">
        <f>HYPERLINK("https://polkadot.subsquare.io/referenda/370", 370)</f>
        <v>370</v>
      </c>
      <c r="B584" s="40" t="s">
        <v>1116</v>
      </c>
      <c r="C584" s="40" t="s">
        <v>1851</v>
      </c>
      <c r="D584" s="78">
        <v>44429.5</v>
      </c>
      <c r="E584" s="79">
        <v>308460.4737598896</v>
      </c>
      <c r="F584" s="40" t="s">
        <v>1853</v>
      </c>
      <c r="G584" s="78">
        <v>4.120019627424938E7</v>
      </c>
      <c r="H584" s="78">
        <v>548003.4025731898</v>
      </c>
      <c r="I584" s="80">
        <v>45277.0</v>
      </c>
      <c r="J584" s="80">
        <v>45297.0</v>
      </c>
      <c r="K584" s="79">
        <v>332241.49905347824</v>
      </c>
      <c r="L584" s="81" t="s">
        <v>46</v>
      </c>
      <c r="M584" s="81" t="s">
        <v>121</v>
      </c>
      <c r="N584" s="86"/>
      <c r="O584" s="61"/>
      <c r="P584" s="61"/>
      <c r="Q584" s="61"/>
      <c r="R584" s="61" t="str">
        <f t="shared" si="6"/>
        <v>2024</v>
      </c>
      <c r="S584" s="62">
        <f t="shared" si="7"/>
        <v>1</v>
      </c>
      <c r="T584" s="61" t="str">
        <f t="shared" si="8"/>
        <v>2024-Q1</v>
      </c>
      <c r="U584" s="63" t="str">
        <f t="shared" si="9"/>
        <v>2024-01</v>
      </c>
      <c r="V584" s="64" t="str">
        <f t="shared" si="10"/>
        <v>2024-H1</v>
      </c>
      <c r="W584" s="32"/>
      <c r="X584" s="32"/>
    </row>
    <row r="585">
      <c r="A585" s="77">
        <f>HYPERLINK("https://polkadot.subsquare.io/referenda/583", 583)</f>
        <v>583</v>
      </c>
      <c r="B585" s="40" t="s">
        <v>2163</v>
      </c>
      <c r="C585" s="40" t="s">
        <v>1846</v>
      </c>
      <c r="D585" s="78">
        <v>248929.562796</v>
      </c>
      <c r="E585" s="79">
        <v>2181708.172095138</v>
      </c>
      <c r="F585" s="40" t="s">
        <v>1855</v>
      </c>
      <c r="G585" s="78">
        <v>58275.5709033567</v>
      </c>
      <c r="H585" s="78">
        <v>3.921767729863275E7</v>
      </c>
      <c r="I585" s="80">
        <v>45367.0</v>
      </c>
      <c r="J585" s="80">
        <v>45396.0</v>
      </c>
      <c r="K585" s="79">
        <v>1667839.7744413202</v>
      </c>
      <c r="L585" s="70"/>
      <c r="M585" s="70"/>
      <c r="N585" s="61"/>
      <c r="O585" s="86"/>
      <c r="P585" s="86"/>
      <c r="Q585" s="86"/>
      <c r="R585" s="61" t="str">
        <f t="shared" si="6"/>
        <v>2024</v>
      </c>
      <c r="S585" s="62">
        <f t="shared" si="7"/>
        <v>4</v>
      </c>
      <c r="T585" s="61" t="str">
        <f t="shared" si="8"/>
        <v>2024-Q2</v>
      </c>
      <c r="U585" s="63" t="str">
        <f t="shared" si="9"/>
        <v>2024-04</v>
      </c>
      <c r="V585" s="64" t="str">
        <f t="shared" si="10"/>
        <v>2024-H1</v>
      </c>
      <c r="W585" s="32"/>
      <c r="X585" s="32"/>
    </row>
    <row r="586">
      <c r="A586" s="77">
        <f>HYPERLINK("https://polkadot.subsquare.io/referenda/584", 584)</f>
        <v>584</v>
      </c>
      <c r="B586" s="40" t="s">
        <v>1205</v>
      </c>
      <c r="C586" s="40" t="s">
        <v>1851</v>
      </c>
      <c r="D586" s="78">
        <v>167214.563518</v>
      </c>
      <c r="E586" s="79">
        <v>1465528.5439902127</v>
      </c>
      <c r="F586" s="40" t="s">
        <v>1855</v>
      </c>
      <c r="G586" s="78">
        <v>4.811509113231536E7</v>
      </c>
      <c r="H586" s="78">
        <v>608418.2545786501</v>
      </c>
      <c r="I586" s="80">
        <v>45367.0</v>
      </c>
      <c r="J586" s="80">
        <v>45399.0</v>
      </c>
      <c r="K586" s="79">
        <v>1209674.120432971</v>
      </c>
      <c r="L586" s="81" t="s">
        <v>48</v>
      </c>
      <c r="M586" s="81" t="s">
        <v>131</v>
      </c>
      <c r="N586" s="86"/>
      <c r="O586" s="61"/>
      <c r="P586" s="61"/>
      <c r="Q586" s="61"/>
      <c r="R586" s="61" t="str">
        <f t="shared" si="6"/>
        <v>2024</v>
      </c>
      <c r="S586" s="62">
        <f t="shared" si="7"/>
        <v>4</v>
      </c>
      <c r="T586" s="61" t="str">
        <f t="shared" si="8"/>
        <v>2024-Q2</v>
      </c>
      <c r="U586" s="63" t="str">
        <f t="shared" si="9"/>
        <v>2024-04</v>
      </c>
      <c r="V586" s="64" t="str">
        <f t="shared" si="10"/>
        <v>2024-H1</v>
      </c>
      <c r="W586" s="32"/>
      <c r="X586" s="32"/>
    </row>
    <row r="587">
      <c r="A587" s="77">
        <f>HYPERLINK("https://polkadot.subsquare.io/referenda/585", 585)</f>
        <v>585</v>
      </c>
      <c r="B587" s="40" t="s">
        <v>982</v>
      </c>
      <c r="C587" s="40" t="s">
        <v>1851</v>
      </c>
      <c r="D587" s="78">
        <v>80.0</v>
      </c>
      <c r="E587" s="79">
        <v>701.1487579345703</v>
      </c>
      <c r="F587" s="40" t="s">
        <v>982</v>
      </c>
      <c r="G587" s="78">
        <v>9840638.10170878</v>
      </c>
      <c r="H587" s="78">
        <v>47.0</v>
      </c>
      <c r="I587" s="80">
        <v>45367.0</v>
      </c>
      <c r="J587" s="80">
        <v>45370.0</v>
      </c>
      <c r="K587" s="79">
        <v>713.5406494140625</v>
      </c>
      <c r="L587" s="70" t="s">
        <v>46</v>
      </c>
      <c r="M587" s="70" t="s">
        <v>102</v>
      </c>
      <c r="N587" s="61"/>
      <c r="O587" s="86"/>
      <c r="P587" s="86"/>
      <c r="Q587" s="86"/>
      <c r="R587" s="61" t="str">
        <f t="shared" si="6"/>
        <v>2024</v>
      </c>
      <c r="S587" s="62">
        <f t="shared" si="7"/>
        <v>3</v>
      </c>
      <c r="T587" s="61" t="str">
        <f t="shared" si="8"/>
        <v>2024-Q1</v>
      </c>
      <c r="U587" s="63" t="str">
        <f t="shared" si="9"/>
        <v>2024-03</v>
      </c>
      <c r="V587" s="64" t="str">
        <f t="shared" si="10"/>
        <v>2024-H1</v>
      </c>
      <c r="W587" s="32"/>
      <c r="X587" s="32"/>
    </row>
    <row r="588">
      <c r="A588" s="77">
        <f>HYPERLINK("https://polkadot.subsquare.io/referenda/586", 586)</f>
        <v>586</v>
      </c>
      <c r="B588" s="40" t="s">
        <v>2164</v>
      </c>
      <c r="C588" s="40" t="s">
        <v>1861</v>
      </c>
      <c r="D588" s="78">
        <v>10000.0</v>
      </c>
      <c r="E588" s="79">
        <v>94918.59436035156</v>
      </c>
      <c r="F588" s="40" t="s">
        <v>1848</v>
      </c>
      <c r="G588" s="78">
        <v>9637007.806086784</v>
      </c>
      <c r="H588" s="78">
        <v>1.2966387487334192E7</v>
      </c>
      <c r="I588" s="80">
        <v>45368.0</v>
      </c>
      <c r="J588" s="80">
        <v>45382.0</v>
      </c>
      <c r="K588" s="79">
        <v>84335.54649353027</v>
      </c>
      <c r="L588" s="81"/>
      <c r="M588" s="81"/>
      <c r="N588" s="86"/>
      <c r="O588" s="61"/>
      <c r="P588" s="61"/>
      <c r="Q588" s="61"/>
      <c r="R588" s="61" t="str">
        <f t="shared" si="6"/>
        <v>2024</v>
      </c>
      <c r="S588" s="62">
        <f t="shared" si="7"/>
        <v>3</v>
      </c>
      <c r="T588" s="61" t="str">
        <f t="shared" si="8"/>
        <v>2024-Q1</v>
      </c>
      <c r="U588" s="63" t="str">
        <f t="shared" si="9"/>
        <v>2024-03</v>
      </c>
      <c r="V588" s="64" t="str">
        <f t="shared" si="10"/>
        <v>2024-H1</v>
      </c>
      <c r="W588" s="32"/>
      <c r="X588" s="32"/>
    </row>
    <row r="589">
      <c r="A589" s="77">
        <f>HYPERLINK("https://polkadot.subsquare.io/referenda/587", 587)</f>
        <v>587</v>
      </c>
      <c r="B589" s="40" t="s">
        <v>2165</v>
      </c>
      <c r="C589" s="40" t="s">
        <v>1846</v>
      </c>
      <c r="D589" s="78">
        <v>3.7865E-6</v>
      </c>
      <c r="E589" s="79">
        <v>3.594092575454712E-5</v>
      </c>
      <c r="F589" s="40" t="s">
        <v>1853</v>
      </c>
      <c r="G589" s="78">
        <v>13.1</v>
      </c>
      <c r="H589" s="78">
        <v>3.116944949232355E7</v>
      </c>
      <c r="I589" s="80">
        <v>45368.0</v>
      </c>
      <c r="J589" s="80">
        <v>45397.0</v>
      </c>
      <c r="K589" s="79">
        <v>2.491375777578354E-5</v>
      </c>
      <c r="L589" s="70"/>
      <c r="M589" s="70"/>
      <c r="N589" s="61"/>
      <c r="O589" s="86"/>
      <c r="P589" s="86"/>
      <c r="Q589" s="86"/>
      <c r="R589" s="61" t="str">
        <f t="shared" si="6"/>
        <v>2024</v>
      </c>
      <c r="S589" s="62">
        <f t="shared" si="7"/>
        <v>4</v>
      </c>
      <c r="T589" s="61" t="str">
        <f t="shared" si="8"/>
        <v>2024-Q2</v>
      </c>
      <c r="U589" s="63" t="str">
        <f t="shared" si="9"/>
        <v>2024-04</v>
      </c>
      <c r="V589" s="64" t="str">
        <f t="shared" si="10"/>
        <v>2024-H1</v>
      </c>
      <c r="W589" s="32"/>
      <c r="X589" s="32"/>
    </row>
    <row r="590">
      <c r="A590" s="77">
        <f>HYPERLINK("https://polkadot.subsquare.io/referenda/588", 588)</f>
        <v>588</v>
      </c>
      <c r="B590" s="40" t="s">
        <v>982</v>
      </c>
      <c r="C590" s="40" t="s">
        <v>1851</v>
      </c>
      <c r="D590" s="78">
        <v>20.0</v>
      </c>
      <c r="E590" s="79">
        <v>189.83718872070312</v>
      </c>
      <c r="F590" s="40" t="s">
        <v>982</v>
      </c>
      <c r="G590" s="78">
        <v>9528497.355784496</v>
      </c>
      <c r="H590" s="78">
        <v>13389.0</v>
      </c>
      <c r="I590" s="80">
        <v>45369.0</v>
      </c>
      <c r="J590" s="80">
        <v>45371.0</v>
      </c>
      <c r="K590" s="79">
        <v>179.64178085327148</v>
      </c>
      <c r="L590" s="81" t="s">
        <v>46</v>
      </c>
      <c r="M590" s="81" t="s">
        <v>102</v>
      </c>
      <c r="N590" s="86"/>
      <c r="O590" s="61"/>
      <c r="P590" s="61"/>
      <c r="Q590" s="61"/>
      <c r="R590" s="61" t="str">
        <f t="shared" si="6"/>
        <v>2024</v>
      </c>
      <c r="S590" s="62">
        <f t="shared" si="7"/>
        <v>3</v>
      </c>
      <c r="T590" s="61" t="str">
        <f t="shared" si="8"/>
        <v>2024-Q1</v>
      </c>
      <c r="U590" s="63" t="str">
        <f t="shared" si="9"/>
        <v>2024-03</v>
      </c>
      <c r="V590" s="64" t="str">
        <f t="shared" si="10"/>
        <v>2024-H1</v>
      </c>
      <c r="W590" s="32"/>
      <c r="X590" s="32"/>
    </row>
    <row r="591">
      <c r="A591" s="77">
        <f>HYPERLINK("https://polkadot.subsquare.io/referenda/589", 589)</f>
        <v>589</v>
      </c>
      <c r="B591" s="40" t="s">
        <v>982</v>
      </c>
      <c r="C591" s="40" t="s">
        <v>1851</v>
      </c>
      <c r="D591" s="78">
        <v>20.0</v>
      </c>
      <c r="E591" s="79">
        <v>189.83718872070312</v>
      </c>
      <c r="F591" s="40" t="s">
        <v>982</v>
      </c>
      <c r="G591" s="78">
        <v>1.5540508163125664E7</v>
      </c>
      <c r="H591" s="78">
        <v>411.0</v>
      </c>
      <c r="I591" s="80">
        <v>45369.0</v>
      </c>
      <c r="J591" s="80">
        <v>45372.0</v>
      </c>
      <c r="K591" s="79">
        <v>187.38618850708008</v>
      </c>
      <c r="L591" s="70" t="s">
        <v>46</v>
      </c>
      <c r="M591" s="70" t="s">
        <v>102</v>
      </c>
      <c r="N591" s="61"/>
      <c r="O591" s="86"/>
      <c r="P591" s="86"/>
      <c r="Q591" s="86"/>
      <c r="R591" s="61" t="str">
        <f t="shared" si="6"/>
        <v>2024</v>
      </c>
      <c r="S591" s="62">
        <f t="shared" si="7"/>
        <v>3</v>
      </c>
      <c r="T591" s="61" t="str">
        <f t="shared" si="8"/>
        <v>2024-Q1</v>
      </c>
      <c r="U591" s="63" t="str">
        <f t="shared" si="9"/>
        <v>2024-03</v>
      </c>
      <c r="V591" s="64" t="str">
        <f t="shared" si="10"/>
        <v>2024-H1</v>
      </c>
      <c r="W591" s="32"/>
      <c r="X591" s="32"/>
    </row>
    <row r="592">
      <c r="A592" s="77">
        <f>HYPERLINK("https://polkadot.subsquare.io/referenda/590", 590)</f>
        <v>590</v>
      </c>
      <c r="B592" s="40" t="s">
        <v>2166</v>
      </c>
      <c r="C592" s="40" t="s">
        <v>1943</v>
      </c>
      <c r="D592" s="78">
        <v>0.0</v>
      </c>
      <c r="E592" s="79">
        <v>0.0</v>
      </c>
      <c r="F592" s="40" t="s">
        <v>1907</v>
      </c>
      <c r="G592" s="78">
        <v>9.649316618004514E7</v>
      </c>
      <c r="H592" s="78">
        <v>28.0</v>
      </c>
      <c r="I592" s="80">
        <v>45369.0</v>
      </c>
      <c r="J592" s="80">
        <v>45377.0</v>
      </c>
      <c r="K592" s="79">
        <v>0.0</v>
      </c>
      <c r="L592" s="81"/>
      <c r="M592" s="81"/>
      <c r="N592" s="86"/>
      <c r="O592" s="61"/>
      <c r="P592" s="61"/>
      <c r="Q592" s="61"/>
      <c r="R592" s="61" t="str">
        <f t="shared" si="6"/>
        <v>2024</v>
      </c>
      <c r="S592" s="62">
        <f t="shared" si="7"/>
        <v>3</v>
      </c>
      <c r="T592" s="61" t="str">
        <f t="shared" si="8"/>
        <v>2024-Q1</v>
      </c>
      <c r="U592" s="63" t="str">
        <f t="shared" si="9"/>
        <v>2024-03</v>
      </c>
      <c r="V592" s="64" t="str">
        <f t="shared" si="10"/>
        <v>2024-H1</v>
      </c>
      <c r="W592" s="32"/>
      <c r="X592" s="32"/>
    </row>
    <row r="593">
      <c r="A593" s="77">
        <f>HYPERLINK("https://polkadot.subsquare.io/referenda/591", 591)</f>
        <v>591</v>
      </c>
      <c r="B593" s="40" t="s">
        <v>1206</v>
      </c>
      <c r="C593" s="40" t="s">
        <v>1851</v>
      </c>
      <c r="D593" s="78">
        <v>38921.48979</v>
      </c>
      <c r="E593" s="79">
        <v>357022.68164573674</v>
      </c>
      <c r="F593" s="40" t="s">
        <v>1853</v>
      </c>
      <c r="G593" s="78">
        <v>6.045112892136628E7</v>
      </c>
      <c r="H593" s="78">
        <v>4245045.4</v>
      </c>
      <c r="I593" s="80">
        <v>45369.0</v>
      </c>
      <c r="J593" s="80">
        <v>45390.0</v>
      </c>
      <c r="K593" s="79">
        <v>327676.18657547934</v>
      </c>
      <c r="L593" s="70" t="s">
        <v>81</v>
      </c>
      <c r="M593" s="71" t="s">
        <v>86</v>
      </c>
      <c r="N593" s="61"/>
      <c r="O593" s="86"/>
      <c r="P593" s="86"/>
      <c r="Q593" s="86"/>
      <c r="R593" s="61" t="str">
        <f t="shared" si="6"/>
        <v>2024</v>
      </c>
      <c r="S593" s="62">
        <f t="shared" si="7"/>
        <v>4</v>
      </c>
      <c r="T593" s="61" t="str">
        <f t="shared" si="8"/>
        <v>2024-Q2</v>
      </c>
      <c r="U593" s="63" t="str">
        <f t="shared" si="9"/>
        <v>2024-04</v>
      </c>
      <c r="V593" s="64" t="str">
        <f t="shared" si="10"/>
        <v>2024-H1</v>
      </c>
      <c r="W593" s="32"/>
      <c r="X593" s="32"/>
    </row>
    <row r="594">
      <c r="A594" s="77">
        <f>HYPERLINK("https://polkadot.subsquare.io/referenda/592", 592)</f>
        <v>592</v>
      </c>
      <c r="B594" s="40" t="s">
        <v>2167</v>
      </c>
      <c r="C594" s="40" t="s">
        <v>1846</v>
      </c>
      <c r="D594" s="78">
        <v>0.0</v>
      </c>
      <c r="E594" s="79">
        <v>0.0</v>
      </c>
      <c r="F594" s="40" t="s">
        <v>1853</v>
      </c>
      <c r="G594" s="78">
        <v>1.4070614507029708E7</v>
      </c>
      <c r="H594" s="78">
        <v>3.0659264254604824E7</v>
      </c>
      <c r="I594" s="80">
        <v>45369.0</v>
      </c>
      <c r="J594" s="80">
        <v>45397.0</v>
      </c>
      <c r="K594" s="79">
        <v>0.0</v>
      </c>
      <c r="L594" s="81"/>
      <c r="M594" s="81"/>
      <c r="N594" s="86"/>
      <c r="O594" s="61"/>
      <c r="P594" s="61"/>
      <c r="Q594" s="61"/>
      <c r="R594" s="61" t="str">
        <f t="shared" si="6"/>
        <v>2024</v>
      </c>
      <c r="S594" s="62">
        <f t="shared" si="7"/>
        <v>4</v>
      </c>
      <c r="T594" s="61" t="str">
        <f t="shared" si="8"/>
        <v>2024-Q2</v>
      </c>
      <c r="U594" s="63" t="str">
        <f t="shared" si="9"/>
        <v>2024-04</v>
      </c>
      <c r="V594" s="64" t="str">
        <f t="shared" si="10"/>
        <v>2024-H1</v>
      </c>
      <c r="W594" s="32"/>
      <c r="X594" s="32"/>
    </row>
    <row r="595">
      <c r="A595" s="77">
        <f>HYPERLINK("https://polkadot.subsquare.io/referenda/593", 593)</f>
        <v>593</v>
      </c>
      <c r="B595" s="40" t="s">
        <v>2168</v>
      </c>
      <c r="C595" s="40" t="s">
        <v>1851</v>
      </c>
      <c r="D595" s="78">
        <v>0.0</v>
      </c>
      <c r="E595" s="79">
        <v>0.0</v>
      </c>
      <c r="F595" s="40" t="s">
        <v>1852</v>
      </c>
      <c r="G595" s="78">
        <v>1.1710285727579564E7</v>
      </c>
      <c r="H595" s="78">
        <v>10.0</v>
      </c>
      <c r="I595" s="80">
        <v>45369.0</v>
      </c>
      <c r="J595" s="80">
        <v>45387.0</v>
      </c>
      <c r="K595" s="79">
        <v>0.0</v>
      </c>
      <c r="L595" s="70"/>
      <c r="M595" s="70"/>
      <c r="N595" s="61" t="s">
        <v>1881</v>
      </c>
      <c r="O595" s="86"/>
      <c r="P595" s="86"/>
      <c r="Q595" s="86"/>
      <c r="R595" s="61" t="str">
        <f t="shared" si="6"/>
        <v>2024</v>
      </c>
      <c r="S595" s="62">
        <f t="shared" si="7"/>
        <v>4</v>
      </c>
      <c r="T595" s="61" t="str">
        <f t="shared" si="8"/>
        <v>2024-Q2</v>
      </c>
      <c r="U595" s="63" t="str">
        <f t="shared" si="9"/>
        <v>2024-04</v>
      </c>
      <c r="V595" s="64" t="str">
        <f t="shared" si="10"/>
        <v>2024-H1</v>
      </c>
      <c r="W595" s="32"/>
      <c r="X595" s="32"/>
    </row>
    <row r="596">
      <c r="A596" s="77">
        <f>HYPERLINK("https://polkadot.subsquare.io/referenda/594", 594)</f>
        <v>594</v>
      </c>
      <c r="B596" s="40" t="s">
        <v>2169</v>
      </c>
      <c r="C596" s="40" t="s">
        <v>1851</v>
      </c>
      <c r="D596" s="78">
        <v>0.0</v>
      </c>
      <c r="E596" s="79">
        <v>0.0</v>
      </c>
      <c r="F596" s="40" t="s">
        <v>1868</v>
      </c>
      <c r="G596" s="78">
        <v>3.028339744175481E7</v>
      </c>
      <c r="H596" s="78">
        <v>9122.3</v>
      </c>
      <c r="I596" s="80">
        <v>45369.0</v>
      </c>
      <c r="J596" s="80">
        <v>45393.0</v>
      </c>
      <c r="K596" s="79">
        <v>0.0</v>
      </c>
      <c r="L596" s="81"/>
      <c r="M596" s="81"/>
      <c r="N596" s="86"/>
      <c r="O596" s="61"/>
      <c r="P596" s="61"/>
      <c r="Q596" s="61"/>
      <c r="R596" s="61" t="str">
        <f t="shared" si="6"/>
        <v>2024</v>
      </c>
      <c r="S596" s="62">
        <f t="shared" si="7"/>
        <v>4</v>
      </c>
      <c r="T596" s="61" t="str">
        <f t="shared" si="8"/>
        <v>2024-Q2</v>
      </c>
      <c r="U596" s="63" t="str">
        <f t="shared" si="9"/>
        <v>2024-04</v>
      </c>
      <c r="V596" s="64" t="str">
        <f t="shared" si="10"/>
        <v>2024-H1</v>
      </c>
      <c r="W596" s="32"/>
      <c r="X596" s="32"/>
    </row>
    <row r="597">
      <c r="A597" s="77">
        <f>HYPERLINK("https://polkadot.subsquare.io/referenda/595", 595)</f>
        <v>595</v>
      </c>
      <c r="B597" s="40" t="s">
        <v>2170</v>
      </c>
      <c r="C597" s="40" t="s">
        <v>1846</v>
      </c>
      <c r="D597" s="78">
        <v>500.0</v>
      </c>
      <c r="E597" s="79">
        <v>4459.629058837891</v>
      </c>
      <c r="F597" s="40" t="s">
        <v>1855</v>
      </c>
      <c r="G597" s="78">
        <v>0.0</v>
      </c>
      <c r="H597" s="78">
        <v>3.9103013579815164E7</v>
      </c>
      <c r="I597" s="80">
        <v>45370.0</v>
      </c>
      <c r="J597" s="80">
        <v>45398.0</v>
      </c>
      <c r="K597" s="79">
        <v>3343.8289165496826</v>
      </c>
      <c r="L597" s="70"/>
      <c r="M597" s="70"/>
      <c r="N597" s="61"/>
      <c r="O597" s="86"/>
      <c r="P597" s="86"/>
      <c r="Q597" s="86"/>
      <c r="R597" s="61" t="str">
        <f t="shared" si="6"/>
        <v>2024</v>
      </c>
      <c r="S597" s="62">
        <f t="shared" si="7"/>
        <v>4</v>
      </c>
      <c r="T597" s="61" t="str">
        <f t="shared" si="8"/>
        <v>2024-Q2</v>
      </c>
      <c r="U597" s="63" t="str">
        <f t="shared" si="9"/>
        <v>2024-04</v>
      </c>
      <c r="V597" s="64" t="str">
        <f t="shared" si="10"/>
        <v>2024-H1</v>
      </c>
      <c r="W597" s="32"/>
      <c r="X597" s="32"/>
    </row>
    <row r="598">
      <c r="A598" s="77">
        <f>HYPERLINK("https://polkadot.subsquare.io/referenda/596", 596)</f>
        <v>596</v>
      </c>
      <c r="B598" s="40" t="s">
        <v>2171</v>
      </c>
      <c r="C598" s="40" t="s">
        <v>1851</v>
      </c>
      <c r="D598" s="78">
        <v>500000.0</v>
      </c>
      <c r="E598" s="79">
        <v>4459629.058837891</v>
      </c>
      <c r="F598" s="40" t="s">
        <v>1855</v>
      </c>
      <c r="G598" s="78">
        <v>6.6444242702947125E7</v>
      </c>
      <c r="H598" s="78">
        <v>3.2257257196865514E7</v>
      </c>
      <c r="I598" s="80">
        <v>45370.0</v>
      </c>
      <c r="J598" s="80">
        <v>45400.0</v>
      </c>
      <c r="K598" s="79">
        <v>3567514.419555664</v>
      </c>
      <c r="L598" s="81"/>
      <c r="M598" s="81"/>
      <c r="N598" s="86" t="s">
        <v>1881</v>
      </c>
      <c r="O598" s="61" t="s">
        <v>1881</v>
      </c>
      <c r="P598" s="61" t="s">
        <v>1881</v>
      </c>
      <c r="Q598" s="61"/>
      <c r="R598" s="61" t="str">
        <f t="shared" si="6"/>
        <v>2024</v>
      </c>
      <c r="S598" s="62">
        <f t="shared" si="7"/>
        <v>4</v>
      </c>
      <c r="T598" s="61" t="str">
        <f t="shared" si="8"/>
        <v>2024-Q2</v>
      </c>
      <c r="U598" s="63" t="str">
        <f t="shared" si="9"/>
        <v>2024-04</v>
      </c>
      <c r="V598" s="64" t="str">
        <f t="shared" si="10"/>
        <v>2024-H1</v>
      </c>
      <c r="W598" s="32"/>
      <c r="X598" s="32"/>
    </row>
    <row r="599">
      <c r="A599" s="77">
        <f>HYPERLINK("https://polkadot.subsquare.io/referenda/597", 597)</f>
        <v>597</v>
      </c>
      <c r="B599" s="40" t="s">
        <v>1207</v>
      </c>
      <c r="C599" s="40" t="s">
        <v>1851</v>
      </c>
      <c r="D599" s="78">
        <v>58902.0</v>
      </c>
      <c r="E599" s="79">
        <v>525362.1416473389</v>
      </c>
      <c r="F599" s="40" t="s">
        <v>1853</v>
      </c>
      <c r="G599" s="78">
        <v>6.408688965207504E7</v>
      </c>
      <c r="H599" s="78">
        <v>1571541.7769787938</v>
      </c>
      <c r="I599" s="80">
        <v>45370.0</v>
      </c>
      <c r="J599" s="80">
        <v>45396.0</v>
      </c>
      <c r="K599" s="79">
        <v>387553.1917362213</v>
      </c>
      <c r="L599" s="70" t="s">
        <v>81</v>
      </c>
      <c r="M599" s="70" t="s">
        <v>87</v>
      </c>
      <c r="N599" s="61"/>
      <c r="O599" s="86"/>
      <c r="P599" s="86"/>
      <c r="Q599" s="86"/>
      <c r="R599" s="61" t="str">
        <f t="shared" si="6"/>
        <v>2024</v>
      </c>
      <c r="S599" s="62">
        <f t="shared" si="7"/>
        <v>4</v>
      </c>
      <c r="T599" s="61" t="str">
        <f t="shared" si="8"/>
        <v>2024-Q2</v>
      </c>
      <c r="U599" s="63" t="str">
        <f t="shared" si="9"/>
        <v>2024-04</v>
      </c>
      <c r="V599" s="64" t="str">
        <f t="shared" si="10"/>
        <v>2024-H1</v>
      </c>
      <c r="W599" s="32"/>
      <c r="X599" s="32"/>
    </row>
    <row r="600">
      <c r="A600" s="77">
        <f>HYPERLINK("https://polkadot.subsquare.io/referenda/598", 598)</f>
        <v>598</v>
      </c>
      <c r="B600" s="40" t="s">
        <v>2172</v>
      </c>
      <c r="C600" s="40" t="s">
        <v>1851</v>
      </c>
      <c r="D600" s="78">
        <v>0.0</v>
      </c>
      <c r="E600" s="79">
        <v>0.0</v>
      </c>
      <c r="F600" s="40" t="s">
        <v>1855</v>
      </c>
      <c r="G600" s="78">
        <v>4.0595759980480224E7</v>
      </c>
      <c r="H600" s="78">
        <v>1263435.791906932</v>
      </c>
      <c r="I600" s="80">
        <v>45370.0</v>
      </c>
      <c r="J600" s="80">
        <v>45401.0</v>
      </c>
      <c r="K600" s="79">
        <v>0.0</v>
      </c>
      <c r="L600" s="81"/>
      <c r="M600" s="81"/>
      <c r="N600" s="86"/>
      <c r="O600" s="61"/>
      <c r="P600" s="61"/>
      <c r="Q600" s="61"/>
      <c r="R600" s="61" t="str">
        <f t="shared" si="6"/>
        <v>2024</v>
      </c>
      <c r="S600" s="62">
        <f t="shared" si="7"/>
        <v>4</v>
      </c>
      <c r="T600" s="61" t="str">
        <f t="shared" si="8"/>
        <v>2024-Q2</v>
      </c>
      <c r="U600" s="63" t="str">
        <f t="shared" si="9"/>
        <v>2024-04</v>
      </c>
      <c r="V600" s="64" t="str">
        <f t="shared" si="10"/>
        <v>2024-H1</v>
      </c>
      <c r="W600" s="32"/>
      <c r="X600" s="32"/>
    </row>
    <row r="601">
      <c r="A601" s="77">
        <f>HYPERLINK("https://polkadot.subsquare.io/referenda/162", 162)</f>
        <v>162</v>
      </c>
      <c r="B601" s="40" t="s">
        <v>1017</v>
      </c>
      <c r="C601" s="40" t="s">
        <v>1851</v>
      </c>
      <c r="D601" s="78">
        <v>24937.0</v>
      </c>
      <c r="E601" s="79">
        <v>99516.75789690018</v>
      </c>
      <c r="F601" s="40" t="s">
        <v>1853</v>
      </c>
      <c r="G601" s="78">
        <v>1.6363832556860913E7</v>
      </c>
      <c r="H601" s="78">
        <v>3029531.992731462</v>
      </c>
      <c r="I601" s="80">
        <v>45194.0</v>
      </c>
      <c r="J601" s="80">
        <v>45214.0</v>
      </c>
      <c r="K601" s="79">
        <v>91183.36183691025</v>
      </c>
      <c r="L601" s="70" t="s">
        <v>46</v>
      </c>
      <c r="M601" s="70" t="s">
        <v>116</v>
      </c>
      <c r="N601" s="86"/>
      <c r="O601" s="61"/>
      <c r="P601" s="61"/>
      <c r="Q601" s="61"/>
      <c r="R601" s="61" t="str">
        <f t="shared" si="6"/>
        <v>2023</v>
      </c>
      <c r="S601" s="62">
        <f t="shared" si="7"/>
        <v>10</v>
      </c>
      <c r="T601" s="61" t="str">
        <f t="shared" si="8"/>
        <v>2023-Q4</v>
      </c>
      <c r="U601" s="63" t="str">
        <f t="shared" si="9"/>
        <v>2023-10</v>
      </c>
      <c r="V601" s="64" t="str">
        <f t="shared" si="10"/>
        <v>2023-H2</v>
      </c>
      <c r="W601" s="32"/>
      <c r="X601" s="32"/>
    </row>
    <row r="602">
      <c r="A602" s="77">
        <f>HYPERLINK("https://polkadot.subsquare.io/referenda/600", 600)</f>
        <v>600</v>
      </c>
      <c r="B602" s="40" t="s">
        <v>1209</v>
      </c>
      <c r="C602" s="40" t="s">
        <v>1851</v>
      </c>
      <c r="D602" s="78">
        <v>9468.0</v>
      </c>
      <c r="E602" s="79">
        <v>85042.41905593872</v>
      </c>
      <c r="F602" s="40" t="s">
        <v>1848</v>
      </c>
      <c r="G602" s="78">
        <v>4.212462315131025E7</v>
      </c>
      <c r="H602" s="78">
        <v>984680.2204936058</v>
      </c>
      <c r="I602" s="80">
        <v>45371.0</v>
      </c>
      <c r="J602" s="80">
        <v>45390.0</v>
      </c>
      <c r="K602" s="79">
        <v>79710.15886688232</v>
      </c>
      <c r="L602" s="81" t="s">
        <v>81</v>
      </c>
      <c r="M602" s="81" t="s">
        <v>93</v>
      </c>
      <c r="N602" s="86"/>
      <c r="O602" s="61"/>
      <c r="P602" s="61" t="s">
        <v>1881</v>
      </c>
      <c r="Q602" s="61"/>
      <c r="R602" s="61" t="str">
        <f t="shared" si="6"/>
        <v>2024</v>
      </c>
      <c r="S602" s="62">
        <f t="shared" si="7"/>
        <v>4</v>
      </c>
      <c r="T602" s="61" t="str">
        <f t="shared" si="8"/>
        <v>2024-Q2</v>
      </c>
      <c r="U602" s="63" t="str">
        <f t="shared" si="9"/>
        <v>2024-04</v>
      </c>
      <c r="V602" s="64" t="str">
        <f t="shared" si="10"/>
        <v>2024-H1</v>
      </c>
      <c r="W602" s="32"/>
      <c r="X602" s="32"/>
    </row>
    <row r="603">
      <c r="A603" s="77">
        <f>HYPERLINK("https://polkadot.subsquare.io/referenda/100", 100)</f>
        <v>100</v>
      </c>
      <c r="B603" s="40" t="s">
        <v>990</v>
      </c>
      <c r="C603" s="40" t="s">
        <v>1851</v>
      </c>
      <c r="D603" s="78">
        <v>225.0</v>
      </c>
      <c r="E603" s="79">
        <v>1138.63023519516</v>
      </c>
      <c r="F603" s="40" t="s">
        <v>982</v>
      </c>
      <c r="G603" s="78">
        <v>1234996.1824093596</v>
      </c>
      <c r="H603" s="78">
        <v>287725.7686</v>
      </c>
      <c r="I603" s="80">
        <v>45143.0</v>
      </c>
      <c r="J603" s="80">
        <v>45148.0</v>
      </c>
      <c r="K603" s="79">
        <v>1121.9181418418884</v>
      </c>
      <c r="L603" s="70" t="s">
        <v>46</v>
      </c>
      <c r="M603" s="70" t="s">
        <v>116</v>
      </c>
      <c r="N603" s="86"/>
      <c r="O603" s="61"/>
      <c r="P603" s="61"/>
      <c r="Q603" s="61"/>
      <c r="R603" s="61" t="str">
        <f t="shared" si="6"/>
        <v>2023</v>
      </c>
      <c r="S603" s="62">
        <f t="shared" si="7"/>
        <v>8</v>
      </c>
      <c r="T603" s="61" t="str">
        <f t="shared" si="8"/>
        <v>2023-Q3</v>
      </c>
      <c r="U603" s="63" t="str">
        <f t="shared" si="9"/>
        <v>2023-08</v>
      </c>
      <c r="V603" s="64" t="str">
        <f t="shared" si="10"/>
        <v>2023-H2</v>
      </c>
      <c r="W603" s="32"/>
      <c r="X603" s="32"/>
    </row>
    <row r="604">
      <c r="A604" s="77">
        <f>HYPERLINK("https://polkadot.subsquare.io/referenda/602", 602)</f>
        <v>602</v>
      </c>
      <c r="B604" s="40" t="s">
        <v>2173</v>
      </c>
      <c r="C604" s="40" t="s">
        <v>1846</v>
      </c>
      <c r="D604" s="78">
        <v>4267.0</v>
      </c>
      <c r="E604" s="79">
        <v>38326.57394504547</v>
      </c>
      <c r="F604" s="40" t="s">
        <v>1869</v>
      </c>
      <c r="G604" s="78">
        <v>72002.4497526022</v>
      </c>
      <c r="H604" s="78">
        <v>3.2099806812853113E7</v>
      </c>
      <c r="I604" s="80">
        <v>45371.0</v>
      </c>
      <c r="J604" s="80">
        <v>45378.0</v>
      </c>
      <c r="K604" s="79">
        <v>40253.754930496216</v>
      </c>
      <c r="L604" s="81"/>
      <c r="M604" s="81"/>
      <c r="N604" s="86"/>
      <c r="O604" s="61"/>
      <c r="P604" s="61"/>
      <c r="Q604" s="61"/>
      <c r="R604" s="61" t="str">
        <f t="shared" si="6"/>
        <v>2024</v>
      </c>
      <c r="S604" s="62">
        <f t="shared" si="7"/>
        <v>3</v>
      </c>
      <c r="T604" s="61" t="str">
        <f t="shared" si="8"/>
        <v>2024-Q1</v>
      </c>
      <c r="U604" s="63" t="str">
        <f t="shared" si="9"/>
        <v>2024-03</v>
      </c>
      <c r="V604" s="64" t="str">
        <f t="shared" si="10"/>
        <v>2024-H1</v>
      </c>
      <c r="W604" s="32"/>
      <c r="X604" s="32"/>
    </row>
    <row r="605">
      <c r="A605" s="77">
        <f>HYPERLINK("https://polkadot.subsquare.io/referenda/603", 603)</f>
        <v>603</v>
      </c>
      <c r="B605" s="40" t="s">
        <v>2174</v>
      </c>
      <c r="C605" s="40" t="s">
        <v>1861</v>
      </c>
      <c r="D605" s="78">
        <v>0.0</v>
      </c>
      <c r="E605" s="79">
        <v>0.0</v>
      </c>
      <c r="F605" s="40" t="s">
        <v>1853</v>
      </c>
      <c r="G605" s="78">
        <v>278396.3914973283</v>
      </c>
      <c r="H605" s="78">
        <v>5.145359330163232E7</v>
      </c>
      <c r="I605" s="80">
        <v>45371.0</v>
      </c>
      <c r="J605" s="80">
        <v>45386.0</v>
      </c>
      <c r="K605" s="79">
        <v>0.0</v>
      </c>
      <c r="L605" s="70"/>
      <c r="M605" s="70"/>
      <c r="N605" s="61"/>
      <c r="O605" s="86"/>
      <c r="P605" s="86"/>
      <c r="Q605" s="86"/>
      <c r="R605" s="61" t="str">
        <f t="shared" si="6"/>
        <v>2024</v>
      </c>
      <c r="S605" s="62">
        <f t="shared" si="7"/>
        <v>4</v>
      </c>
      <c r="T605" s="61" t="str">
        <f t="shared" si="8"/>
        <v>2024-Q2</v>
      </c>
      <c r="U605" s="63" t="str">
        <f t="shared" si="9"/>
        <v>2024-04</v>
      </c>
      <c r="V605" s="64" t="str">
        <f t="shared" si="10"/>
        <v>2024-H1</v>
      </c>
      <c r="W605" s="32"/>
      <c r="X605" s="32"/>
    </row>
    <row r="606">
      <c r="A606" s="77">
        <f>HYPERLINK("https://polkadot.subsquare.io/referenda/604", 604)</f>
        <v>604</v>
      </c>
      <c r="B606" s="40" t="s">
        <v>2175</v>
      </c>
      <c r="C606" s="40" t="s">
        <v>1846</v>
      </c>
      <c r="D606" s="78">
        <v>1.0E-7</v>
      </c>
      <c r="E606" s="79">
        <v>9.369309425354003E-7</v>
      </c>
      <c r="F606" s="40" t="s">
        <v>1869</v>
      </c>
      <c r="G606" s="78">
        <v>21144.9235388797</v>
      </c>
      <c r="H606" s="78">
        <v>2.0111914626308676E7</v>
      </c>
      <c r="I606" s="80">
        <v>45372.0</v>
      </c>
      <c r="J606" s="80">
        <v>45379.0</v>
      </c>
      <c r="K606" s="79">
        <v>9.642625808715819E-7</v>
      </c>
      <c r="L606" s="81"/>
      <c r="M606" s="81"/>
      <c r="N606" s="86"/>
      <c r="O606" s="61"/>
      <c r="P606" s="61"/>
      <c r="Q606" s="61"/>
      <c r="R606" s="61" t="str">
        <f t="shared" si="6"/>
        <v>2024</v>
      </c>
      <c r="S606" s="62">
        <f t="shared" si="7"/>
        <v>3</v>
      </c>
      <c r="T606" s="61" t="str">
        <f t="shared" si="8"/>
        <v>2024-Q1</v>
      </c>
      <c r="U606" s="63" t="str">
        <f t="shared" si="9"/>
        <v>2024-03</v>
      </c>
      <c r="V606" s="64" t="str">
        <f t="shared" si="10"/>
        <v>2024-H1</v>
      </c>
      <c r="W606" s="32"/>
      <c r="X606" s="32"/>
    </row>
    <row r="607">
      <c r="A607" s="77">
        <f>HYPERLINK("https://polkadot.subsquare.io/referenda/605", 605)</f>
        <v>605</v>
      </c>
      <c r="B607" s="40" t="s">
        <v>2175</v>
      </c>
      <c r="C607" s="40" t="s">
        <v>1861</v>
      </c>
      <c r="D607" s="78">
        <v>1.0E-7</v>
      </c>
      <c r="E607" s="79">
        <v>9.369309425354003E-7</v>
      </c>
      <c r="F607" s="40" t="s">
        <v>1869</v>
      </c>
      <c r="G607" s="78">
        <v>5042.5</v>
      </c>
      <c r="H607" s="78">
        <v>3.8499633468227275E7</v>
      </c>
      <c r="I607" s="80">
        <v>45372.0</v>
      </c>
      <c r="J607" s="80">
        <v>45386.0</v>
      </c>
      <c r="K607" s="79">
        <v>8.70672607421875E-7</v>
      </c>
      <c r="L607" s="70"/>
      <c r="M607" s="70"/>
      <c r="N607" s="61"/>
      <c r="O607" s="86"/>
      <c r="P607" s="86"/>
      <c r="Q607" s="86"/>
      <c r="R607" s="61" t="str">
        <f t="shared" si="6"/>
        <v>2024</v>
      </c>
      <c r="S607" s="62">
        <f t="shared" si="7"/>
        <v>4</v>
      </c>
      <c r="T607" s="61" t="str">
        <f t="shared" si="8"/>
        <v>2024-Q2</v>
      </c>
      <c r="U607" s="63" t="str">
        <f t="shared" si="9"/>
        <v>2024-04</v>
      </c>
      <c r="V607" s="64" t="str">
        <f t="shared" si="10"/>
        <v>2024-H1</v>
      </c>
      <c r="W607" s="32"/>
      <c r="X607" s="32"/>
    </row>
    <row r="608">
      <c r="A608" s="77">
        <f>HYPERLINK("https://polkadot.subsquare.io/referenda/606", 606)</f>
        <v>606</v>
      </c>
      <c r="B608" s="40" t="s">
        <v>2173</v>
      </c>
      <c r="C608" s="40" t="s">
        <v>1861</v>
      </c>
      <c r="D608" s="78">
        <v>1000.0</v>
      </c>
      <c r="E608" s="79">
        <v>9369.309425354004</v>
      </c>
      <c r="F608" s="40" t="s">
        <v>1869</v>
      </c>
      <c r="G608" s="78">
        <v>0.0</v>
      </c>
      <c r="H608" s="78">
        <v>3.848989180822728E7</v>
      </c>
      <c r="I608" s="80">
        <v>45372.0</v>
      </c>
      <c r="J608" s="80">
        <v>45386.0</v>
      </c>
      <c r="K608" s="79">
        <v>8706.72607421875</v>
      </c>
      <c r="L608" s="81"/>
      <c r="M608" s="81"/>
      <c r="N608" s="86"/>
      <c r="O608" s="61"/>
      <c r="P608" s="61"/>
      <c r="Q608" s="61"/>
      <c r="R608" s="61" t="str">
        <f t="shared" si="6"/>
        <v>2024</v>
      </c>
      <c r="S608" s="62">
        <f t="shared" si="7"/>
        <v>4</v>
      </c>
      <c r="T608" s="61" t="str">
        <f t="shared" si="8"/>
        <v>2024-Q2</v>
      </c>
      <c r="U608" s="63" t="str">
        <f t="shared" si="9"/>
        <v>2024-04</v>
      </c>
      <c r="V608" s="64" t="str">
        <f t="shared" si="10"/>
        <v>2024-H1</v>
      </c>
      <c r="W608" s="32"/>
      <c r="X608" s="32"/>
    </row>
    <row r="609">
      <c r="A609" s="77">
        <f>HYPERLINK("https://polkadot.subsquare.io/referenda/607", 607)</f>
        <v>607</v>
      </c>
      <c r="B609" s="40" t="s">
        <v>2176</v>
      </c>
      <c r="C609" s="40" t="s">
        <v>1846</v>
      </c>
      <c r="D609" s="78">
        <v>1000.0</v>
      </c>
      <c r="E609" s="79">
        <v>9369.309425354004</v>
      </c>
      <c r="F609" s="40" t="s">
        <v>1869</v>
      </c>
      <c r="G609" s="78">
        <v>174943.3292221152</v>
      </c>
      <c r="H609" s="78">
        <v>8402369.607681954</v>
      </c>
      <c r="I609" s="80">
        <v>45372.0</v>
      </c>
      <c r="J609" s="80">
        <v>45379.0</v>
      </c>
      <c r="K609" s="79">
        <v>9642.62580871582</v>
      </c>
      <c r="L609" s="70"/>
      <c r="M609" s="70"/>
      <c r="N609" s="61"/>
      <c r="O609" s="86"/>
      <c r="P609" s="86"/>
      <c r="Q609" s="86"/>
      <c r="R609" s="61" t="str">
        <f t="shared" si="6"/>
        <v>2024</v>
      </c>
      <c r="S609" s="62">
        <f t="shared" si="7"/>
        <v>3</v>
      </c>
      <c r="T609" s="61" t="str">
        <f t="shared" si="8"/>
        <v>2024-Q1</v>
      </c>
      <c r="U609" s="63" t="str">
        <f t="shared" si="9"/>
        <v>2024-03</v>
      </c>
      <c r="V609" s="64" t="str">
        <f t="shared" si="10"/>
        <v>2024-H1</v>
      </c>
      <c r="W609" s="32"/>
      <c r="X609" s="32"/>
    </row>
    <row r="610">
      <c r="A610" s="77">
        <f>HYPERLINK("https://polkadot.subsquare.io/referenda/608", 608)</f>
        <v>608</v>
      </c>
      <c r="B610" s="40" t="s">
        <v>2177</v>
      </c>
      <c r="C610" s="40" t="s">
        <v>1861</v>
      </c>
      <c r="D610" s="78">
        <v>980.0</v>
      </c>
      <c r="E610" s="79">
        <v>9542.867012023926</v>
      </c>
      <c r="F610" s="40" t="s">
        <v>1869</v>
      </c>
      <c r="G610" s="78">
        <v>0.01</v>
      </c>
      <c r="H610" s="78">
        <v>2.672429816877197E7</v>
      </c>
      <c r="I610" s="80">
        <v>45373.0</v>
      </c>
      <c r="J610" s="80">
        <v>45388.0</v>
      </c>
      <c r="K610" s="79">
        <v>8863.756141662598</v>
      </c>
      <c r="L610" s="81"/>
      <c r="M610" s="81"/>
      <c r="N610" s="86"/>
      <c r="O610" s="61"/>
      <c r="P610" s="61"/>
      <c r="Q610" s="61"/>
      <c r="R610" s="61" t="str">
        <f t="shared" si="6"/>
        <v>2024</v>
      </c>
      <c r="S610" s="62">
        <f t="shared" si="7"/>
        <v>4</v>
      </c>
      <c r="T610" s="61" t="str">
        <f t="shared" si="8"/>
        <v>2024-Q2</v>
      </c>
      <c r="U610" s="63" t="str">
        <f t="shared" si="9"/>
        <v>2024-04</v>
      </c>
      <c r="V610" s="64" t="str">
        <f t="shared" si="10"/>
        <v>2024-H1</v>
      </c>
      <c r="W610" s="32"/>
      <c r="X610" s="32"/>
    </row>
    <row r="611">
      <c r="A611" s="77">
        <f>HYPERLINK("https://polkadot.subsquare.io/referenda/609", 609)</f>
        <v>609</v>
      </c>
      <c r="B611" s="40" t="s">
        <v>2178</v>
      </c>
      <c r="C611" s="40" t="s">
        <v>1846</v>
      </c>
      <c r="D611" s="78">
        <v>45588.0</v>
      </c>
      <c r="E611" s="79">
        <v>443918.593208313</v>
      </c>
      <c r="F611" s="40" t="s">
        <v>1853</v>
      </c>
      <c r="G611" s="78">
        <v>19588.6</v>
      </c>
      <c r="H611" s="78">
        <v>2.718939216641737E7</v>
      </c>
      <c r="I611" s="80">
        <v>45374.0</v>
      </c>
      <c r="J611" s="80">
        <v>45403.0</v>
      </c>
      <c r="K611" s="79">
        <v>315931.8970413208</v>
      </c>
      <c r="L611" s="70"/>
      <c r="M611" s="70"/>
      <c r="N611" s="61"/>
      <c r="O611" s="86"/>
      <c r="P611" s="86"/>
      <c r="Q611" s="86"/>
      <c r="R611" s="61" t="str">
        <f t="shared" si="6"/>
        <v>2024</v>
      </c>
      <c r="S611" s="62">
        <f t="shared" si="7"/>
        <v>4</v>
      </c>
      <c r="T611" s="61" t="str">
        <f t="shared" si="8"/>
        <v>2024-Q2</v>
      </c>
      <c r="U611" s="63" t="str">
        <f t="shared" si="9"/>
        <v>2024-04</v>
      </c>
      <c r="V611" s="64" t="str">
        <f t="shared" si="10"/>
        <v>2024-H1</v>
      </c>
      <c r="W611" s="32"/>
      <c r="X611" s="32"/>
    </row>
    <row r="612">
      <c r="A612" s="77">
        <f>HYPERLINK("https://polkadot.subsquare.io/referenda/610", 610)</f>
        <v>610</v>
      </c>
      <c r="B612" s="40"/>
      <c r="C612" s="40" t="s">
        <v>1851</v>
      </c>
      <c r="D612" s="78">
        <v>20.0</v>
      </c>
      <c r="E612" s="79">
        <v>194.75238800048828</v>
      </c>
      <c r="F612" s="40" t="s">
        <v>982</v>
      </c>
      <c r="G612" s="78">
        <v>1.5925082458441354E7</v>
      </c>
      <c r="H612" s="78">
        <v>10.0</v>
      </c>
      <c r="I612" s="80">
        <v>45374.0</v>
      </c>
      <c r="J612" s="80">
        <v>45376.0</v>
      </c>
      <c r="K612" s="79">
        <v>190.3356170654297</v>
      </c>
      <c r="L612" s="81" t="s">
        <v>46</v>
      </c>
      <c r="M612" s="81" t="s">
        <v>102</v>
      </c>
      <c r="N612" s="86"/>
      <c r="O612" s="61"/>
      <c r="P612" s="61"/>
      <c r="Q612" s="61"/>
      <c r="R612" s="61" t="str">
        <f t="shared" si="6"/>
        <v>2024</v>
      </c>
      <c r="S612" s="62">
        <f t="shared" si="7"/>
        <v>3</v>
      </c>
      <c r="T612" s="61" t="str">
        <f t="shared" si="8"/>
        <v>2024-Q1</v>
      </c>
      <c r="U612" s="63" t="str">
        <f t="shared" si="9"/>
        <v>2024-03</v>
      </c>
      <c r="V612" s="64" t="str">
        <f t="shared" si="10"/>
        <v>2024-H1</v>
      </c>
      <c r="W612" s="32"/>
      <c r="X612" s="32"/>
    </row>
    <row r="613">
      <c r="A613" s="77">
        <f>HYPERLINK("https://polkadot.subsquare.io/referenda/611", 611)</f>
        <v>611</v>
      </c>
      <c r="B613" s="40" t="s">
        <v>1211</v>
      </c>
      <c r="C613" s="40" t="s">
        <v>1851</v>
      </c>
      <c r="D613" s="78">
        <v>45555.0</v>
      </c>
      <c r="E613" s="79">
        <v>441454.12799835205</v>
      </c>
      <c r="F613" s="40" t="s">
        <v>1853</v>
      </c>
      <c r="G613" s="78">
        <v>6.820345296552911E7</v>
      </c>
      <c r="H613" s="78">
        <v>4595461.568473672</v>
      </c>
      <c r="I613" s="80">
        <v>45374.0</v>
      </c>
      <c r="J613" s="80">
        <v>45393.0</v>
      </c>
      <c r="K613" s="79">
        <v>312933.0634903908</v>
      </c>
      <c r="L613" s="70" t="s">
        <v>46</v>
      </c>
      <c r="M613" s="70" t="s">
        <v>106</v>
      </c>
      <c r="N613" s="61"/>
      <c r="O613" s="86"/>
      <c r="P613" s="86"/>
      <c r="Q613" s="86"/>
      <c r="R613" s="61" t="str">
        <f t="shared" si="6"/>
        <v>2024</v>
      </c>
      <c r="S613" s="62">
        <f t="shared" si="7"/>
        <v>4</v>
      </c>
      <c r="T613" s="61" t="str">
        <f t="shared" si="8"/>
        <v>2024-Q2</v>
      </c>
      <c r="U613" s="63" t="str">
        <f t="shared" si="9"/>
        <v>2024-04</v>
      </c>
      <c r="V613" s="64" t="str">
        <f t="shared" si="10"/>
        <v>2024-H1</v>
      </c>
      <c r="W613" s="32"/>
      <c r="X613" s="32"/>
    </row>
    <row r="614">
      <c r="A614" s="77">
        <f>HYPERLINK("https://polkadot.subsquare.io/referenda/612", 612)</f>
        <v>612</v>
      </c>
      <c r="B614" s="40" t="s">
        <v>2179</v>
      </c>
      <c r="C614" s="40" t="s">
        <v>1851</v>
      </c>
      <c r="D614" s="78">
        <v>0.0</v>
      </c>
      <c r="E614" s="79">
        <v>0.0</v>
      </c>
      <c r="F614" s="40" t="s">
        <v>1852</v>
      </c>
      <c r="G614" s="78">
        <v>3.0757536434500918E7</v>
      </c>
      <c r="H614" s="78">
        <v>0.0</v>
      </c>
      <c r="I614" s="80">
        <v>45374.0</v>
      </c>
      <c r="J614" s="80">
        <v>45390.0</v>
      </c>
      <c r="K614" s="79">
        <v>0.0</v>
      </c>
      <c r="L614" s="81"/>
      <c r="M614" s="81"/>
      <c r="N614" s="86"/>
      <c r="O614" s="61"/>
      <c r="P614" s="61"/>
      <c r="Q614" s="61"/>
      <c r="R614" s="61" t="str">
        <f t="shared" si="6"/>
        <v>2024</v>
      </c>
      <c r="S614" s="62">
        <f t="shared" si="7"/>
        <v>4</v>
      </c>
      <c r="T614" s="61" t="str">
        <f t="shared" si="8"/>
        <v>2024-Q2</v>
      </c>
      <c r="U614" s="63" t="str">
        <f t="shared" si="9"/>
        <v>2024-04</v>
      </c>
      <c r="V614" s="64" t="str">
        <f t="shared" si="10"/>
        <v>2024-H1</v>
      </c>
      <c r="W614" s="32"/>
      <c r="X614" s="32"/>
    </row>
    <row r="615">
      <c r="A615" s="77">
        <f>HYPERLINK("https://polkadot.subsquare.io/referenda/613", 613)</f>
        <v>613</v>
      </c>
      <c r="B615" s="40" t="s">
        <v>1212</v>
      </c>
      <c r="C615" s="40" t="s">
        <v>1851</v>
      </c>
      <c r="D615" s="78">
        <v>150000.0</v>
      </c>
      <c r="E615" s="79">
        <v>1453586.196899414</v>
      </c>
      <c r="F615" s="40" t="s">
        <v>1855</v>
      </c>
      <c r="G615" s="78">
        <v>4.83865529140287E7</v>
      </c>
      <c r="H615" s="78">
        <v>2958743.220243953</v>
      </c>
      <c r="I615" s="80">
        <v>45374.0</v>
      </c>
      <c r="J615" s="80">
        <v>45404.0</v>
      </c>
      <c r="K615" s="79">
        <v>1039523.2200622559</v>
      </c>
      <c r="L615" s="70" t="s">
        <v>81</v>
      </c>
      <c r="M615" s="70" t="s">
        <v>88</v>
      </c>
      <c r="N615" s="61"/>
      <c r="O615" s="86"/>
      <c r="P615" s="86"/>
      <c r="Q615" s="86"/>
      <c r="R615" s="61" t="str">
        <f t="shared" si="6"/>
        <v>2024</v>
      </c>
      <c r="S615" s="62">
        <f t="shared" si="7"/>
        <v>4</v>
      </c>
      <c r="T615" s="61" t="str">
        <f t="shared" si="8"/>
        <v>2024-Q2</v>
      </c>
      <c r="U615" s="63" t="str">
        <f t="shared" si="9"/>
        <v>2024-04</v>
      </c>
      <c r="V615" s="64" t="str">
        <f t="shared" si="10"/>
        <v>2024-H1</v>
      </c>
      <c r="W615" s="32"/>
      <c r="X615" s="32"/>
    </row>
    <row r="616">
      <c r="A616" s="77">
        <f>HYPERLINK("https://polkadot.subsquare.io/referenda/614", 614)</f>
        <v>614</v>
      </c>
      <c r="B616" s="40" t="s">
        <v>2180</v>
      </c>
      <c r="C616" s="40" t="s">
        <v>1846</v>
      </c>
      <c r="D616" s="78">
        <v>50000.0</v>
      </c>
      <c r="E616" s="79">
        <v>484528.7322998047</v>
      </c>
      <c r="F616" s="40" t="s">
        <v>1869</v>
      </c>
      <c r="G616" s="78">
        <v>5585.9852822421</v>
      </c>
      <c r="H616" s="78">
        <v>2.025174961227276E7</v>
      </c>
      <c r="I616" s="80">
        <v>45374.0</v>
      </c>
      <c r="J616" s="80">
        <v>45381.0</v>
      </c>
      <c r="K616" s="79">
        <v>428930.6640625</v>
      </c>
      <c r="L616" s="81"/>
      <c r="M616" s="81"/>
      <c r="N616" s="86"/>
      <c r="O616" s="61"/>
      <c r="P616" s="61"/>
      <c r="Q616" s="61"/>
      <c r="R616" s="61" t="str">
        <f t="shared" si="6"/>
        <v>2024</v>
      </c>
      <c r="S616" s="62">
        <f t="shared" si="7"/>
        <v>3</v>
      </c>
      <c r="T616" s="61" t="str">
        <f t="shared" si="8"/>
        <v>2024-Q1</v>
      </c>
      <c r="U616" s="63" t="str">
        <f t="shared" si="9"/>
        <v>2024-03</v>
      </c>
      <c r="V616" s="64" t="str">
        <f t="shared" si="10"/>
        <v>2024-H1</v>
      </c>
      <c r="W616" s="32"/>
      <c r="X616" s="32"/>
    </row>
    <row r="617">
      <c r="A617" s="77">
        <f>HYPERLINK("https://polkadot.subsquare.io/referenda/615", 615)</f>
        <v>615</v>
      </c>
      <c r="B617" s="40" t="s">
        <v>2181</v>
      </c>
      <c r="C617" s="40" t="s">
        <v>1851</v>
      </c>
      <c r="D617" s="78">
        <v>0.0</v>
      </c>
      <c r="E617" s="79">
        <v>0.0</v>
      </c>
      <c r="F617" s="40" t="s">
        <v>1852</v>
      </c>
      <c r="G617" s="78">
        <v>9.547172776203313E7</v>
      </c>
      <c r="H617" s="78">
        <v>0.0</v>
      </c>
      <c r="I617" s="80">
        <v>45375.0</v>
      </c>
      <c r="J617" s="80">
        <v>45395.0</v>
      </c>
      <c r="K617" s="79">
        <v>0.0</v>
      </c>
      <c r="L617" s="70"/>
      <c r="M617" s="70"/>
      <c r="N617" s="61"/>
      <c r="O617" s="86"/>
      <c r="P617" s="86"/>
      <c r="Q617" s="86"/>
      <c r="R617" s="61" t="str">
        <f t="shared" si="6"/>
        <v>2024</v>
      </c>
      <c r="S617" s="62">
        <f t="shared" si="7"/>
        <v>4</v>
      </c>
      <c r="T617" s="61" t="str">
        <f t="shared" si="8"/>
        <v>2024-Q2</v>
      </c>
      <c r="U617" s="63" t="str">
        <f t="shared" si="9"/>
        <v>2024-04</v>
      </c>
      <c r="V617" s="64" t="str">
        <f t="shared" si="10"/>
        <v>2024-H1</v>
      </c>
      <c r="W617" s="32"/>
      <c r="X617" s="32"/>
    </row>
    <row r="618">
      <c r="A618" s="77">
        <f>HYPERLINK("https://polkadot.subsquare.io/referenda/616", 616)</f>
        <v>616</v>
      </c>
      <c r="B618" s="40" t="s">
        <v>1213</v>
      </c>
      <c r="C618" s="40" t="s">
        <v>1851</v>
      </c>
      <c r="D618" s="78">
        <v>290000.0</v>
      </c>
      <c r="E618" s="79">
        <v>2738695.6310272217</v>
      </c>
      <c r="F618" s="40" t="s">
        <v>1855</v>
      </c>
      <c r="G618" s="78">
        <v>1.3999206840506938E8</v>
      </c>
      <c r="H618" s="78">
        <v>390626.5646103493</v>
      </c>
      <c r="I618" s="80">
        <v>45376.0</v>
      </c>
      <c r="J618" s="80">
        <v>45396.0</v>
      </c>
      <c r="K618" s="79">
        <v>1943013.6346817017</v>
      </c>
      <c r="L618" s="81" t="s">
        <v>81</v>
      </c>
      <c r="M618" s="81" t="s">
        <v>82</v>
      </c>
      <c r="N618" s="86"/>
      <c r="O618" s="61"/>
      <c r="P618" s="61"/>
      <c r="Q618" s="61"/>
      <c r="R618" s="61" t="str">
        <f t="shared" si="6"/>
        <v>2024</v>
      </c>
      <c r="S618" s="62">
        <f t="shared" si="7"/>
        <v>4</v>
      </c>
      <c r="T618" s="61" t="str">
        <f t="shared" si="8"/>
        <v>2024-Q2</v>
      </c>
      <c r="U618" s="63" t="str">
        <f t="shared" si="9"/>
        <v>2024-04</v>
      </c>
      <c r="V618" s="64" t="str">
        <f t="shared" si="10"/>
        <v>2024-H1</v>
      </c>
      <c r="W618" s="32"/>
      <c r="X618" s="32"/>
    </row>
    <row r="619">
      <c r="A619" s="77">
        <f>HYPERLINK("https://polkadot.subsquare.io/referenda/617", 617)</f>
        <v>617</v>
      </c>
      <c r="B619" s="40" t="s">
        <v>1214</v>
      </c>
      <c r="C619" s="40" t="s">
        <v>1851</v>
      </c>
      <c r="D619" s="78">
        <v>21524.0</v>
      </c>
      <c r="E619" s="79">
        <v>204839.19108581543</v>
      </c>
      <c r="F619" s="40" t="s">
        <v>1853</v>
      </c>
      <c r="G619" s="78">
        <v>3.2949208165320445E7</v>
      </c>
      <c r="H619" s="78">
        <v>9599404.655175267</v>
      </c>
      <c r="I619" s="80">
        <v>45376.0</v>
      </c>
      <c r="J619" s="80">
        <v>45403.0</v>
      </c>
      <c r="K619" s="79">
        <v>149164.6519241333</v>
      </c>
      <c r="L619" s="70" t="s">
        <v>81</v>
      </c>
      <c r="M619" s="70" t="s">
        <v>89</v>
      </c>
      <c r="N619" s="61"/>
      <c r="O619" s="86"/>
      <c r="P619" s="86"/>
      <c r="Q619" s="86"/>
      <c r="R619" s="61" t="str">
        <f t="shared" si="6"/>
        <v>2024</v>
      </c>
      <c r="S619" s="62">
        <f t="shared" si="7"/>
        <v>4</v>
      </c>
      <c r="T619" s="61" t="str">
        <f t="shared" si="8"/>
        <v>2024-Q2</v>
      </c>
      <c r="U619" s="63" t="str">
        <f t="shared" si="9"/>
        <v>2024-04</v>
      </c>
      <c r="V619" s="64" t="str">
        <f t="shared" si="10"/>
        <v>2024-H1</v>
      </c>
      <c r="W619" s="32"/>
      <c r="X619" s="32"/>
    </row>
    <row r="620">
      <c r="A620" s="77">
        <f>HYPERLINK("https://polkadot.subsquare.io/referenda/618", 618)</f>
        <v>618</v>
      </c>
      <c r="B620" s="40" t="s">
        <v>1215</v>
      </c>
      <c r="C620" s="40" t="s">
        <v>1851</v>
      </c>
      <c r="D620" s="78">
        <v>18694.0</v>
      </c>
      <c r="E620" s="79">
        <v>177906.70127105713</v>
      </c>
      <c r="F620" s="40" t="s">
        <v>1853</v>
      </c>
      <c r="G620" s="78">
        <v>3.1222951084648177E7</v>
      </c>
      <c r="H620" s="78">
        <v>442442.5945580202</v>
      </c>
      <c r="I620" s="80">
        <v>45376.0</v>
      </c>
      <c r="J620" s="80">
        <v>45402.0</v>
      </c>
      <c r="K620" s="79">
        <v>139792.06814956665</v>
      </c>
      <c r="L620" s="81" t="s">
        <v>46</v>
      </c>
      <c r="M620" s="70" t="s">
        <v>104</v>
      </c>
      <c r="N620" s="86"/>
      <c r="O620" s="61"/>
      <c r="P620" s="61"/>
      <c r="Q620" s="61"/>
      <c r="R620" s="61" t="str">
        <f t="shared" si="6"/>
        <v>2024</v>
      </c>
      <c r="S620" s="62">
        <f t="shared" si="7"/>
        <v>4</v>
      </c>
      <c r="T620" s="61" t="str">
        <f t="shared" si="8"/>
        <v>2024-Q2</v>
      </c>
      <c r="U620" s="63" t="str">
        <f t="shared" si="9"/>
        <v>2024-04</v>
      </c>
      <c r="V620" s="64" t="str">
        <f t="shared" si="10"/>
        <v>2024-H1</v>
      </c>
      <c r="W620" s="32"/>
      <c r="X620" s="32"/>
    </row>
    <row r="621">
      <c r="A621" s="77">
        <f>HYPERLINK("https://polkadot.subsquare.io/referenda/619", 619)</f>
        <v>619</v>
      </c>
      <c r="B621" s="40" t="s">
        <v>1216</v>
      </c>
      <c r="C621" s="40" t="s">
        <v>1851</v>
      </c>
      <c r="D621" s="78">
        <v>2812.27</v>
      </c>
      <c r="E621" s="79">
        <v>26763.757290229798</v>
      </c>
      <c r="F621" s="40" t="s">
        <v>1848</v>
      </c>
      <c r="G621" s="78">
        <v>2.2276762370600972E7</v>
      </c>
      <c r="H621" s="78">
        <v>10.0</v>
      </c>
      <c r="I621" s="80">
        <v>45376.0</v>
      </c>
      <c r="J621" s="80">
        <v>45397.0</v>
      </c>
      <c r="K621" s="79">
        <v>18503.687727479934</v>
      </c>
      <c r="L621" s="70" t="s">
        <v>46</v>
      </c>
      <c r="M621" s="70" t="s">
        <v>114</v>
      </c>
      <c r="N621" s="61"/>
      <c r="O621" s="86"/>
      <c r="P621" s="86"/>
      <c r="Q621" s="86"/>
      <c r="R621" s="61" t="str">
        <f t="shared" si="6"/>
        <v>2024</v>
      </c>
      <c r="S621" s="62">
        <f t="shared" si="7"/>
        <v>4</v>
      </c>
      <c r="T621" s="61" t="str">
        <f t="shared" si="8"/>
        <v>2024-Q2</v>
      </c>
      <c r="U621" s="63" t="str">
        <f t="shared" si="9"/>
        <v>2024-04</v>
      </c>
      <c r="V621" s="64" t="str">
        <f t="shared" si="10"/>
        <v>2024-H1</v>
      </c>
      <c r="W621" s="32"/>
      <c r="X621" s="32"/>
    </row>
    <row r="622">
      <c r="A622" s="77">
        <f>HYPERLINK("https://polkadot.subsquare.io/referenda/620", 620)</f>
        <v>620</v>
      </c>
      <c r="B622" s="40" t="s">
        <v>2182</v>
      </c>
      <c r="C622" s="40" t="s">
        <v>1861</v>
      </c>
      <c r="D622" s="78">
        <v>694.2</v>
      </c>
      <c r="E622" s="79">
        <v>6606.549268341065</v>
      </c>
      <c r="F622" s="40" t="s">
        <v>1855</v>
      </c>
      <c r="G622" s="78">
        <v>90.0</v>
      </c>
      <c r="H622" s="78">
        <v>3.898326291764676E7</v>
      </c>
      <c r="I622" s="80">
        <v>45376.0</v>
      </c>
      <c r="J622" s="80">
        <v>45391.0</v>
      </c>
      <c r="K622" s="79">
        <v>5817.008123588563</v>
      </c>
      <c r="L622" s="81"/>
      <c r="M622" s="81"/>
      <c r="N622" s="86"/>
      <c r="O622" s="61"/>
      <c r="P622" s="61"/>
      <c r="Q622" s="61"/>
      <c r="R622" s="61" t="str">
        <f t="shared" si="6"/>
        <v>2024</v>
      </c>
      <c r="S622" s="62">
        <f t="shared" si="7"/>
        <v>4</v>
      </c>
      <c r="T622" s="61" t="str">
        <f t="shared" si="8"/>
        <v>2024-Q2</v>
      </c>
      <c r="U622" s="63" t="str">
        <f t="shared" si="9"/>
        <v>2024-04</v>
      </c>
      <c r="V622" s="64" t="str">
        <f t="shared" si="10"/>
        <v>2024-H1</v>
      </c>
      <c r="W622" s="32"/>
      <c r="X622" s="32"/>
    </row>
    <row r="623">
      <c r="A623" s="77">
        <f>HYPERLINK("https://polkadot.subsquare.io/referenda/621", 621)</f>
        <v>621</v>
      </c>
      <c r="B623" s="40" t="s">
        <v>1217</v>
      </c>
      <c r="C623" s="40" t="s">
        <v>1851</v>
      </c>
      <c r="D623" s="78">
        <v>694.2</v>
      </c>
      <c r="E623" s="79">
        <v>6606.549268341065</v>
      </c>
      <c r="F623" s="40" t="s">
        <v>1869</v>
      </c>
      <c r="G623" s="78">
        <v>1.5118191149519898E7</v>
      </c>
      <c r="H623" s="78">
        <v>470869.3072553323</v>
      </c>
      <c r="I623" s="80">
        <v>45376.0</v>
      </c>
      <c r="J623" s="80">
        <v>45380.0</v>
      </c>
      <c r="K623" s="79">
        <v>6359.6087453842165</v>
      </c>
      <c r="L623" s="70" t="s">
        <v>46</v>
      </c>
      <c r="M623" s="70" t="s">
        <v>108</v>
      </c>
      <c r="N623" s="61"/>
      <c r="O623" s="86"/>
      <c r="P623" s="86"/>
      <c r="Q623" s="86"/>
      <c r="R623" s="61" t="str">
        <f t="shared" si="6"/>
        <v>2024</v>
      </c>
      <c r="S623" s="62">
        <f t="shared" si="7"/>
        <v>3</v>
      </c>
      <c r="T623" s="61" t="str">
        <f t="shared" si="8"/>
        <v>2024-Q1</v>
      </c>
      <c r="U623" s="63" t="str">
        <f t="shared" si="9"/>
        <v>2024-03</v>
      </c>
      <c r="V623" s="64" t="str">
        <f t="shared" si="10"/>
        <v>2024-H1</v>
      </c>
      <c r="W623" s="32"/>
      <c r="X623" s="32"/>
    </row>
    <row r="624">
      <c r="A624" s="77">
        <f>HYPERLINK("https://polkadot.subsquare.io/referenda/622", 622)</f>
        <v>622</v>
      </c>
      <c r="B624" s="40" t="s">
        <v>982</v>
      </c>
      <c r="C624" s="40" t="s">
        <v>1851</v>
      </c>
      <c r="D624" s="78">
        <v>20.0</v>
      </c>
      <c r="E624" s="79">
        <v>190.3356170654297</v>
      </c>
      <c r="F624" s="40" t="s">
        <v>982</v>
      </c>
      <c r="G624" s="78">
        <v>1.543054023117283E7</v>
      </c>
      <c r="H624" s="78">
        <v>31.1</v>
      </c>
      <c r="I624" s="80">
        <v>45377.0</v>
      </c>
      <c r="J624" s="80">
        <v>45379.0</v>
      </c>
      <c r="K624" s="79">
        <v>192.8525161743164</v>
      </c>
      <c r="L624" s="81" t="s">
        <v>46</v>
      </c>
      <c r="M624" s="81" t="s">
        <v>102</v>
      </c>
      <c r="N624" s="86"/>
      <c r="O624" s="61"/>
      <c r="P624" s="61"/>
      <c r="Q624" s="61"/>
      <c r="R624" s="61" t="str">
        <f t="shared" si="6"/>
        <v>2024</v>
      </c>
      <c r="S624" s="62">
        <f t="shared" si="7"/>
        <v>3</v>
      </c>
      <c r="T624" s="61" t="str">
        <f t="shared" si="8"/>
        <v>2024-Q1</v>
      </c>
      <c r="U624" s="63" t="str">
        <f t="shared" si="9"/>
        <v>2024-03</v>
      </c>
      <c r="V624" s="64" t="str">
        <f t="shared" si="10"/>
        <v>2024-H1</v>
      </c>
      <c r="W624" s="32"/>
      <c r="X624" s="32"/>
    </row>
    <row r="625">
      <c r="A625" s="77">
        <f>HYPERLINK("https://polkadot.subsquare.io/referenda/623", 623)</f>
        <v>623</v>
      </c>
      <c r="B625" s="40" t="s">
        <v>2183</v>
      </c>
      <c r="C625" s="40" t="s">
        <v>1846</v>
      </c>
      <c r="D625" s="78">
        <v>16344.73</v>
      </c>
      <c r="E625" s="79">
        <v>155549.213515892</v>
      </c>
      <c r="F625" s="40" t="s">
        <v>1853</v>
      </c>
      <c r="G625" s="78">
        <v>6696387.242893838</v>
      </c>
      <c r="H625" s="78">
        <v>1.240873047163674E7</v>
      </c>
      <c r="I625" s="80">
        <v>45377.0</v>
      </c>
      <c r="J625" s="80">
        <v>45405.0</v>
      </c>
      <c r="K625" s="79">
        <v>110461.22982398987</v>
      </c>
      <c r="L625" s="70"/>
      <c r="M625" s="70"/>
      <c r="N625" s="61"/>
      <c r="O625" s="86"/>
      <c r="P625" s="86"/>
      <c r="Q625" s="86"/>
      <c r="R625" s="61" t="str">
        <f t="shared" si="6"/>
        <v>2024</v>
      </c>
      <c r="S625" s="62">
        <f t="shared" si="7"/>
        <v>4</v>
      </c>
      <c r="T625" s="61" t="str">
        <f t="shared" si="8"/>
        <v>2024-Q2</v>
      </c>
      <c r="U625" s="63" t="str">
        <f t="shared" si="9"/>
        <v>2024-04</v>
      </c>
      <c r="V625" s="64" t="str">
        <f t="shared" si="10"/>
        <v>2024-H1</v>
      </c>
      <c r="W625" s="32"/>
      <c r="X625" s="32"/>
    </row>
    <row r="626">
      <c r="A626" s="77">
        <f>HYPERLINK("https://polkadot.subsquare.io/referenda/624", 624)</f>
        <v>624</v>
      </c>
      <c r="B626" s="40" t="s">
        <v>2184</v>
      </c>
      <c r="C626" s="40" t="s">
        <v>1846</v>
      </c>
      <c r="D626" s="78">
        <v>7270.0</v>
      </c>
      <c r="E626" s="79">
        <v>69764.63045120239</v>
      </c>
      <c r="F626" s="40" t="s">
        <v>1848</v>
      </c>
      <c r="G626" s="78">
        <v>1585353.068169271</v>
      </c>
      <c r="H626" s="78">
        <v>5.512957558617911E7</v>
      </c>
      <c r="I626" s="80">
        <v>45377.0</v>
      </c>
      <c r="J626" s="80">
        <v>45405.0</v>
      </c>
      <c r="K626" s="79">
        <v>49132.236557006836</v>
      </c>
      <c r="L626" s="81"/>
      <c r="M626" s="81"/>
      <c r="N626" s="86"/>
      <c r="O626" s="61"/>
      <c r="P626" s="61"/>
      <c r="Q626" s="61"/>
      <c r="R626" s="61" t="str">
        <f t="shared" si="6"/>
        <v>2024</v>
      </c>
      <c r="S626" s="62">
        <f t="shared" si="7"/>
        <v>4</v>
      </c>
      <c r="T626" s="61" t="str">
        <f t="shared" si="8"/>
        <v>2024-Q2</v>
      </c>
      <c r="U626" s="63" t="str">
        <f t="shared" si="9"/>
        <v>2024-04</v>
      </c>
      <c r="V626" s="64" t="str">
        <f t="shared" si="10"/>
        <v>2024-H1</v>
      </c>
      <c r="W626" s="32"/>
      <c r="X626" s="32"/>
    </row>
    <row r="627">
      <c r="A627" s="77">
        <f>HYPERLINK("https://polkadot.subsquare.io/referenda/625", 625)</f>
        <v>625</v>
      </c>
      <c r="B627" s="40" t="s">
        <v>2185</v>
      </c>
      <c r="C627" s="40" t="s">
        <v>1851</v>
      </c>
      <c r="D627" s="78">
        <v>0.0</v>
      </c>
      <c r="E627" s="79">
        <v>0.0</v>
      </c>
      <c r="F627" s="40" t="s">
        <v>1853</v>
      </c>
      <c r="G627" s="78">
        <v>2.6044238677712448E7</v>
      </c>
      <c r="H627" s="78">
        <v>40778.7212407663</v>
      </c>
      <c r="I627" s="80">
        <v>45377.0</v>
      </c>
      <c r="J627" s="80">
        <v>45405.0</v>
      </c>
      <c r="K627" s="79">
        <v>0.0</v>
      </c>
      <c r="L627" s="70"/>
      <c r="M627" s="70"/>
      <c r="N627" s="61"/>
      <c r="O627" s="86" t="s">
        <v>1881</v>
      </c>
      <c r="P627" s="86" t="s">
        <v>1881</v>
      </c>
      <c r="Q627" s="86"/>
      <c r="R627" s="61" t="str">
        <f t="shared" si="6"/>
        <v>2024</v>
      </c>
      <c r="S627" s="62">
        <f t="shared" si="7"/>
        <v>4</v>
      </c>
      <c r="T627" s="61" t="str">
        <f t="shared" si="8"/>
        <v>2024-Q2</v>
      </c>
      <c r="U627" s="63" t="str">
        <f t="shared" si="9"/>
        <v>2024-04</v>
      </c>
      <c r="V627" s="64" t="str">
        <f t="shared" si="10"/>
        <v>2024-H1</v>
      </c>
      <c r="W627" s="32"/>
      <c r="X627" s="32"/>
    </row>
    <row r="628">
      <c r="A628" s="77">
        <f>HYPERLINK("https://polkadot.subsquare.io/referenda/626", 626)</f>
        <v>626</v>
      </c>
      <c r="B628" s="40" t="s">
        <v>2186</v>
      </c>
      <c r="C628" s="40" t="s">
        <v>1846</v>
      </c>
      <c r="D628" s="78">
        <v>980.0</v>
      </c>
      <c r="E628" s="79">
        <v>9404.310569763184</v>
      </c>
      <c r="F628" s="40" t="s">
        <v>1869</v>
      </c>
      <c r="G628" s="78">
        <v>6126356.3945755465</v>
      </c>
      <c r="H628" s="78">
        <v>2.0059327841056097E7</v>
      </c>
      <c r="I628" s="80">
        <v>45377.0</v>
      </c>
      <c r="J628" s="80">
        <v>45384.0</v>
      </c>
      <c r="K628" s="79">
        <v>8221.25452041626</v>
      </c>
      <c r="L628" s="81"/>
      <c r="M628" s="81"/>
      <c r="N628" s="86"/>
      <c r="O628" s="61"/>
      <c r="P628" s="61"/>
      <c r="Q628" s="61"/>
      <c r="R628" s="61" t="str">
        <f t="shared" si="6"/>
        <v>2024</v>
      </c>
      <c r="S628" s="62">
        <f t="shared" si="7"/>
        <v>4</v>
      </c>
      <c r="T628" s="61" t="str">
        <f t="shared" si="8"/>
        <v>2024-Q2</v>
      </c>
      <c r="U628" s="63" t="str">
        <f t="shared" si="9"/>
        <v>2024-04</v>
      </c>
      <c r="V628" s="64" t="str">
        <f t="shared" si="10"/>
        <v>2024-H1</v>
      </c>
      <c r="W628" s="32"/>
      <c r="X628" s="32"/>
    </row>
    <row r="629">
      <c r="A629" s="77">
        <f>HYPERLINK("https://polkadot.subsquare.io/referenda/627", 627)</f>
        <v>627</v>
      </c>
      <c r="B629" s="40" t="s">
        <v>1218</v>
      </c>
      <c r="C629" s="40" t="s">
        <v>1851</v>
      </c>
      <c r="D629" s="78">
        <v>5300.0</v>
      </c>
      <c r="E629" s="79">
        <v>50860.04695892334</v>
      </c>
      <c r="F629" s="40" t="s">
        <v>1848</v>
      </c>
      <c r="G629" s="78">
        <v>3.328821125117913E7</v>
      </c>
      <c r="H629" s="78">
        <v>204632.8342821433</v>
      </c>
      <c r="I629" s="80">
        <v>45377.0</v>
      </c>
      <c r="J629" s="80">
        <v>45401.0</v>
      </c>
      <c r="K629" s="79">
        <v>37815.65284729004</v>
      </c>
      <c r="L629" s="70" t="s">
        <v>48</v>
      </c>
      <c r="M629" s="70" t="s">
        <v>134</v>
      </c>
      <c r="N629" s="61"/>
      <c r="O629" s="86"/>
      <c r="P629" s="86"/>
      <c r="Q629" s="86"/>
      <c r="R629" s="61" t="str">
        <f t="shared" si="6"/>
        <v>2024</v>
      </c>
      <c r="S629" s="62">
        <f t="shared" si="7"/>
        <v>4</v>
      </c>
      <c r="T629" s="61" t="str">
        <f t="shared" si="8"/>
        <v>2024-Q2</v>
      </c>
      <c r="U629" s="63" t="str">
        <f t="shared" si="9"/>
        <v>2024-04</v>
      </c>
      <c r="V629" s="64" t="str">
        <f t="shared" si="10"/>
        <v>2024-H1</v>
      </c>
      <c r="W629" s="32"/>
      <c r="X629" s="32"/>
    </row>
    <row r="630">
      <c r="A630" s="77">
        <f>HYPERLINK("https://polkadot.subsquare.io/referenda/628", 628)</f>
        <v>628</v>
      </c>
      <c r="B630" s="40" t="s">
        <v>1219</v>
      </c>
      <c r="C630" s="40" t="s">
        <v>1851</v>
      </c>
      <c r="D630" s="78">
        <v>100.0</v>
      </c>
      <c r="E630" s="79">
        <v>959.6235275268555</v>
      </c>
      <c r="F630" s="40" t="s">
        <v>982</v>
      </c>
      <c r="G630" s="78">
        <v>1.460571317144677E7</v>
      </c>
      <c r="H630" s="78">
        <v>5.0</v>
      </c>
      <c r="I630" s="80">
        <v>45378.0</v>
      </c>
      <c r="J630" s="80">
        <v>45380.0</v>
      </c>
      <c r="K630" s="79">
        <v>964.262580871582</v>
      </c>
      <c r="L630" s="81" t="s">
        <v>50</v>
      </c>
      <c r="M630" s="81" t="s">
        <v>108</v>
      </c>
      <c r="N630" s="86"/>
      <c r="O630" s="61"/>
      <c r="P630" s="61"/>
      <c r="Q630" s="61"/>
      <c r="R630" s="61" t="str">
        <f t="shared" si="6"/>
        <v>2024</v>
      </c>
      <c r="S630" s="62">
        <f t="shared" si="7"/>
        <v>3</v>
      </c>
      <c r="T630" s="61" t="str">
        <f t="shared" si="8"/>
        <v>2024-Q1</v>
      </c>
      <c r="U630" s="63" t="str">
        <f t="shared" si="9"/>
        <v>2024-03</v>
      </c>
      <c r="V630" s="64" t="str">
        <f t="shared" si="10"/>
        <v>2024-H1</v>
      </c>
      <c r="W630" s="32"/>
      <c r="X630" s="32"/>
    </row>
    <row r="631">
      <c r="A631" s="77">
        <f>HYPERLINK("https://polkadot.subsquare.io/referenda/629", 629)</f>
        <v>629</v>
      </c>
      <c r="B631" s="40"/>
      <c r="C631" s="40" t="s">
        <v>1851</v>
      </c>
      <c r="D631" s="78">
        <v>20.0</v>
      </c>
      <c r="E631" s="79">
        <v>191.9247055053711</v>
      </c>
      <c r="F631" s="40" t="s">
        <v>982</v>
      </c>
      <c r="G631" s="78">
        <v>1.6010808858177153E7</v>
      </c>
      <c r="H631" s="78">
        <v>405.0</v>
      </c>
      <c r="I631" s="80">
        <v>45378.0</v>
      </c>
      <c r="J631" s="80">
        <v>45385.0</v>
      </c>
      <c r="K631" s="79">
        <v>167.78070449829102</v>
      </c>
      <c r="L631" s="70" t="s">
        <v>46</v>
      </c>
      <c r="M631" s="70" t="s">
        <v>102</v>
      </c>
      <c r="N631" s="61"/>
      <c r="O631" s="86"/>
      <c r="P631" s="86"/>
      <c r="Q631" s="86"/>
      <c r="R631" s="61" t="str">
        <f t="shared" si="6"/>
        <v>2024</v>
      </c>
      <c r="S631" s="62">
        <f t="shared" si="7"/>
        <v>4</v>
      </c>
      <c r="T631" s="61" t="str">
        <f t="shared" si="8"/>
        <v>2024-Q2</v>
      </c>
      <c r="U631" s="63" t="str">
        <f t="shared" si="9"/>
        <v>2024-04</v>
      </c>
      <c r="V631" s="64" t="str">
        <f t="shared" si="10"/>
        <v>2024-H1</v>
      </c>
      <c r="W631" s="32"/>
      <c r="X631" s="32"/>
    </row>
    <row r="632">
      <c r="A632" s="77">
        <f>HYPERLINK("https://polkadot.subsquare.io/referenda/630", 630)</f>
        <v>630</v>
      </c>
      <c r="B632" s="40" t="s">
        <v>2187</v>
      </c>
      <c r="C632" s="40" t="s">
        <v>1851</v>
      </c>
      <c r="D632" s="78">
        <v>0.0</v>
      </c>
      <c r="E632" s="79">
        <v>0.0</v>
      </c>
      <c r="F632" s="40" t="s">
        <v>1852</v>
      </c>
      <c r="G632" s="78">
        <v>1.1359882397318932E8</v>
      </c>
      <c r="H632" s="78">
        <v>5.0</v>
      </c>
      <c r="I632" s="80">
        <v>45378.0</v>
      </c>
      <c r="J632" s="80">
        <v>45389.0</v>
      </c>
      <c r="K632" s="79">
        <v>0.0</v>
      </c>
      <c r="L632" s="81"/>
      <c r="M632" s="81"/>
      <c r="N632" s="86"/>
      <c r="O632" s="61"/>
      <c r="P632" s="61"/>
      <c r="Q632" s="61"/>
      <c r="R632" s="61" t="str">
        <f t="shared" si="6"/>
        <v>2024</v>
      </c>
      <c r="S632" s="62">
        <f t="shared" si="7"/>
        <v>4</v>
      </c>
      <c r="T632" s="61" t="str">
        <f t="shared" si="8"/>
        <v>2024-Q2</v>
      </c>
      <c r="U632" s="63" t="str">
        <f t="shared" si="9"/>
        <v>2024-04</v>
      </c>
      <c r="V632" s="64" t="str">
        <f t="shared" si="10"/>
        <v>2024-H1</v>
      </c>
      <c r="W632" s="32"/>
      <c r="X632" s="32"/>
    </row>
    <row r="633">
      <c r="A633" s="77">
        <f>HYPERLINK("https://polkadot.subsquare.io/referenda/631", 631)</f>
        <v>631</v>
      </c>
      <c r="B633" s="40" t="s">
        <v>1220</v>
      </c>
      <c r="C633" s="40" t="s">
        <v>1851</v>
      </c>
      <c r="D633" s="78">
        <v>16348.0</v>
      </c>
      <c r="E633" s="79">
        <v>154222.7292251587</v>
      </c>
      <c r="F633" s="40" t="s">
        <v>1853</v>
      </c>
      <c r="G633" s="78">
        <v>3.1263802759612262E7</v>
      </c>
      <c r="H633" s="78">
        <v>14525.0</v>
      </c>
      <c r="I633" s="80">
        <v>45378.0</v>
      </c>
      <c r="J633" s="80">
        <v>45403.0</v>
      </c>
      <c r="K633" s="79">
        <v>118434.50736999512</v>
      </c>
      <c r="L633" s="70" t="s">
        <v>46</v>
      </c>
      <c r="M633" s="70" t="s">
        <v>108</v>
      </c>
      <c r="N633" s="61"/>
      <c r="O633" s="86"/>
      <c r="P633" s="86" t="s">
        <v>1881</v>
      </c>
      <c r="Q633" s="86"/>
      <c r="R633" s="61" t="str">
        <f t="shared" si="6"/>
        <v>2024</v>
      </c>
      <c r="S633" s="62">
        <f t="shared" si="7"/>
        <v>4</v>
      </c>
      <c r="T633" s="61" t="str">
        <f t="shared" si="8"/>
        <v>2024-Q2</v>
      </c>
      <c r="U633" s="63" t="str">
        <f t="shared" si="9"/>
        <v>2024-04</v>
      </c>
      <c r="V633" s="64" t="str">
        <f t="shared" si="10"/>
        <v>2024-H1</v>
      </c>
      <c r="W633" s="32"/>
      <c r="X633" s="32"/>
    </row>
    <row r="634">
      <c r="A634" s="77">
        <f>HYPERLINK("https://polkadot.subsquare.io/referenda/632", 632)</f>
        <v>632</v>
      </c>
      <c r="B634" s="40" t="s">
        <v>1221</v>
      </c>
      <c r="C634" s="40" t="s">
        <v>1851</v>
      </c>
      <c r="D634" s="78">
        <v>7935.0</v>
      </c>
      <c r="E634" s="79">
        <v>76514.23579216003</v>
      </c>
      <c r="F634" s="40" t="s">
        <v>1848</v>
      </c>
      <c r="G634" s="78">
        <v>1.2670754229037007E7</v>
      </c>
      <c r="H634" s="78">
        <v>1.01613696854102E7</v>
      </c>
      <c r="I634" s="80">
        <v>45380.0</v>
      </c>
      <c r="J634" s="80">
        <v>45406.0</v>
      </c>
      <c r="K634" s="79">
        <v>53626.45076751709</v>
      </c>
      <c r="L634" s="81" t="s">
        <v>81</v>
      </c>
      <c r="M634" s="81" t="s">
        <v>89</v>
      </c>
      <c r="N634" s="86"/>
      <c r="O634" s="61"/>
      <c r="P634" s="61"/>
      <c r="Q634" s="61"/>
      <c r="R634" s="61" t="str">
        <f t="shared" si="6"/>
        <v>2024</v>
      </c>
      <c r="S634" s="62">
        <f t="shared" si="7"/>
        <v>4</v>
      </c>
      <c r="T634" s="61" t="str">
        <f t="shared" si="8"/>
        <v>2024-Q2</v>
      </c>
      <c r="U634" s="63" t="str">
        <f t="shared" si="9"/>
        <v>2024-04</v>
      </c>
      <c r="V634" s="64" t="str">
        <f t="shared" si="10"/>
        <v>2024-H1</v>
      </c>
      <c r="W634" s="32"/>
      <c r="X634" s="32"/>
    </row>
    <row r="635">
      <c r="A635" s="77">
        <f>HYPERLINK("https://polkadot.subsquare.io/referenda/633", 633)</f>
        <v>633</v>
      </c>
      <c r="B635" s="40" t="s">
        <v>1222</v>
      </c>
      <c r="C635" s="40" t="s">
        <v>1851</v>
      </c>
      <c r="D635" s="78">
        <v>9355.5</v>
      </c>
      <c r="E635" s="79">
        <v>85706.30886983871</v>
      </c>
      <c r="F635" s="40" t="s">
        <v>1848</v>
      </c>
      <c r="G635" s="78">
        <v>2.2092464028749596E7</v>
      </c>
      <c r="H635" s="78">
        <v>801029.2174738785</v>
      </c>
      <c r="I635" s="80">
        <v>45381.0</v>
      </c>
      <c r="J635" s="80">
        <v>45402.0</v>
      </c>
      <c r="K635" s="79">
        <v>69959.59631824493</v>
      </c>
      <c r="L635" s="70" t="s">
        <v>81</v>
      </c>
      <c r="M635" s="70" t="s">
        <v>89</v>
      </c>
      <c r="N635" s="61"/>
      <c r="O635" s="86"/>
      <c r="P635" s="86"/>
      <c r="Q635" s="86"/>
      <c r="R635" s="61" t="str">
        <f t="shared" si="6"/>
        <v>2024</v>
      </c>
      <c r="S635" s="62">
        <f t="shared" si="7"/>
        <v>4</v>
      </c>
      <c r="T635" s="61" t="str">
        <f t="shared" si="8"/>
        <v>2024-Q2</v>
      </c>
      <c r="U635" s="63" t="str">
        <f t="shared" si="9"/>
        <v>2024-04</v>
      </c>
      <c r="V635" s="64" t="str">
        <f t="shared" si="10"/>
        <v>2024-H1</v>
      </c>
      <c r="W635" s="32"/>
      <c r="X635" s="32"/>
    </row>
    <row r="636">
      <c r="A636" s="77">
        <f>HYPERLINK("https://polkadot.subsquare.io/referenda/634", 634)</f>
        <v>634</v>
      </c>
      <c r="B636" s="40" t="s">
        <v>1223</v>
      </c>
      <c r="C636" s="40" t="s">
        <v>1851</v>
      </c>
      <c r="D636" s="78">
        <v>31353.0</v>
      </c>
      <c r="E636" s="79">
        <v>287226.7545289993</v>
      </c>
      <c r="F636" s="40" t="s">
        <v>1853</v>
      </c>
      <c r="G636" s="78">
        <v>2.510706426516827E7</v>
      </c>
      <c r="H636" s="78">
        <v>106445.6324945798</v>
      </c>
      <c r="I636" s="80">
        <v>45381.0</v>
      </c>
      <c r="J636" s="80">
        <v>45407.0</v>
      </c>
      <c r="K636" s="79">
        <v>213157.60334157944</v>
      </c>
      <c r="L636" s="81" t="s">
        <v>50</v>
      </c>
      <c r="M636" s="81" t="s">
        <v>108</v>
      </c>
      <c r="N636" s="86"/>
      <c r="O636" s="61"/>
      <c r="P636" s="61"/>
      <c r="Q636" s="61"/>
      <c r="R636" s="61" t="str">
        <f t="shared" si="6"/>
        <v>2024</v>
      </c>
      <c r="S636" s="62">
        <f t="shared" si="7"/>
        <v>4</v>
      </c>
      <c r="T636" s="61" t="str">
        <f t="shared" si="8"/>
        <v>2024-Q2</v>
      </c>
      <c r="U636" s="63" t="str">
        <f t="shared" si="9"/>
        <v>2024-04</v>
      </c>
      <c r="V636" s="64" t="str">
        <f t="shared" si="10"/>
        <v>2024-H1</v>
      </c>
      <c r="W636" s="32"/>
      <c r="X636" s="32"/>
    </row>
    <row r="637">
      <c r="A637" s="77">
        <f>HYPERLINK("https://polkadot.subsquare.io/referenda/635", 635)</f>
        <v>635</v>
      </c>
      <c r="B637" s="40" t="s">
        <v>2188</v>
      </c>
      <c r="C637" s="40" t="s">
        <v>1846</v>
      </c>
      <c r="D637" s="78">
        <v>999.999999999</v>
      </c>
      <c r="E637" s="79">
        <v>8578.613281241422</v>
      </c>
      <c r="F637" s="40" t="s">
        <v>1869</v>
      </c>
      <c r="G637" s="78">
        <v>0.0</v>
      </c>
      <c r="H637" s="78">
        <v>2.6162179712164328E7</v>
      </c>
      <c r="I637" s="80">
        <v>45381.0</v>
      </c>
      <c r="J637" s="80">
        <v>45388.0</v>
      </c>
      <c r="K637" s="79">
        <v>8660.052299490852</v>
      </c>
      <c r="L637" s="70"/>
      <c r="M637" s="70"/>
      <c r="N637" s="61"/>
      <c r="O637" s="86"/>
      <c r="P637" s="86"/>
      <c r="Q637" s="86"/>
      <c r="R637" s="61" t="str">
        <f t="shared" si="6"/>
        <v>2024</v>
      </c>
      <c r="S637" s="62">
        <f t="shared" si="7"/>
        <v>4</v>
      </c>
      <c r="T637" s="61" t="str">
        <f t="shared" si="8"/>
        <v>2024-Q2</v>
      </c>
      <c r="U637" s="63" t="str">
        <f t="shared" si="9"/>
        <v>2024-04</v>
      </c>
      <c r="V637" s="64" t="str">
        <f t="shared" si="10"/>
        <v>2024-H1</v>
      </c>
      <c r="W637" s="32"/>
      <c r="X637" s="32"/>
    </row>
    <row r="638">
      <c r="A638" s="77">
        <f>HYPERLINK("https://polkadot.subsquare.io/referenda/636", 636)</f>
        <v>636</v>
      </c>
      <c r="B638" s="40" t="s">
        <v>2189</v>
      </c>
      <c r="C638" s="40" t="s">
        <v>1851</v>
      </c>
      <c r="D638" s="78">
        <v>0.0</v>
      </c>
      <c r="E638" s="79">
        <v>0.0</v>
      </c>
      <c r="F638" s="40" t="s">
        <v>1848</v>
      </c>
      <c r="G638" s="78">
        <v>2.7861549025205825E7</v>
      </c>
      <c r="H638" s="78">
        <v>744065.4174738785</v>
      </c>
      <c r="I638" s="80">
        <v>45381.0</v>
      </c>
      <c r="J638" s="80">
        <v>45408.0</v>
      </c>
      <c r="K638" s="79">
        <v>0.0</v>
      </c>
      <c r="L638" s="81"/>
      <c r="M638" s="81"/>
      <c r="N638" s="86"/>
      <c r="O638" s="61"/>
      <c r="P638" s="61"/>
      <c r="Q638" s="61"/>
      <c r="R638" s="61" t="str">
        <f t="shared" si="6"/>
        <v>2024</v>
      </c>
      <c r="S638" s="62">
        <f t="shared" si="7"/>
        <v>4</v>
      </c>
      <c r="T638" s="61" t="str">
        <f t="shared" si="8"/>
        <v>2024-Q2</v>
      </c>
      <c r="U638" s="63" t="str">
        <f t="shared" si="9"/>
        <v>2024-04</v>
      </c>
      <c r="V638" s="64" t="str">
        <f t="shared" si="10"/>
        <v>2024-H1</v>
      </c>
      <c r="W638" s="32"/>
      <c r="X638" s="32"/>
    </row>
    <row r="639">
      <c r="A639" s="77">
        <f>HYPERLINK("https://polkadot.subsquare.io/referenda/637", 637)</f>
        <v>637</v>
      </c>
      <c r="B639" s="40" t="s">
        <v>2190</v>
      </c>
      <c r="C639" s="40" t="s">
        <v>1846</v>
      </c>
      <c r="D639" s="78">
        <v>999.999999999</v>
      </c>
      <c r="E639" s="79">
        <v>8578.613281241422</v>
      </c>
      <c r="F639" s="40" t="s">
        <v>1869</v>
      </c>
      <c r="G639" s="78">
        <v>3067530.4542505695</v>
      </c>
      <c r="H639" s="78">
        <v>3.0347663424330473E7</v>
      </c>
      <c r="I639" s="80">
        <v>45381.0</v>
      </c>
      <c r="J639" s="80">
        <v>45388.0</v>
      </c>
      <c r="K639" s="79">
        <v>8660.052299490852</v>
      </c>
      <c r="L639" s="70"/>
      <c r="M639" s="70"/>
      <c r="N639" s="61"/>
      <c r="O639" s="86"/>
      <c r="P639" s="86"/>
      <c r="Q639" s="86"/>
      <c r="R639" s="61" t="str">
        <f t="shared" si="6"/>
        <v>2024</v>
      </c>
      <c r="S639" s="62">
        <f t="shared" si="7"/>
        <v>4</v>
      </c>
      <c r="T639" s="61" t="str">
        <f t="shared" si="8"/>
        <v>2024-Q2</v>
      </c>
      <c r="U639" s="63" t="str">
        <f t="shared" si="9"/>
        <v>2024-04</v>
      </c>
      <c r="V639" s="64" t="str">
        <f t="shared" si="10"/>
        <v>2024-H1</v>
      </c>
      <c r="W639" s="32"/>
      <c r="X639" s="32"/>
    </row>
    <row r="640">
      <c r="A640" s="77">
        <f>HYPERLINK("https://polkadot.subsquare.io/referenda/638", 638)</f>
        <v>638</v>
      </c>
      <c r="B640" s="40" t="s">
        <v>982</v>
      </c>
      <c r="C640" s="40" t="s">
        <v>1851</v>
      </c>
      <c r="D640" s="78">
        <v>80.0</v>
      </c>
      <c r="E640" s="79">
        <v>686.2890625</v>
      </c>
      <c r="F640" s="40" t="s">
        <v>982</v>
      </c>
      <c r="G640" s="78">
        <v>2.1956707246073242E7</v>
      </c>
      <c r="H640" s="78">
        <v>5.0</v>
      </c>
      <c r="I640" s="80">
        <v>45382.0</v>
      </c>
      <c r="J640" s="80">
        <v>45384.0</v>
      </c>
      <c r="K640" s="79">
        <v>671.1228179931641</v>
      </c>
      <c r="L640" s="81" t="s">
        <v>46</v>
      </c>
      <c r="M640" s="81" t="s">
        <v>102</v>
      </c>
      <c r="N640" s="86"/>
      <c r="O640" s="61"/>
      <c r="P640" s="61"/>
      <c r="Q640" s="61"/>
      <c r="R640" s="61" t="str">
        <f t="shared" si="6"/>
        <v>2024</v>
      </c>
      <c r="S640" s="62">
        <f t="shared" si="7"/>
        <v>4</v>
      </c>
      <c r="T640" s="61" t="str">
        <f t="shared" si="8"/>
        <v>2024-Q2</v>
      </c>
      <c r="U640" s="63" t="str">
        <f t="shared" si="9"/>
        <v>2024-04</v>
      </c>
      <c r="V640" s="64" t="str">
        <f t="shared" si="10"/>
        <v>2024-H1</v>
      </c>
      <c r="W640" s="32"/>
      <c r="X640" s="32"/>
    </row>
    <row r="641">
      <c r="A641" s="77">
        <f>HYPERLINK("https://polkadot.subsquare.io/referenda/639", 639)</f>
        <v>639</v>
      </c>
      <c r="B641" s="40" t="s">
        <v>2191</v>
      </c>
      <c r="C641" s="40" t="s">
        <v>1851</v>
      </c>
      <c r="D641" s="78">
        <v>0.0</v>
      </c>
      <c r="E641" s="79">
        <v>0.0</v>
      </c>
      <c r="F641" s="40" t="s">
        <v>1852</v>
      </c>
      <c r="G641" s="78">
        <v>9.513183595277497E7</v>
      </c>
      <c r="H641" s="78">
        <v>1196.0</v>
      </c>
      <c r="I641" s="80">
        <v>45382.0</v>
      </c>
      <c r="J641" s="80">
        <v>45396.0</v>
      </c>
      <c r="K641" s="79">
        <v>0.0</v>
      </c>
      <c r="L641" s="70"/>
      <c r="M641" s="70"/>
      <c r="N641" s="61"/>
      <c r="O641" s="86"/>
      <c r="P641" s="86"/>
      <c r="Q641" s="86"/>
      <c r="R641" s="61" t="str">
        <f t="shared" si="6"/>
        <v>2024</v>
      </c>
      <c r="S641" s="62">
        <f t="shared" si="7"/>
        <v>4</v>
      </c>
      <c r="T641" s="61" t="str">
        <f t="shared" si="8"/>
        <v>2024-Q2</v>
      </c>
      <c r="U641" s="63" t="str">
        <f t="shared" si="9"/>
        <v>2024-04</v>
      </c>
      <c r="V641" s="64" t="str">
        <f t="shared" si="10"/>
        <v>2024-H1</v>
      </c>
      <c r="W641" s="32"/>
      <c r="X641" s="32"/>
    </row>
    <row r="642">
      <c r="A642" s="77">
        <f>HYPERLINK("https://polkadot.subsquare.io/referenda/640", 640)</f>
        <v>640</v>
      </c>
      <c r="B642" s="40" t="s">
        <v>2192</v>
      </c>
      <c r="C642" s="40" t="s">
        <v>1851</v>
      </c>
      <c r="D642" s="78">
        <v>0.0</v>
      </c>
      <c r="E642" s="79">
        <v>0.0</v>
      </c>
      <c r="F642" s="40" t="s">
        <v>1853</v>
      </c>
      <c r="G642" s="78">
        <v>4.27810084451573E7</v>
      </c>
      <c r="H642" s="78">
        <v>46878.3</v>
      </c>
      <c r="I642" s="80">
        <v>45382.0</v>
      </c>
      <c r="J642" s="80">
        <v>45405.0</v>
      </c>
      <c r="K642" s="79">
        <v>0.0</v>
      </c>
      <c r="L642" s="81"/>
      <c r="M642" s="81"/>
      <c r="N642" s="86"/>
      <c r="O642" s="61"/>
      <c r="P642" s="61"/>
      <c r="Q642" s="61"/>
      <c r="R642" s="61" t="str">
        <f t="shared" si="6"/>
        <v>2024</v>
      </c>
      <c r="S642" s="62">
        <f t="shared" si="7"/>
        <v>4</v>
      </c>
      <c r="T642" s="61" t="str">
        <f t="shared" si="8"/>
        <v>2024-Q2</v>
      </c>
      <c r="U642" s="63" t="str">
        <f t="shared" si="9"/>
        <v>2024-04</v>
      </c>
      <c r="V642" s="64" t="str">
        <f t="shared" si="10"/>
        <v>2024-H1</v>
      </c>
      <c r="W642" s="32"/>
      <c r="X642" s="32"/>
    </row>
    <row r="643">
      <c r="A643" s="77">
        <f>HYPERLINK("https://polkadot.subsquare.io/referenda/641", 641)</f>
        <v>641</v>
      </c>
      <c r="B643" s="40" t="s">
        <v>1224</v>
      </c>
      <c r="C643" s="40" t="s">
        <v>1851</v>
      </c>
      <c r="D643" s="78">
        <v>35713.0</v>
      </c>
      <c r="E643" s="79">
        <v>301187.53719234467</v>
      </c>
      <c r="F643" s="40" t="s">
        <v>1853</v>
      </c>
      <c r="G643" s="78">
        <v>2.633359030294356E7</v>
      </c>
      <c r="H643" s="78">
        <v>9996743.154909872</v>
      </c>
      <c r="I643" s="80">
        <v>45382.0</v>
      </c>
      <c r="J643" s="80">
        <v>45409.0</v>
      </c>
      <c r="K643" s="79">
        <v>235410.55987262726</v>
      </c>
      <c r="L643" s="70" t="s">
        <v>81</v>
      </c>
      <c r="M643" s="70" t="s">
        <v>93</v>
      </c>
      <c r="N643" s="61"/>
      <c r="O643" s="86"/>
      <c r="P643" s="86"/>
      <c r="Q643" s="86"/>
      <c r="R643" s="61" t="str">
        <f t="shared" si="6"/>
        <v>2024</v>
      </c>
      <c r="S643" s="62">
        <f t="shared" si="7"/>
        <v>4</v>
      </c>
      <c r="T643" s="61" t="str">
        <f t="shared" si="8"/>
        <v>2024-Q2</v>
      </c>
      <c r="U643" s="63" t="str">
        <f t="shared" si="9"/>
        <v>2024-04</v>
      </c>
      <c r="V643" s="64" t="str">
        <f t="shared" si="10"/>
        <v>2024-H1</v>
      </c>
      <c r="W643" s="32"/>
      <c r="X643" s="32"/>
    </row>
    <row r="644">
      <c r="A644" s="77">
        <f>HYPERLINK("https://polkadot.subsquare.io/referenda/642", 642)</f>
        <v>642</v>
      </c>
      <c r="B644" s="40" t="s">
        <v>1225</v>
      </c>
      <c r="C644" s="40" t="s">
        <v>1851</v>
      </c>
      <c r="D644" s="78">
        <v>1212.24</v>
      </c>
      <c r="E644" s="79">
        <v>10223.492288131714</v>
      </c>
      <c r="F644" s="40" t="s">
        <v>1848</v>
      </c>
      <c r="G644" s="78">
        <v>2.9272225681329094E7</v>
      </c>
      <c r="H644" s="78">
        <v>19751.0</v>
      </c>
      <c r="I644" s="80">
        <v>45383.0</v>
      </c>
      <c r="J644" s="80">
        <v>45403.0</v>
      </c>
      <c r="K644" s="79">
        <v>8401.010855255126</v>
      </c>
      <c r="L644" s="81" t="s">
        <v>49</v>
      </c>
      <c r="M644" s="81" t="s">
        <v>110</v>
      </c>
      <c r="N644" s="86"/>
      <c r="O644" s="61"/>
      <c r="P644" s="61"/>
      <c r="Q644" s="61"/>
      <c r="R644" s="61" t="str">
        <f t="shared" si="6"/>
        <v>2024</v>
      </c>
      <c r="S644" s="62">
        <f t="shared" si="7"/>
        <v>4</v>
      </c>
      <c r="T644" s="61" t="str">
        <f t="shared" si="8"/>
        <v>2024-Q2</v>
      </c>
      <c r="U644" s="63" t="str">
        <f t="shared" si="9"/>
        <v>2024-04</v>
      </c>
      <c r="V644" s="64" t="str">
        <f t="shared" si="10"/>
        <v>2024-H1</v>
      </c>
      <c r="W644" s="32"/>
      <c r="X644" s="32"/>
    </row>
    <row r="645">
      <c r="A645" s="77">
        <f>HYPERLINK("https://polkadot.subsquare.io/referenda/643", 643)</f>
        <v>643</v>
      </c>
      <c r="B645" s="40" t="s">
        <v>2193</v>
      </c>
      <c r="C645" s="40" t="s">
        <v>1851</v>
      </c>
      <c r="D645" s="78">
        <v>1000000.0</v>
      </c>
      <c r="E645" s="79">
        <v>8490893.363952637</v>
      </c>
      <c r="F645" s="40" t="s">
        <v>1855</v>
      </c>
      <c r="G645" s="78">
        <v>6.0186620898426965E7</v>
      </c>
      <c r="H645" s="78">
        <v>5138907.336388397</v>
      </c>
      <c r="I645" s="80">
        <v>45383.0</v>
      </c>
      <c r="J645" s="80">
        <v>45409.0</v>
      </c>
      <c r="K645" s="79">
        <v>6422237.873077393</v>
      </c>
      <c r="L645" s="70" t="s">
        <v>47</v>
      </c>
      <c r="M645" s="70" t="s">
        <v>88</v>
      </c>
      <c r="N645" s="61" t="s">
        <v>1881</v>
      </c>
      <c r="O645" s="86"/>
      <c r="P645" s="86"/>
      <c r="Q645" s="86"/>
      <c r="R645" s="61" t="str">
        <f t="shared" si="6"/>
        <v>2024</v>
      </c>
      <c r="S645" s="62">
        <f t="shared" si="7"/>
        <v>4</v>
      </c>
      <c r="T645" s="61" t="str">
        <f t="shared" si="8"/>
        <v>2024-Q2</v>
      </c>
      <c r="U645" s="63" t="str">
        <f t="shared" si="9"/>
        <v>2024-04</v>
      </c>
      <c r="V645" s="64" t="str">
        <f t="shared" si="10"/>
        <v>2024-H1</v>
      </c>
      <c r="W645" s="32"/>
      <c r="X645" s="32"/>
    </row>
    <row r="646">
      <c r="A646" s="77">
        <f>HYPERLINK("https://polkadot.subsquare.io/referenda/644", 644)</f>
        <v>644</v>
      </c>
      <c r="B646" s="40" t="s">
        <v>1226</v>
      </c>
      <c r="C646" s="40" t="s">
        <v>1851</v>
      </c>
      <c r="D646" s="78">
        <v>968000.0</v>
      </c>
      <c r="E646" s="79">
        <v>8219184.776306152</v>
      </c>
      <c r="F646" s="40" t="s">
        <v>1855</v>
      </c>
      <c r="G646" s="78">
        <v>7.164889069742276E7</v>
      </c>
      <c r="H646" s="78">
        <v>5.191506205387039E7</v>
      </c>
      <c r="I646" s="80">
        <v>45383.0</v>
      </c>
      <c r="J646" s="80">
        <v>45418.0</v>
      </c>
      <c r="K646" s="79">
        <v>6824516.040802002</v>
      </c>
      <c r="L646" s="81" t="s">
        <v>81</v>
      </c>
      <c r="M646" s="81" t="s">
        <v>82</v>
      </c>
      <c r="N646" s="86"/>
      <c r="O646" s="61"/>
      <c r="P646" s="61"/>
      <c r="Q646" s="61"/>
      <c r="R646" s="61" t="str">
        <f t="shared" si="6"/>
        <v>2024</v>
      </c>
      <c r="S646" s="62">
        <f t="shared" si="7"/>
        <v>5</v>
      </c>
      <c r="T646" s="61" t="str">
        <f t="shared" si="8"/>
        <v>2024-Q2</v>
      </c>
      <c r="U646" s="63" t="str">
        <f t="shared" si="9"/>
        <v>2024-05</v>
      </c>
      <c r="V646" s="64" t="str">
        <f t="shared" si="10"/>
        <v>2024-H1</v>
      </c>
      <c r="W646" s="32"/>
      <c r="X646" s="32"/>
    </row>
    <row r="647">
      <c r="A647" s="77">
        <f>HYPERLINK("https://polkadot.subsquare.io/referenda/645", 645)</f>
        <v>645</v>
      </c>
      <c r="B647" s="40" t="s">
        <v>2194</v>
      </c>
      <c r="C647" s="40" t="s">
        <v>1851</v>
      </c>
      <c r="D647" s="78">
        <v>0.0</v>
      </c>
      <c r="E647" s="79">
        <v>0.0</v>
      </c>
      <c r="F647" s="40" t="s">
        <v>1866</v>
      </c>
      <c r="G647" s="78">
        <v>2.3407486917756654E7</v>
      </c>
      <c r="H647" s="78">
        <v>1748.47397261</v>
      </c>
      <c r="I647" s="80">
        <v>45383.0</v>
      </c>
      <c r="J647" s="80">
        <v>45420.0</v>
      </c>
      <c r="K647" s="79">
        <v>0.0</v>
      </c>
      <c r="L647" s="70"/>
      <c r="M647" s="70"/>
      <c r="N647" s="61"/>
      <c r="O647" s="86"/>
      <c r="P647" s="86"/>
      <c r="Q647" s="86"/>
      <c r="R647" s="61" t="str">
        <f t="shared" si="6"/>
        <v>2024</v>
      </c>
      <c r="S647" s="62">
        <f t="shared" si="7"/>
        <v>5</v>
      </c>
      <c r="T647" s="61" t="str">
        <f t="shared" si="8"/>
        <v>2024-Q2</v>
      </c>
      <c r="U647" s="63" t="str">
        <f t="shared" si="9"/>
        <v>2024-05</v>
      </c>
      <c r="V647" s="64" t="str">
        <f t="shared" si="10"/>
        <v>2024-H1</v>
      </c>
      <c r="W647" s="32"/>
      <c r="X647" s="32"/>
    </row>
    <row r="648">
      <c r="A648" s="77">
        <f>HYPERLINK("https://polkadot.subsquare.io/referenda/646", 646)</f>
        <v>646</v>
      </c>
      <c r="B648" s="40" t="s">
        <v>2195</v>
      </c>
      <c r="C648" s="40" t="s">
        <v>1851</v>
      </c>
      <c r="D648" s="78">
        <v>0.0</v>
      </c>
      <c r="E648" s="79">
        <v>0.0</v>
      </c>
      <c r="F648" s="40" t="s">
        <v>1853</v>
      </c>
      <c r="G648" s="78">
        <v>5.495008536106465E7</v>
      </c>
      <c r="H648" s="78">
        <v>28883.4716256343</v>
      </c>
      <c r="I648" s="80">
        <v>45384.0</v>
      </c>
      <c r="J648" s="80">
        <v>45405.0</v>
      </c>
      <c r="K648" s="79">
        <v>0.0</v>
      </c>
      <c r="L648" s="81"/>
      <c r="M648" s="81"/>
      <c r="N648" s="86"/>
      <c r="O648" s="61"/>
      <c r="P648" s="61"/>
      <c r="Q648" s="61"/>
      <c r="R648" s="61" t="str">
        <f t="shared" si="6"/>
        <v>2024</v>
      </c>
      <c r="S648" s="62">
        <f t="shared" si="7"/>
        <v>4</v>
      </c>
      <c r="T648" s="61" t="str">
        <f t="shared" si="8"/>
        <v>2024-Q2</v>
      </c>
      <c r="U648" s="63" t="str">
        <f t="shared" si="9"/>
        <v>2024-04</v>
      </c>
      <c r="V648" s="64" t="str">
        <f t="shared" si="10"/>
        <v>2024-H1</v>
      </c>
      <c r="W648" s="32"/>
      <c r="X648" s="32"/>
    </row>
    <row r="649">
      <c r="A649" s="77">
        <f>HYPERLINK("https://polkadot.subsquare.io/referenda/647", 647)</f>
        <v>647</v>
      </c>
      <c r="B649" s="40" t="s">
        <v>2196</v>
      </c>
      <c r="C649" s="40" t="s">
        <v>1846</v>
      </c>
      <c r="D649" s="78">
        <v>24323.0</v>
      </c>
      <c r="E649" s="79">
        <v>206523.99929141998</v>
      </c>
      <c r="F649" s="40" t="s">
        <v>1853</v>
      </c>
      <c r="G649" s="78">
        <v>2792589.2605857137</v>
      </c>
      <c r="H649" s="78">
        <v>2.487942391017793E7</v>
      </c>
      <c r="I649" s="80">
        <v>45384.0</v>
      </c>
      <c r="J649" s="80">
        <v>45412.0</v>
      </c>
      <c r="K649" s="79">
        <v>176465.82658290863</v>
      </c>
      <c r="L649" s="70"/>
      <c r="M649" s="70"/>
      <c r="N649" s="61"/>
      <c r="O649" s="86"/>
      <c r="P649" s="86"/>
      <c r="Q649" s="86"/>
      <c r="R649" s="61" t="str">
        <f t="shared" si="6"/>
        <v>2024</v>
      </c>
      <c r="S649" s="62">
        <f t="shared" si="7"/>
        <v>4</v>
      </c>
      <c r="T649" s="61" t="str">
        <f t="shared" si="8"/>
        <v>2024-Q2</v>
      </c>
      <c r="U649" s="63" t="str">
        <f t="shared" si="9"/>
        <v>2024-04</v>
      </c>
      <c r="V649" s="64" t="str">
        <f t="shared" si="10"/>
        <v>2024-H1</v>
      </c>
      <c r="W649" s="32"/>
      <c r="X649" s="32"/>
    </row>
    <row r="650">
      <c r="A650" s="77">
        <f>HYPERLINK("https://polkadot.subsquare.io/referenda/648", 648)</f>
        <v>648</v>
      </c>
      <c r="B650" s="40" t="s">
        <v>2197</v>
      </c>
      <c r="C650" s="40" t="s">
        <v>1851</v>
      </c>
      <c r="D650" s="78">
        <v>0.0</v>
      </c>
      <c r="E650" s="79">
        <v>0.0</v>
      </c>
      <c r="F650" s="40" t="s">
        <v>1852</v>
      </c>
      <c r="G650" s="78">
        <v>7.827719518856193E7</v>
      </c>
      <c r="H650" s="78">
        <v>1446.0</v>
      </c>
      <c r="I650" s="80">
        <v>45384.0</v>
      </c>
      <c r="J650" s="80">
        <v>45401.0</v>
      </c>
      <c r="K650" s="79">
        <v>0.0</v>
      </c>
      <c r="L650" s="81"/>
      <c r="M650" s="81"/>
      <c r="N650" s="86"/>
      <c r="O650" s="61"/>
      <c r="P650" s="61"/>
      <c r="Q650" s="61"/>
      <c r="R650" s="61" t="str">
        <f t="shared" si="6"/>
        <v>2024</v>
      </c>
      <c r="S650" s="62">
        <f t="shared" si="7"/>
        <v>4</v>
      </c>
      <c r="T650" s="61" t="str">
        <f t="shared" si="8"/>
        <v>2024-Q2</v>
      </c>
      <c r="U650" s="63" t="str">
        <f t="shared" si="9"/>
        <v>2024-04</v>
      </c>
      <c r="V650" s="64" t="str">
        <f t="shared" si="10"/>
        <v>2024-H1</v>
      </c>
      <c r="W650" s="32"/>
      <c r="X650" s="32"/>
    </row>
    <row r="651">
      <c r="A651" s="77">
        <f>HYPERLINK("https://polkadot.subsquare.io/referenda/649", 649)</f>
        <v>649</v>
      </c>
      <c r="B651" s="40" t="s">
        <v>2198</v>
      </c>
      <c r="C651" s="40" t="s">
        <v>1851</v>
      </c>
      <c r="D651" s="78">
        <v>0.0</v>
      </c>
      <c r="E651" s="79">
        <v>0.0</v>
      </c>
      <c r="F651" s="40" t="s">
        <v>1855</v>
      </c>
      <c r="G651" s="78">
        <v>2.501772531707894E7</v>
      </c>
      <c r="H651" s="78">
        <v>9118.5</v>
      </c>
      <c r="I651" s="80">
        <v>45384.0</v>
      </c>
      <c r="J651" s="80">
        <v>45416.0</v>
      </c>
      <c r="K651" s="79">
        <v>0.0</v>
      </c>
      <c r="L651" s="70"/>
      <c r="M651" s="70"/>
      <c r="N651" s="61"/>
      <c r="O651" s="86" t="s">
        <v>1881</v>
      </c>
      <c r="P651" s="86"/>
      <c r="Q651" s="86"/>
      <c r="R651" s="61" t="str">
        <f t="shared" si="6"/>
        <v>2024</v>
      </c>
      <c r="S651" s="62">
        <f t="shared" si="7"/>
        <v>5</v>
      </c>
      <c r="T651" s="61" t="str">
        <f t="shared" si="8"/>
        <v>2024-Q2</v>
      </c>
      <c r="U651" s="63" t="str">
        <f t="shared" si="9"/>
        <v>2024-05</v>
      </c>
      <c r="V651" s="64" t="str">
        <f t="shared" si="10"/>
        <v>2024-H1</v>
      </c>
      <c r="W651" s="32"/>
      <c r="X651" s="32"/>
    </row>
    <row r="652">
      <c r="A652" s="77">
        <f>HYPERLINK("https://polkadot.subsquare.io/referenda/650", 650)</f>
        <v>650</v>
      </c>
      <c r="B652" s="40" t="s">
        <v>2199</v>
      </c>
      <c r="C652" s="40" t="s">
        <v>1846</v>
      </c>
      <c r="D652" s="78">
        <v>100000.0</v>
      </c>
      <c r="E652" s="79">
        <v>849418.6401367188</v>
      </c>
      <c r="F652" s="40" t="s">
        <v>1853</v>
      </c>
      <c r="G652" s="78">
        <v>2.1781669610639274E7</v>
      </c>
      <c r="H652" s="78">
        <v>3.9556163659928724E7</v>
      </c>
      <c r="I652" s="80">
        <v>45385.0</v>
      </c>
      <c r="J652" s="80">
        <v>45415.0</v>
      </c>
      <c r="K652" s="79">
        <v>730678.4152984619</v>
      </c>
      <c r="L652" s="81"/>
      <c r="M652" s="81"/>
      <c r="N652" s="86"/>
      <c r="O652" s="61"/>
      <c r="P652" s="61"/>
      <c r="Q652" s="61"/>
      <c r="R652" s="61" t="str">
        <f t="shared" si="6"/>
        <v>2024</v>
      </c>
      <c r="S652" s="62">
        <f t="shared" si="7"/>
        <v>5</v>
      </c>
      <c r="T652" s="61" t="str">
        <f t="shared" si="8"/>
        <v>2024-Q2</v>
      </c>
      <c r="U652" s="63" t="str">
        <f t="shared" si="9"/>
        <v>2024-05</v>
      </c>
      <c r="V652" s="64" t="str">
        <f t="shared" si="10"/>
        <v>2024-H1</v>
      </c>
      <c r="W652" s="32"/>
      <c r="X652" s="32"/>
    </row>
    <row r="653">
      <c r="A653" s="77">
        <f>HYPERLINK("https://polkadot.subsquare.io/referenda/651", 651)</f>
        <v>651</v>
      </c>
      <c r="B653" s="40" t="s">
        <v>1227</v>
      </c>
      <c r="C653" s="40" t="s">
        <v>1851</v>
      </c>
      <c r="D653" s="78">
        <v>68868.6</v>
      </c>
      <c r="E653" s="79">
        <v>584982.7256011963</v>
      </c>
      <c r="F653" s="40" t="s">
        <v>1853</v>
      </c>
      <c r="G653" s="78">
        <v>4.157178981025734E7</v>
      </c>
      <c r="H653" s="78">
        <v>2.2327079892141424E7</v>
      </c>
      <c r="I653" s="80">
        <v>45385.0</v>
      </c>
      <c r="J653" s="80">
        <v>45409.0</v>
      </c>
      <c r="K653" s="79">
        <v>453963.42182521825</v>
      </c>
      <c r="L653" s="70" t="s">
        <v>81</v>
      </c>
      <c r="M653" s="70" t="s">
        <v>87</v>
      </c>
      <c r="N653" s="61"/>
      <c r="O653" s="86"/>
      <c r="P653" s="86"/>
      <c r="Q653" s="86"/>
      <c r="R653" s="61" t="str">
        <f t="shared" si="6"/>
        <v>2024</v>
      </c>
      <c r="S653" s="62">
        <f t="shared" si="7"/>
        <v>4</v>
      </c>
      <c r="T653" s="61" t="str">
        <f t="shared" si="8"/>
        <v>2024-Q2</v>
      </c>
      <c r="U653" s="63" t="str">
        <f t="shared" si="9"/>
        <v>2024-04</v>
      </c>
      <c r="V653" s="64" t="str">
        <f t="shared" si="10"/>
        <v>2024-H1</v>
      </c>
      <c r="W653" s="32"/>
      <c r="X653" s="32"/>
    </row>
    <row r="654">
      <c r="A654" s="77">
        <f>HYPERLINK("https://polkadot.subsquare.io/referenda/652", 652)</f>
        <v>652</v>
      </c>
      <c r="B654" s="40" t="s">
        <v>2200</v>
      </c>
      <c r="C654" s="40" t="s">
        <v>1846</v>
      </c>
      <c r="D654" s="78">
        <v>2.1557E-6</v>
      </c>
      <c r="E654" s="79">
        <v>1.8310917625427245E-5</v>
      </c>
      <c r="F654" s="40" t="s">
        <v>1853</v>
      </c>
      <c r="G654" s="78">
        <v>0.02</v>
      </c>
      <c r="H654" s="78">
        <v>3.108380881877782E7</v>
      </c>
      <c r="I654" s="80">
        <v>45385.0</v>
      </c>
      <c r="J654" s="80">
        <v>45413.0</v>
      </c>
      <c r="K654" s="79">
        <v>1.5363803105163574E-5</v>
      </c>
      <c r="L654" s="81"/>
      <c r="M654" s="81"/>
      <c r="N654" s="86"/>
      <c r="O654" s="61"/>
      <c r="P654" s="61"/>
      <c r="Q654" s="61"/>
      <c r="R654" s="61" t="str">
        <f t="shared" si="6"/>
        <v>2024</v>
      </c>
      <c r="S654" s="62">
        <f t="shared" si="7"/>
        <v>5</v>
      </c>
      <c r="T654" s="61" t="str">
        <f t="shared" si="8"/>
        <v>2024-Q2</v>
      </c>
      <c r="U654" s="63" t="str">
        <f t="shared" si="9"/>
        <v>2024-05</v>
      </c>
      <c r="V654" s="64" t="str">
        <f t="shared" si="10"/>
        <v>2024-H1</v>
      </c>
      <c r="W654" s="32"/>
      <c r="X654" s="32"/>
    </row>
    <row r="655">
      <c r="A655" s="77">
        <f>HYPERLINK("https://polkadot.subsquare.io/referenda/653", 653)</f>
        <v>653</v>
      </c>
      <c r="B655" s="40" t="s">
        <v>2176</v>
      </c>
      <c r="C655" s="40" t="s">
        <v>1846</v>
      </c>
      <c r="D655" s="78">
        <v>1000.0</v>
      </c>
      <c r="E655" s="79">
        <v>8706.72607421875</v>
      </c>
      <c r="F655" s="40" t="s">
        <v>1869</v>
      </c>
      <c r="G655" s="78">
        <v>1.2378219411409115E7</v>
      </c>
      <c r="H655" s="78">
        <v>1.3563677540309118E7</v>
      </c>
      <c r="I655" s="80">
        <v>45387.0</v>
      </c>
      <c r="J655" s="80">
        <v>45394.0</v>
      </c>
      <c r="K655" s="79">
        <v>6869.346141815186</v>
      </c>
      <c r="L655" s="70"/>
      <c r="M655" s="70"/>
      <c r="N655" s="61"/>
      <c r="O655" s="86"/>
      <c r="P655" s="86"/>
      <c r="Q655" s="86"/>
      <c r="R655" s="61" t="str">
        <f t="shared" si="6"/>
        <v>2024</v>
      </c>
      <c r="S655" s="62">
        <f t="shared" si="7"/>
        <v>4</v>
      </c>
      <c r="T655" s="61" t="str">
        <f t="shared" si="8"/>
        <v>2024-Q2</v>
      </c>
      <c r="U655" s="63" t="str">
        <f t="shared" si="9"/>
        <v>2024-04</v>
      </c>
      <c r="V655" s="64" t="str">
        <f t="shared" si="10"/>
        <v>2024-H1</v>
      </c>
      <c r="W655" s="32"/>
      <c r="X655" s="32"/>
    </row>
    <row r="656">
      <c r="A656" s="77">
        <f>HYPERLINK("https://polkadot.subsquare.io/referenda/654", 654)</f>
        <v>654</v>
      </c>
      <c r="B656" s="40" t="s">
        <v>1228</v>
      </c>
      <c r="C656" s="40" t="s">
        <v>1851</v>
      </c>
      <c r="D656" s="78">
        <v>33956.17</v>
      </c>
      <c r="E656" s="79">
        <v>295647.0707196045</v>
      </c>
      <c r="F656" s="40" t="s">
        <v>1853</v>
      </c>
      <c r="G656" s="78">
        <v>1.8931912162431866E7</v>
      </c>
      <c r="H656" s="78">
        <v>1.4893682493592078E7</v>
      </c>
      <c r="I656" s="80">
        <v>45387.0</v>
      </c>
      <c r="J656" s="80">
        <v>45416.0</v>
      </c>
      <c r="K656" s="79">
        <v>241844.73929177283</v>
      </c>
      <c r="L656" s="81" t="s">
        <v>46</v>
      </c>
      <c r="M656" s="81" t="s">
        <v>114</v>
      </c>
      <c r="N656" s="86"/>
      <c r="O656" s="61"/>
      <c r="P656" s="61"/>
      <c r="Q656" s="61"/>
      <c r="R656" s="61" t="str">
        <f t="shared" si="6"/>
        <v>2024</v>
      </c>
      <c r="S656" s="62">
        <f t="shared" si="7"/>
        <v>5</v>
      </c>
      <c r="T656" s="61" t="str">
        <f t="shared" si="8"/>
        <v>2024-Q2</v>
      </c>
      <c r="U656" s="63" t="str">
        <f t="shared" si="9"/>
        <v>2024-05</v>
      </c>
      <c r="V656" s="64" t="str">
        <f t="shared" si="10"/>
        <v>2024-H1</v>
      </c>
      <c r="W656" s="32"/>
      <c r="X656" s="32"/>
    </row>
    <row r="657">
      <c r="A657" s="77">
        <f>HYPERLINK("https://polkadot.subsquare.io/referenda/655", 655)</f>
        <v>655</v>
      </c>
      <c r="B657" s="40" t="s">
        <v>2201</v>
      </c>
      <c r="C657" s="40" t="s">
        <v>1861</v>
      </c>
      <c r="D657" s="78">
        <v>5800.0</v>
      </c>
      <c r="E657" s="79">
        <v>50228.30333709717</v>
      </c>
      <c r="F657" s="40" t="s">
        <v>1848</v>
      </c>
      <c r="G657" s="78">
        <v>4.0</v>
      </c>
      <c r="H657" s="78">
        <v>7615286.763612855</v>
      </c>
      <c r="I657" s="80">
        <v>45388.0</v>
      </c>
      <c r="J657" s="80">
        <v>45402.0</v>
      </c>
      <c r="K657" s="79">
        <v>42018.60427856445</v>
      </c>
      <c r="L657" s="70"/>
      <c r="M657" s="70"/>
      <c r="N657" s="61"/>
      <c r="O657" s="86"/>
      <c r="P657" s="86"/>
      <c r="Q657" s="86"/>
      <c r="R657" s="61" t="str">
        <f t="shared" si="6"/>
        <v>2024</v>
      </c>
      <c r="S657" s="62">
        <f t="shared" si="7"/>
        <v>4</v>
      </c>
      <c r="T657" s="61" t="str">
        <f t="shared" si="8"/>
        <v>2024-Q2</v>
      </c>
      <c r="U657" s="63" t="str">
        <f t="shared" si="9"/>
        <v>2024-04</v>
      </c>
      <c r="V657" s="64" t="str">
        <f t="shared" si="10"/>
        <v>2024-H1</v>
      </c>
      <c r="W657" s="32"/>
      <c r="X657" s="32"/>
    </row>
    <row r="658">
      <c r="A658" s="77">
        <f>HYPERLINK("https://polkadot.subsquare.io/referenda/656", 656)</f>
        <v>656</v>
      </c>
      <c r="B658" s="40" t="s">
        <v>1229</v>
      </c>
      <c r="C658" s="40" t="s">
        <v>1851</v>
      </c>
      <c r="D658" s="78">
        <v>31352.0</v>
      </c>
      <c r="E658" s="79">
        <v>271509.9596939087</v>
      </c>
      <c r="F658" s="40" t="s">
        <v>1853</v>
      </c>
      <c r="G658" s="78">
        <v>3.43843341452359E7</v>
      </c>
      <c r="H658" s="78">
        <v>8218053.325840491</v>
      </c>
      <c r="I658" s="80">
        <v>45388.0</v>
      </c>
      <c r="J658" s="80">
        <v>45412.0</v>
      </c>
      <c r="K658" s="79">
        <v>227461.93294525146</v>
      </c>
      <c r="L658" s="81" t="s">
        <v>81</v>
      </c>
      <c r="M658" s="81" t="s">
        <v>92</v>
      </c>
      <c r="N658" s="86"/>
      <c r="O658" s="61"/>
      <c r="P658" s="61"/>
      <c r="Q658" s="61"/>
      <c r="R658" s="61" t="str">
        <f t="shared" si="6"/>
        <v>2024</v>
      </c>
      <c r="S658" s="62">
        <f t="shared" si="7"/>
        <v>4</v>
      </c>
      <c r="T658" s="61" t="str">
        <f t="shared" si="8"/>
        <v>2024-Q2</v>
      </c>
      <c r="U658" s="63" t="str">
        <f t="shared" si="9"/>
        <v>2024-04</v>
      </c>
      <c r="V658" s="64" t="str">
        <f t="shared" si="10"/>
        <v>2024-H1</v>
      </c>
      <c r="W658" s="32"/>
      <c r="X658" s="32"/>
    </row>
    <row r="659">
      <c r="A659" s="77">
        <f>HYPERLINK("https://polkadot.subsquare.io/referenda/657", 657)</f>
        <v>657</v>
      </c>
      <c r="B659" s="40" t="s">
        <v>1230</v>
      </c>
      <c r="C659" s="40" t="s">
        <v>1851</v>
      </c>
      <c r="D659" s="78">
        <v>8420.0</v>
      </c>
      <c r="E659" s="79">
        <v>72917.64036178589</v>
      </c>
      <c r="F659" s="40" t="s">
        <v>1848</v>
      </c>
      <c r="G659" s="78">
        <v>3.24976708496217E7</v>
      </c>
      <c r="H659" s="78">
        <v>7570689.157407557</v>
      </c>
      <c r="I659" s="80">
        <v>45389.0</v>
      </c>
      <c r="J659" s="80">
        <v>45411.0</v>
      </c>
      <c r="K659" s="79">
        <v>61340.678367614746</v>
      </c>
      <c r="L659" s="70" t="s">
        <v>81</v>
      </c>
      <c r="M659" s="70" t="s">
        <v>88</v>
      </c>
      <c r="N659" s="61"/>
      <c r="O659" s="86"/>
      <c r="P659" s="86"/>
      <c r="Q659" s="86"/>
      <c r="R659" s="61" t="str">
        <f t="shared" si="6"/>
        <v>2024</v>
      </c>
      <c r="S659" s="62">
        <f t="shared" si="7"/>
        <v>4</v>
      </c>
      <c r="T659" s="61" t="str">
        <f t="shared" si="8"/>
        <v>2024-Q2</v>
      </c>
      <c r="U659" s="63" t="str">
        <f t="shared" si="9"/>
        <v>2024-04</v>
      </c>
      <c r="V659" s="64" t="str">
        <f t="shared" si="10"/>
        <v>2024-H1</v>
      </c>
      <c r="W659" s="32"/>
      <c r="X659" s="32"/>
    </row>
    <row r="660">
      <c r="A660" s="77">
        <f>HYPERLINK("https://polkadot.subsquare.io/referenda/658", 658)</f>
        <v>658</v>
      </c>
      <c r="B660" s="40" t="s">
        <v>2202</v>
      </c>
      <c r="C660" s="40" t="s">
        <v>1846</v>
      </c>
      <c r="D660" s="78">
        <v>8235.42</v>
      </c>
      <c r="E660" s="79">
        <v>71319.16790834427</v>
      </c>
      <c r="F660" s="40" t="s">
        <v>1848</v>
      </c>
      <c r="G660" s="78">
        <v>1.2956314595299855E7</v>
      </c>
      <c r="H660" s="78">
        <v>1.6023223024726236E7</v>
      </c>
      <c r="I660" s="80">
        <v>45389.0</v>
      </c>
      <c r="J660" s="80">
        <v>45417.0</v>
      </c>
      <c r="K660" s="79">
        <v>57566.5656536293</v>
      </c>
      <c r="L660" s="81"/>
      <c r="M660" s="81"/>
      <c r="N660" s="86"/>
      <c r="O660" s="61"/>
      <c r="P660" s="61"/>
      <c r="Q660" s="61"/>
      <c r="R660" s="61" t="str">
        <f t="shared" si="6"/>
        <v>2024</v>
      </c>
      <c r="S660" s="62">
        <f t="shared" si="7"/>
        <v>5</v>
      </c>
      <c r="T660" s="61" t="str">
        <f t="shared" si="8"/>
        <v>2024-Q2</v>
      </c>
      <c r="U660" s="63" t="str">
        <f t="shared" si="9"/>
        <v>2024-05</v>
      </c>
      <c r="V660" s="64" t="str">
        <f t="shared" si="10"/>
        <v>2024-H1</v>
      </c>
      <c r="W660" s="32"/>
      <c r="X660" s="32"/>
    </row>
    <row r="661">
      <c r="A661" s="77">
        <f>HYPERLINK("https://polkadot.subsquare.io/referenda/659", 659)</f>
        <v>659</v>
      </c>
      <c r="B661" s="40" t="s">
        <v>1231</v>
      </c>
      <c r="C661" s="40" t="s">
        <v>1851</v>
      </c>
      <c r="D661" s="78">
        <v>155.0</v>
      </c>
      <c r="E661" s="79">
        <v>1304.929723739624</v>
      </c>
      <c r="F661" s="40" t="s">
        <v>982</v>
      </c>
      <c r="G661" s="78">
        <v>2.7695702597177453E7</v>
      </c>
      <c r="H661" s="78">
        <v>23.0</v>
      </c>
      <c r="I661" s="80">
        <v>45389.0</v>
      </c>
      <c r="J661" s="80">
        <v>45392.0</v>
      </c>
      <c r="K661" s="79">
        <v>1122.3687744140625</v>
      </c>
      <c r="L661" s="70" t="s">
        <v>81</v>
      </c>
      <c r="M661" s="71" t="s">
        <v>97</v>
      </c>
      <c r="N661" s="61"/>
      <c r="O661" s="86"/>
      <c r="P661" s="86"/>
      <c r="Q661" s="86"/>
      <c r="R661" s="61" t="str">
        <f t="shared" si="6"/>
        <v>2024</v>
      </c>
      <c r="S661" s="62">
        <f t="shared" si="7"/>
        <v>4</v>
      </c>
      <c r="T661" s="61" t="str">
        <f t="shared" si="8"/>
        <v>2024-Q2</v>
      </c>
      <c r="U661" s="63" t="str">
        <f t="shared" si="9"/>
        <v>2024-04</v>
      </c>
      <c r="V661" s="64" t="str">
        <f t="shared" si="10"/>
        <v>2024-H1</v>
      </c>
      <c r="W661" s="32"/>
      <c r="X661" s="32"/>
    </row>
    <row r="662">
      <c r="A662" s="77">
        <f>HYPERLINK("https://polkadot.subsquare.io/referenda/660", 660)</f>
        <v>660</v>
      </c>
      <c r="B662" s="40" t="s">
        <v>1232</v>
      </c>
      <c r="C662" s="40" t="s">
        <v>1851</v>
      </c>
      <c r="D662" s="78">
        <v>42.0</v>
      </c>
      <c r="E662" s="79">
        <v>353.5938606262207</v>
      </c>
      <c r="F662" s="40" t="s">
        <v>982</v>
      </c>
      <c r="G662" s="78">
        <v>2.0291719983277466E7</v>
      </c>
      <c r="H662" s="78">
        <v>23.0</v>
      </c>
      <c r="I662" s="80">
        <v>45389.0</v>
      </c>
      <c r="J662" s="80">
        <v>45392.0</v>
      </c>
      <c r="K662" s="79">
        <v>304.125732421875</v>
      </c>
      <c r="L662" s="81" t="s">
        <v>47</v>
      </c>
      <c r="M662" s="81" t="s">
        <v>119</v>
      </c>
      <c r="N662" s="86"/>
      <c r="O662" s="61"/>
      <c r="P662" s="61"/>
      <c r="Q662" s="61"/>
      <c r="R662" s="61" t="str">
        <f t="shared" si="6"/>
        <v>2024</v>
      </c>
      <c r="S662" s="62">
        <f t="shared" si="7"/>
        <v>4</v>
      </c>
      <c r="T662" s="61" t="str">
        <f t="shared" si="8"/>
        <v>2024-Q2</v>
      </c>
      <c r="U662" s="63" t="str">
        <f t="shared" si="9"/>
        <v>2024-04</v>
      </c>
      <c r="V662" s="64" t="str">
        <f t="shared" si="10"/>
        <v>2024-H1</v>
      </c>
      <c r="W662" s="32"/>
      <c r="X662" s="32"/>
    </row>
    <row r="663">
      <c r="A663" s="77">
        <f>HYPERLINK("https://polkadot.subsquare.io/referenda/661", 661)</f>
        <v>661</v>
      </c>
      <c r="B663" s="40" t="s">
        <v>2203</v>
      </c>
      <c r="C663" s="40" t="s">
        <v>1846</v>
      </c>
      <c r="D663" s="78">
        <v>5.365E-7</v>
      </c>
      <c r="E663" s="79">
        <v>4.516740624427795E-6</v>
      </c>
      <c r="F663" s="40" t="s">
        <v>1848</v>
      </c>
      <c r="G663" s="78">
        <v>0.0</v>
      </c>
      <c r="H663" s="78">
        <v>3.443667832019693E7</v>
      </c>
      <c r="I663" s="80">
        <v>45390.0</v>
      </c>
      <c r="J663" s="80">
        <v>45418.0</v>
      </c>
      <c r="K663" s="79">
        <v>3.7823893139362332E-6</v>
      </c>
      <c r="L663" s="70"/>
      <c r="M663" s="70"/>
      <c r="N663" s="61"/>
      <c r="O663" s="86"/>
      <c r="P663" s="86"/>
      <c r="Q663" s="86"/>
      <c r="R663" s="61" t="str">
        <f t="shared" si="6"/>
        <v>2024</v>
      </c>
      <c r="S663" s="62">
        <f t="shared" si="7"/>
        <v>5</v>
      </c>
      <c r="T663" s="61" t="str">
        <f t="shared" si="8"/>
        <v>2024-Q2</v>
      </c>
      <c r="U663" s="63" t="str">
        <f t="shared" si="9"/>
        <v>2024-05</v>
      </c>
      <c r="V663" s="64" t="str">
        <f t="shared" si="10"/>
        <v>2024-H1</v>
      </c>
      <c r="W663" s="32"/>
      <c r="X663" s="32"/>
    </row>
    <row r="664">
      <c r="A664" s="77">
        <f>HYPERLINK("https://polkadot.subsquare.io/referenda/662", 662)</f>
        <v>662</v>
      </c>
      <c r="B664" s="40" t="s">
        <v>1233</v>
      </c>
      <c r="C664" s="40" t="s">
        <v>1851</v>
      </c>
      <c r="D664" s="78">
        <v>5365.0</v>
      </c>
      <c r="E664" s="79">
        <v>44955.70236682892</v>
      </c>
      <c r="F664" s="40" t="s">
        <v>1848</v>
      </c>
      <c r="G664" s="78">
        <v>3.808948874393382E7</v>
      </c>
      <c r="H664" s="78">
        <v>2096110.6425523134</v>
      </c>
      <c r="I664" s="80">
        <v>45390.0</v>
      </c>
      <c r="J664" s="80">
        <v>45409.0</v>
      </c>
      <c r="K664" s="79">
        <v>34455.30618906021</v>
      </c>
      <c r="L664" s="81" t="s">
        <v>81</v>
      </c>
      <c r="M664" s="85" t="s">
        <v>86</v>
      </c>
      <c r="N664" s="86"/>
      <c r="O664" s="61"/>
      <c r="P664" s="61"/>
      <c r="Q664" s="61"/>
      <c r="R664" s="61" t="str">
        <f t="shared" si="6"/>
        <v>2024</v>
      </c>
      <c r="S664" s="62">
        <f t="shared" si="7"/>
        <v>4</v>
      </c>
      <c r="T664" s="61" t="str">
        <f t="shared" si="8"/>
        <v>2024-Q2</v>
      </c>
      <c r="U664" s="63" t="str">
        <f t="shared" si="9"/>
        <v>2024-04</v>
      </c>
      <c r="V664" s="64" t="str">
        <f t="shared" si="10"/>
        <v>2024-H1</v>
      </c>
      <c r="W664" s="32"/>
      <c r="X664" s="32"/>
    </row>
    <row r="665">
      <c r="A665" s="77">
        <f>HYPERLINK("https://polkadot.subsquare.io/referenda/663", 663)</f>
        <v>663</v>
      </c>
      <c r="B665" s="40" t="s">
        <v>1234</v>
      </c>
      <c r="C665" s="40" t="s">
        <v>1851</v>
      </c>
      <c r="D665" s="78">
        <v>91663.0</v>
      </c>
      <c r="E665" s="79">
        <v>768084.7243337631</v>
      </c>
      <c r="F665" s="40" t="s">
        <v>1853</v>
      </c>
      <c r="G665" s="78">
        <v>3.2434635027898677E7</v>
      </c>
      <c r="H665" s="78">
        <v>2825400.4</v>
      </c>
      <c r="I665" s="80">
        <v>45390.0</v>
      </c>
      <c r="J665" s="80">
        <v>45418.0</v>
      </c>
      <c r="K665" s="79">
        <v>646235.1382727623</v>
      </c>
      <c r="L665" s="70" t="s">
        <v>46</v>
      </c>
      <c r="M665" s="70" t="s">
        <v>110</v>
      </c>
      <c r="N665" s="61"/>
      <c r="O665" s="86"/>
      <c r="P665" s="86" t="s">
        <v>1881</v>
      </c>
      <c r="Q665" s="86"/>
      <c r="R665" s="61" t="str">
        <f t="shared" si="6"/>
        <v>2024</v>
      </c>
      <c r="S665" s="62">
        <f t="shared" si="7"/>
        <v>5</v>
      </c>
      <c r="T665" s="61" t="str">
        <f t="shared" si="8"/>
        <v>2024-Q2</v>
      </c>
      <c r="U665" s="63" t="str">
        <f t="shared" si="9"/>
        <v>2024-05</v>
      </c>
      <c r="V665" s="64" t="str">
        <f t="shared" si="10"/>
        <v>2024-H1</v>
      </c>
      <c r="W665" s="32"/>
      <c r="X665" s="32"/>
    </row>
    <row r="666">
      <c r="A666" s="77">
        <f>HYPERLINK("https://polkadot.subsquare.io/referenda/664", 664)</f>
        <v>664</v>
      </c>
      <c r="B666" s="40"/>
      <c r="C666" s="40" t="s">
        <v>1861</v>
      </c>
      <c r="D666" s="78">
        <v>16153.0</v>
      </c>
      <c r="E666" s="79">
        <v>135353.11469364166</v>
      </c>
      <c r="F666" s="40" t="s">
        <v>1866</v>
      </c>
      <c r="G666" s="78">
        <v>3.9</v>
      </c>
      <c r="H666" s="78">
        <v>4106703.5566570326</v>
      </c>
      <c r="I666" s="80">
        <v>45390.0</v>
      </c>
      <c r="J666" s="80">
        <v>45404.0</v>
      </c>
      <c r="K666" s="79">
        <v>110847.84743452072</v>
      </c>
      <c r="L666" s="81"/>
      <c r="M666" s="81"/>
      <c r="N666" s="86"/>
      <c r="O666" s="61"/>
      <c r="P666" s="61"/>
      <c r="Q666" s="61"/>
      <c r="R666" s="61" t="str">
        <f t="shared" si="6"/>
        <v>2024</v>
      </c>
      <c r="S666" s="62">
        <f t="shared" si="7"/>
        <v>4</v>
      </c>
      <c r="T666" s="61" t="str">
        <f t="shared" si="8"/>
        <v>2024-Q2</v>
      </c>
      <c r="U666" s="63" t="str">
        <f t="shared" si="9"/>
        <v>2024-04</v>
      </c>
      <c r="V666" s="64" t="str">
        <f t="shared" si="10"/>
        <v>2024-H1</v>
      </c>
      <c r="W666" s="32"/>
      <c r="X666" s="32"/>
    </row>
    <row r="667">
      <c r="A667" s="77">
        <f>HYPERLINK("https://polkadot.subsquare.io/referenda/665", 665)</f>
        <v>665</v>
      </c>
      <c r="B667" s="40" t="s">
        <v>2204</v>
      </c>
      <c r="C667" s="40" t="s">
        <v>1846</v>
      </c>
      <c r="D667" s="78">
        <v>16153.0</v>
      </c>
      <c r="E667" s="79">
        <v>135353.11469364166</v>
      </c>
      <c r="F667" s="40" t="s">
        <v>1853</v>
      </c>
      <c r="G667" s="78">
        <v>6147712.278539262</v>
      </c>
      <c r="H667" s="78">
        <v>3.38746780088174E7</v>
      </c>
      <c r="I667" s="80">
        <v>45390.0</v>
      </c>
      <c r="J667" s="80">
        <v>45418.0</v>
      </c>
      <c r="K667" s="79">
        <v>113880.58637094498</v>
      </c>
      <c r="L667" s="70"/>
      <c r="M667" s="70"/>
      <c r="N667" s="61"/>
      <c r="O667" s="86"/>
      <c r="P667" s="86"/>
      <c r="Q667" s="86"/>
      <c r="R667" s="61" t="str">
        <f t="shared" si="6"/>
        <v>2024</v>
      </c>
      <c r="S667" s="62">
        <f t="shared" si="7"/>
        <v>5</v>
      </c>
      <c r="T667" s="61" t="str">
        <f t="shared" si="8"/>
        <v>2024-Q2</v>
      </c>
      <c r="U667" s="63" t="str">
        <f t="shared" si="9"/>
        <v>2024-05</v>
      </c>
      <c r="V667" s="64" t="str">
        <f t="shared" si="10"/>
        <v>2024-H1</v>
      </c>
      <c r="W667" s="32"/>
      <c r="X667" s="32"/>
    </row>
    <row r="668">
      <c r="A668" s="77">
        <f>HYPERLINK("https://polkadot.subsquare.io/referenda/666", 666)</f>
        <v>666</v>
      </c>
      <c r="B668" s="40" t="s">
        <v>982</v>
      </c>
      <c r="C668" s="40" t="s">
        <v>1851</v>
      </c>
      <c r="D668" s="78">
        <v>80.0</v>
      </c>
      <c r="E668" s="79">
        <v>579.287109375</v>
      </c>
      <c r="F668" s="40" t="s">
        <v>982</v>
      </c>
      <c r="G668" s="78">
        <v>1.5790448086064912E7</v>
      </c>
      <c r="H668" s="78">
        <v>5.0</v>
      </c>
      <c r="I668" s="80">
        <v>45391.0</v>
      </c>
      <c r="J668" s="80">
        <v>45394.0</v>
      </c>
      <c r="K668" s="79">
        <v>549.5476913452148</v>
      </c>
      <c r="L668" s="81" t="s">
        <v>46</v>
      </c>
      <c r="M668" s="81" t="s">
        <v>102</v>
      </c>
      <c r="N668" s="86"/>
      <c r="O668" s="61"/>
      <c r="P668" s="61"/>
      <c r="Q668" s="61"/>
      <c r="R668" s="61" t="str">
        <f t="shared" si="6"/>
        <v>2024</v>
      </c>
      <c r="S668" s="62">
        <f t="shared" si="7"/>
        <v>4</v>
      </c>
      <c r="T668" s="61" t="str">
        <f t="shared" si="8"/>
        <v>2024-Q2</v>
      </c>
      <c r="U668" s="63" t="str">
        <f t="shared" si="9"/>
        <v>2024-04</v>
      </c>
      <c r="V668" s="64" t="str">
        <f t="shared" si="10"/>
        <v>2024-H1</v>
      </c>
      <c r="W668" s="32"/>
      <c r="X668" s="32"/>
    </row>
    <row r="669">
      <c r="A669" s="77">
        <f>HYPERLINK("https://polkadot.subsquare.io/referenda/667", 667)</f>
        <v>667</v>
      </c>
      <c r="B669" s="40" t="s">
        <v>1235</v>
      </c>
      <c r="C669" s="40" t="s">
        <v>1851</v>
      </c>
      <c r="D669" s="78">
        <v>550.0</v>
      </c>
      <c r="E669" s="79">
        <v>3982.598876953125</v>
      </c>
      <c r="F669" s="40" t="s">
        <v>1869</v>
      </c>
      <c r="G669" s="78">
        <v>1.2201796754149145E7</v>
      </c>
      <c r="H669" s="78">
        <v>7657903.340749044</v>
      </c>
      <c r="I669" s="80">
        <v>45391.0</v>
      </c>
      <c r="J669" s="80">
        <v>45397.0</v>
      </c>
      <c r="K669" s="79">
        <v>3732.037615776062</v>
      </c>
      <c r="L669" s="70" t="s">
        <v>81</v>
      </c>
      <c r="M669" s="70" t="s">
        <v>89</v>
      </c>
      <c r="N669" s="61"/>
      <c r="O669" s="86"/>
      <c r="P669" s="86"/>
      <c r="Q669" s="86"/>
      <c r="R669" s="61" t="str">
        <f t="shared" si="6"/>
        <v>2024</v>
      </c>
      <c r="S669" s="62">
        <f t="shared" si="7"/>
        <v>4</v>
      </c>
      <c r="T669" s="61" t="str">
        <f t="shared" si="8"/>
        <v>2024-Q2</v>
      </c>
      <c r="U669" s="63" t="str">
        <f t="shared" si="9"/>
        <v>2024-04</v>
      </c>
      <c r="V669" s="64" t="str">
        <f t="shared" si="10"/>
        <v>2024-H1</v>
      </c>
      <c r="W669" s="32"/>
      <c r="X669" s="32"/>
    </row>
    <row r="670">
      <c r="A670" s="77">
        <f>HYPERLINK("https://polkadot.subsquare.io/referenda/668", 668)</f>
        <v>668</v>
      </c>
      <c r="B670" s="40" t="s">
        <v>1236</v>
      </c>
      <c r="C670" s="40" t="s">
        <v>1851</v>
      </c>
      <c r="D670" s="78">
        <v>74533.0</v>
      </c>
      <c r="E670" s="79">
        <v>539700.0765380859</v>
      </c>
      <c r="F670" s="40" t="s">
        <v>1853</v>
      </c>
      <c r="G670" s="78">
        <v>3.7226426753030896E7</v>
      </c>
      <c r="H670" s="78">
        <v>4231914.1</v>
      </c>
      <c r="I670" s="80">
        <v>45391.0</v>
      </c>
      <c r="J670" s="80">
        <v>45415.0</v>
      </c>
      <c r="K670" s="79">
        <v>530843.5537233353</v>
      </c>
      <c r="L670" s="81" t="s">
        <v>81</v>
      </c>
      <c r="M670" s="81" t="s">
        <v>89</v>
      </c>
      <c r="N670" s="86"/>
      <c r="O670" s="61"/>
      <c r="P670" s="61" t="s">
        <v>1881</v>
      </c>
      <c r="Q670" s="61"/>
      <c r="R670" s="61" t="str">
        <f t="shared" si="6"/>
        <v>2024</v>
      </c>
      <c r="S670" s="62">
        <f t="shared" si="7"/>
        <v>5</v>
      </c>
      <c r="T670" s="61" t="str">
        <f t="shared" si="8"/>
        <v>2024-Q2</v>
      </c>
      <c r="U670" s="63" t="str">
        <f t="shared" si="9"/>
        <v>2024-05</v>
      </c>
      <c r="V670" s="64" t="str">
        <f t="shared" si="10"/>
        <v>2024-H1</v>
      </c>
      <c r="W670" s="32"/>
      <c r="X670" s="32"/>
    </row>
    <row r="671">
      <c r="A671" s="77">
        <f>HYPERLINK("https://polkadot.subsquare.io/referenda/669", 669)</f>
        <v>669</v>
      </c>
      <c r="B671" s="40" t="s">
        <v>2205</v>
      </c>
      <c r="C671" s="40" t="s">
        <v>1846</v>
      </c>
      <c r="D671" s="78">
        <v>21557.0</v>
      </c>
      <c r="E671" s="79">
        <v>156096.15270996094</v>
      </c>
      <c r="F671" s="40" t="s">
        <v>1853</v>
      </c>
      <c r="G671" s="78">
        <v>2.3251352540421523E7</v>
      </c>
      <c r="H671" s="78">
        <v>4.132975088593362E7</v>
      </c>
      <c r="I671" s="80">
        <v>45391.0</v>
      </c>
      <c r="J671" s="80">
        <v>45420.0</v>
      </c>
      <c r="K671" s="79">
        <v>145508.92766571045</v>
      </c>
      <c r="L671" s="70"/>
      <c r="M671" s="70"/>
      <c r="N671" s="61"/>
      <c r="O671" s="86"/>
      <c r="P671" s="86"/>
      <c r="Q671" s="86"/>
      <c r="R671" s="61" t="str">
        <f t="shared" si="6"/>
        <v>2024</v>
      </c>
      <c r="S671" s="62">
        <f t="shared" si="7"/>
        <v>5</v>
      </c>
      <c r="T671" s="61" t="str">
        <f t="shared" si="8"/>
        <v>2024-Q2</v>
      </c>
      <c r="U671" s="63" t="str">
        <f t="shared" si="9"/>
        <v>2024-05</v>
      </c>
      <c r="V671" s="64" t="str">
        <f t="shared" si="10"/>
        <v>2024-H1</v>
      </c>
      <c r="W671" s="32"/>
      <c r="X671" s="32"/>
    </row>
    <row r="672">
      <c r="A672" s="77">
        <f>HYPERLINK("https://polkadot.subsquare.io/referenda/670", 670)</f>
        <v>670</v>
      </c>
      <c r="B672" s="40" t="s">
        <v>982</v>
      </c>
      <c r="C672" s="40" t="s">
        <v>1851</v>
      </c>
      <c r="D672" s="78">
        <v>80.0</v>
      </c>
      <c r="E672" s="79">
        <v>579.287109375</v>
      </c>
      <c r="F672" s="40" t="s">
        <v>982</v>
      </c>
      <c r="G672" s="78">
        <v>1.979789156981795E7</v>
      </c>
      <c r="H672" s="78">
        <v>5.0</v>
      </c>
      <c r="I672" s="80">
        <v>45392.0</v>
      </c>
      <c r="J672" s="80">
        <v>45394.0</v>
      </c>
      <c r="K672" s="79">
        <v>537.0024871826172</v>
      </c>
      <c r="L672" s="81" t="s">
        <v>46</v>
      </c>
      <c r="M672" s="81" t="s">
        <v>102</v>
      </c>
      <c r="N672" s="86"/>
      <c r="O672" s="61"/>
      <c r="P672" s="61"/>
      <c r="Q672" s="61"/>
      <c r="R672" s="61" t="str">
        <f t="shared" si="6"/>
        <v>2024</v>
      </c>
      <c r="S672" s="62">
        <f t="shared" si="7"/>
        <v>4</v>
      </c>
      <c r="T672" s="61" t="str">
        <f t="shared" si="8"/>
        <v>2024-Q2</v>
      </c>
      <c r="U672" s="63" t="str">
        <f t="shared" si="9"/>
        <v>2024-04</v>
      </c>
      <c r="V672" s="64" t="str">
        <f t="shared" si="10"/>
        <v>2024-H1</v>
      </c>
      <c r="W672" s="32"/>
      <c r="X672" s="32"/>
    </row>
    <row r="673">
      <c r="A673" s="77">
        <f>HYPERLINK("https://polkadot.subsquare.io/referenda/671", 671)</f>
        <v>671</v>
      </c>
      <c r="B673" s="40" t="s">
        <v>1237</v>
      </c>
      <c r="C673" s="40" t="s">
        <v>1851</v>
      </c>
      <c r="D673" s="78">
        <v>907.0</v>
      </c>
      <c r="E673" s="79">
        <v>5821.105873584747</v>
      </c>
      <c r="F673" s="40" t="s">
        <v>1869</v>
      </c>
      <c r="G673" s="78">
        <v>1.2682149199485077E7</v>
      </c>
      <c r="H673" s="78">
        <v>7476564.452996895</v>
      </c>
      <c r="I673" s="80">
        <v>45392.0</v>
      </c>
      <c r="J673" s="80">
        <v>45397.0</v>
      </c>
      <c r="K673" s="79">
        <v>6154.469304561615</v>
      </c>
      <c r="L673" s="70" t="s">
        <v>81</v>
      </c>
      <c r="M673" s="71" t="s">
        <v>86</v>
      </c>
      <c r="N673" s="61"/>
      <c r="O673" s="86"/>
      <c r="P673" s="86"/>
      <c r="Q673" s="86"/>
      <c r="R673" s="61" t="str">
        <f t="shared" si="6"/>
        <v>2024</v>
      </c>
      <c r="S673" s="62">
        <f t="shared" si="7"/>
        <v>4</v>
      </c>
      <c r="T673" s="61" t="str">
        <f t="shared" si="8"/>
        <v>2024-Q2</v>
      </c>
      <c r="U673" s="63" t="str">
        <f t="shared" si="9"/>
        <v>2024-04</v>
      </c>
      <c r="V673" s="64" t="str">
        <f t="shared" si="10"/>
        <v>2024-H1</v>
      </c>
      <c r="W673" s="32"/>
      <c r="X673" s="32"/>
    </row>
    <row r="674">
      <c r="A674" s="77">
        <f>HYPERLINK("https://polkadot.subsquare.io/referenda/672", 672)</f>
        <v>672</v>
      </c>
      <c r="B674" s="40" t="s">
        <v>1238</v>
      </c>
      <c r="C674" s="40" t="s">
        <v>1851</v>
      </c>
      <c r="D674" s="78">
        <v>9924.0</v>
      </c>
      <c r="E674" s="79">
        <v>63692.0117855072</v>
      </c>
      <c r="F674" s="40" t="s">
        <v>1848</v>
      </c>
      <c r="G674" s="78">
        <v>1.2423933222471114E7</v>
      </c>
      <c r="H674" s="78">
        <v>1.0460258250284398E7</v>
      </c>
      <c r="I674" s="80">
        <v>45392.0</v>
      </c>
      <c r="J674" s="80">
        <v>45423.0</v>
      </c>
      <c r="K674" s="79">
        <v>66148.3999671936</v>
      </c>
      <c r="L674" s="81" t="s">
        <v>46</v>
      </c>
      <c r="M674" s="81" t="s">
        <v>106</v>
      </c>
      <c r="N674" s="86"/>
      <c r="O674" s="61"/>
      <c r="P674" s="61"/>
      <c r="Q674" s="61"/>
      <c r="R674" s="61" t="str">
        <f t="shared" si="6"/>
        <v>2024</v>
      </c>
      <c r="S674" s="62">
        <f t="shared" si="7"/>
        <v>5</v>
      </c>
      <c r="T674" s="61" t="str">
        <f t="shared" si="8"/>
        <v>2024-Q2</v>
      </c>
      <c r="U674" s="63" t="str">
        <f t="shared" si="9"/>
        <v>2024-05</v>
      </c>
      <c r="V674" s="64" t="str">
        <f t="shared" si="10"/>
        <v>2024-H1</v>
      </c>
      <c r="W674" s="32"/>
      <c r="X674" s="32"/>
    </row>
    <row r="675">
      <c r="A675" s="77">
        <f>HYPERLINK("https://polkadot.subsquare.io/referenda/673", 673)</f>
        <v>673</v>
      </c>
      <c r="B675" s="40" t="s">
        <v>1239</v>
      </c>
      <c r="C675" s="40" t="s">
        <v>1851</v>
      </c>
      <c r="D675" s="78">
        <v>889.0</v>
      </c>
      <c r="E675" s="79">
        <v>6106.8487200737</v>
      </c>
      <c r="F675" s="40" t="s">
        <v>1869</v>
      </c>
      <c r="G675" s="78">
        <v>1.27845626729478E7</v>
      </c>
      <c r="H675" s="78">
        <v>7440560.445870125</v>
      </c>
      <c r="I675" s="80">
        <v>45394.0</v>
      </c>
      <c r="J675" s="80">
        <v>45399.0</v>
      </c>
      <c r="K675" s="79">
        <v>5945.327813625336</v>
      </c>
      <c r="L675" s="70" t="s">
        <v>49</v>
      </c>
      <c r="M675" s="70" t="s">
        <v>146</v>
      </c>
      <c r="N675" s="61"/>
      <c r="O675" s="86"/>
      <c r="P675" s="86" t="s">
        <v>1881</v>
      </c>
      <c r="Q675" s="86"/>
      <c r="R675" s="61" t="str">
        <f t="shared" si="6"/>
        <v>2024</v>
      </c>
      <c r="S675" s="62">
        <f t="shared" si="7"/>
        <v>4</v>
      </c>
      <c r="T675" s="61" t="str">
        <f t="shared" si="8"/>
        <v>2024-Q2</v>
      </c>
      <c r="U675" s="63" t="str">
        <f t="shared" si="9"/>
        <v>2024-04</v>
      </c>
      <c r="V675" s="64" t="str">
        <f t="shared" si="10"/>
        <v>2024-H1</v>
      </c>
      <c r="W675" s="32"/>
      <c r="X675" s="32"/>
    </row>
    <row r="676">
      <c r="A676" s="77">
        <f>HYPERLINK("https://polkadot.subsquare.io/referenda/674", 674)</f>
        <v>674</v>
      </c>
      <c r="B676" s="40" t="s">
        <v>1240</v>
      </c>
      <c r="C676" s="40" t="s">
        <v>1851</v>
      </c>
      <c r="D676" s="78">
        <v>824.0</v>
      </c>
      <c r="E676" s="79">
        <v>5520.83874130249</v>
      </c>
      <c r="F676" s="40" t="s">
        <v>1869</v>
      </c>
      <c r="G676" s="78">
        <v>1.3959692809620485E7</v>
      </c>
      <c r="H676" s="78">
        <v>5961.0</v>
      </c>
      <c r="I676" s="80">
        <v>45395.0</v>
      </c>
      <c r="J676" s="80">
        <v>45399.0</v>
      </c>
      <c r="K676" s="79">
        <v>5961.032665252686</v>
      </c>
      <c r="L676" s="81" t="s">
        <v>81</v>
      </c>
      <c r="M676" s="85" t="s">
        <v>86</v>
      </c>
      <c r="N676" s="86"/>
      <c r="O676" s="61"/>
      <c r="P676" s="61"/>
      <c r="Q676" s="61"/>
      <c r="R676" s="61" t="str">
        <f t="shared" si="6"/>
        <v>2024</v>
      </c>
      <c r="S676" s="62">
        <f t="shared" si="7"/>
        <v>4</v>
      </c>
      <c r="T676" s="61" t="str">
        <f t="shared" si="8"/>
        <v>2024-Q2</v>
      </c>
      <c r="U676" s="63" t="str">
        <f t="shared" si="9"/>
        <v>2024-04</v>
      </c>
      <c r="V676" s="64" t="str">
        <f t="shared" si="10"/>
        <v>2024-H1</v>
      </c>
      <c r="W676" s="32"/>
      <c r="X676" s="32"/>
    </row>
    <row r="677">
      <c r="A677" s="77">
        <f>HYPERLINK("https://polkadot.subsquare.io/referenda/675", 675)</f>
        <v>675</v>
      </c>
      <c r="B677" s="40" t="s">
        <v>1241</v>
      </c>
      <c r="C677" s="40" t="s">
        <v>1851</v>
      </c>
      <c r="D677" s="78">
        <v>28549.62</v>
      </c>
      <c r="E677" s="79">
        <v>187845.85164945602</v>
      </c>
      <c r="F677" s="40" t="s">
        <v>1853</v>
      </c>
      <c r="G677" s="78">
        <v>5.400262213176732E7</v>
      </c>
      <c r="H677" s="78">
        <v>207079.3110855102</v>
      </c>
      <c r="I677" s="80">
        <v>45396.0</v>
      </c>
      <c r="J677" s="80">
        <v>45419.0</v>
      </c>
      <c r="K677" s="79">
        <v>201278.24343884469</v>
      </c>
      <c r="L677" s="70" t="s">
        <v>81</v>
      </c>
      <c r="M677" s="70" t="s">
        <v>88</v>
      </c>
      <c r="N677" s="61"/>
      <c r="O677" s="86"/>
      <c r="P677" s="86"/>
      <c r="Q677" s="86"/>
      <c r="R677" s="61" t="str">
        <f t="shared" si="6"/>
        <v>2024</v>
      </c>
      <c r="S677" s="62">
        <f t="shared" si="7"/>
        <v>5</v>
      </c>
      <c r="T677" s="61" t="str">
        <f t="shared" si="8"/>
        <v>2024-Q2</v>
      </c>
      <c r="U677" s="63" t="str">
        <f t="shared" si="9"/>
        <v>2024-05</v>
      </c>
      <c r="V677" s="64" t="str">
        <f t="shared" si="10"/>
        <v>2024-H1</v>
      </c>
      <c r="W677" s="32"/>
      <c r="X677" s="32"/>
    </row>
    <row r="678">
      <c r="A678" s="77">
        <f>HYPERLINK("https://polkadot.subsquare.io/referenda/676", 676)</f>
        <v>676</v>
      </c>
      <c r="B678" s="40" t="s">
        <v>1242</v>
      </c>
      <c r="C678" s="40" t="s">
        <v>1851</v>
      </c>
      <c r="D678" s="78">
        <v>122705.0</v>
      </c>
      <c r="E678" s="79">
        <v>807353.1355810165</v>
      </c>
      <c r="F678" s="40" t="s">
        <v>1855</v>
      </c>
      <c r="G678" s="78">
        <v>4.4294834772344775E7</v>
      </c>
      <c r="H678" s="78">
        <v>9622996.245452465</v>
      </c>
      <c r="I678" s="80">
        <v>45396.0</v>
      </c>
      <c r="J678" s="80">
        <v>45425.0</v>
      </c>
      <c r="K678" s="79">
        <v>862508.809337616</v>
      </c>
      <c r="L678" s="81" t="s">
        <v>46</v>
      </c>
      <c r="M678" s="81" t="s">
        <v>106</v>
      </c>
      <c r="N678" s="86"/>
      <c r="O678" s="61"/>
      <c r="P678" s="61"/>
      <c r="Q678" s="61"/>
      <c r="R678" s="61" t="str">
        <f t="shared" si="6"/>
        <v>2024</v>
      </c>
      <c r="S678" s="62">
        <f t="shared" si="7"/>
        <v>5</v>
      </c>
      <c r="T678" s="61" t="str">
        <f t="shared" si="8"/>
        <v>2024-Q2</v>
      </c>
      <c r="U678" s="63" t="str">
        <f t="shared" si="9"/>
        <v>2024-05</v>
      </c>
      <c r="V678" s="64" t="str">
        <f t="shared" si="10"/>
        <v>2024-H1</v>
      </c>
      <c r="W678" s="32"/>
      <c r="X678" s="32"/>
    </row>
    <row r="679">
      <c r="A679" s="77">
        <f>HYPERLINK("https://polkadot.subsquare.io/referenda/677", 677)</f>
        <v>677</v>
      </c>
      <c r="B679" s="40" t="s">
        <v>1243</v>
      </c>
      <c r="C679" s="40" t="s">
        <v>1851</v>
      </c>
      <c r="D679" s="78">
        <v>2395.0</v>
      </c>
      <c r="E679" s="79">
        <v>16251.327435970306</v>
      </c>
      <c r="F679" s="40" t="s">
        <v>1848</v>
      </c>
      <c r="G679" s="78">
        <v>4.141246787565949E7</v>
      </c>
      <c r="H679" s="78">
        <v>27731.9744879636</v>
      </c>
      <c r="I679" s="80">
        <v>45397.0</v>
      </c>
      <c r="J679" s="80">
        <v>45415.0</v>
      </c>
      <c r="K679" s="79">
        <v>17499.748046398163</v>
      </c>
      <c r="L679" s="70" t="s">
        <v>81</v>
      </c>
      <c r="M679" s="71" t="s">
        <v>86</v>
      </c>
      <c r="N679" s="61"/>
      <c r="O679" s="86"/>
      <c r="P679" s="86"/>
      <c r="Q679" s="86"/>
      <c r="R679" s="61" t="str">
        <f t="shared" si="6"/>
        <v>2024</v>
      </c>
      <c r="S679" s="62">
        <f t="shared" si="7"/>
        <v>5</v>
      </c>
      <c r="T679" s="61" t="str">
        <f t="shared" si="8"/>
        <v>2024-Q2</v>
      </c>
      <c r="U679" s="63" t="str">
        <f t="shared" si="9"/>
        <v>2024-05</v>
      </c>
      <c r="V679" s="64" t="str">
        <f t="shared" si="10"/>
        <v>2024-H1</v>
      </c>
      <c r="W679" s="32"/>
      <c r="X679" s="32"/>
    </row>
    <row r="680">
      <c r="A680" s="77">
        <f>HYPERLINK("https://polkadot.subsquare.io/referenda/678", 678)</f>
        <v>678</v>
      </c>
      <c r="B680" s="40" t="s">
        <v>2206</v>
      </c>
      <c r="C680" s="40" t="s">
        <v>1846</v>
      </c>
      <c r="D680" s="78">
        <v>9560.0</v>
      </c>
      <c r="E680" s="79">
        <v>64869.59928512573</v>
      </c>
      <c r="F680" s="40" t="s">
        <v>1848</v>
      </c>
      <c r="G680" s="78">
        <v>122718.7035491526</v>
      </c>
      <c r="H680" s="78">
        <v>3.213213326457736E7</v>
      </c>
      <c r="I680" s="80">
        <v>45397.0</v>
      </c>
      <c r="J680" s="80">
        <v>45428.0</v>
      </c>
      <c r="K680" s="79">
        <v>68468.27041625977</v>
      </c>
      <c r="L680" s="81"/>
      <c r="M680" s="81"/>
      <c r="N680" s="86"/>
      <c r="O680" s="61"/>
      <c r="P680" s="61"/>
      <c r="Q680" s="61"/>
      <c r="R680" s="61" t="str">
        <f t="shared" si="6"/>
        <v>2024</v>
      </c>
      <c r="S680" s="62">
        <f t="shared" si="7"/>
        <v>5</v>
      </c>
      <c r="T680" s="61" t="str">
        <f t="shared" si="8"/>
        <v>2024-Q2</v>
      </c>
      <c r="U680" s="63" t="str">
        <f t="shared" si="9"/>
        <v>2024-05</v>
      </c>
      <c r="V680" s="64" t="str">
        <f t="shared" si="10"/>
        <v>2024-H1</v>
      </c>
      <c r="W680" s="32"/>
      <c r="X680" s="32"/>
    </row>
    <row r="681">
      <c r="A681" s="77">
        <f>HYPERLINK("https://polkadot.subsquare.io/referenda/679", 679)</f>
        <v>679</v>
      </c>
      <c r="B681" s="40" t="s">
        <v>2207</v>
      </c>
      <c r="C681" s="40" t="s">
        <v>1846</v>
      </c>
      <c r="D681" s="78">
        <v>240.0</v>
      </c>
      <c r="E681" s="79">
        <v>1628.525505065918</v>
      </c>
      <c r="F681" s="40" t="s">
        <v>982</v>
      </c>
      <c r="G681" s="78">
        <v>32604.01</v>
      </c>
      <c r="H681" s="78">
        <v>3.4215433186257415E7</v>
      </c>
      <c r="I681" s="80">
        <v>45397.0</v>
      </c>
      <c r="J681" s="80">
        <v>45404.0</v>
      </c>
      <c r="K681" s="79">
        <v>1646.9685745239258</v>
      </c>
      <c r="L681" s="70"/>
      <c r="M681" s="70"/>
      <c r="N681" s="61"/>
      <c r="O681" s="86"/>
      <c r="P681" s="86"/>
      <c r="Q681" s="86"/>
      <c r="R681" s="61" t="str">
        <f t="shared" si="6"/>
        <v>2024</v>
      </c>
      <c r="S681" s="62">
        <f t="shared" si="7"/>
        <v>4</v>
      </c>
      <c r="T681" s="61" t="str">
        <f t="shared" si="8"/>
        <v>2024-Q2</v>
      </c>
      <c r="U681" s="63" t="str">
        <f t="shared" si="9"/>
        <v>2024-04</v>
      </c>
      <c r="V681" s="64" t="str">
        <f t="shared" si="10"/>
        <v>2024-H1</v>
      </c>
      <c r="W681" s="32"/>
      <c r="X681" s="32"/>
    </row>
    <row r="682">
      <c r="A682" s="77">
        <f>HYPERLINK("https://polkadot.subsquare.io/referenda/680", 680)</f>
        <v>680</v>
      </c>
      <c r="B682" s="40" t="s">
        <v>2208</v>
      </c>
      <c r="C682" s="40" t="s">
        <v>1851</v>
      </c>
      <c r="D682" s="78">
        <v>0.0</v>
      </c>
      <c r="E682" s="79">
        <v>0.0</v>
      </c>
      <c r="F682" s="40" t="s">
        <v>1852</v>
      </c>
      <c r="G682" s="78">
        <v>8.062275986886974E7</v>
      </c>
      <c r="H682" s="78">
        <v>812.5515314894</v>
      </c>
      <c r="I682" s="80">
        <v>45398.0</v>
      </c>
      <c r="J682" s="80">
        <v>45422.0</v>
      </c>
      <c r="K682" s="79">
        <v>0.0</v>
      </c>
      <c r="L682" s="81"/>
      <c r="M682" s="81"/>
      <c r="N682" s="86"/>
      <c r="O682" s="61"/>
      <c r="P682" s="61"/>
      <c r="Q682" s="61"/>
      <c r="R682" s="61" t="str">
        <f t="shared" si="6"/>
        <v>2024</v>
      </c>
      <c r="S682" s="62">
        <f t="shared" si="7"/>
        <v>5</v>
      </c>
      <c r="T682" s="61" t="str">
        <f t="shared" si="8"/>
        <v>2024-Q2</v>
      </c>
      <c r="U682" s="63" t="str">
        <f t="shared" si="9"/>
        <v>2024-05</v>
      </c>
      <c r="V682" s="64" t="str">
        <f t="shared" si="10"/>
        <v>2024-H1</v>
      </c>
      <c r="W682" s="32"/>
      <c r="X682" s="32"/>
    </row>
    <row r="683">
      <c r="A683" s="77">
        <f>HYPERLINK("https://polkadot.subsquare.io/referenda/681", 681)</f>
        <v>681</v>
      </c>
      <c r="B683" s="40" t="s">
        <v>982</v>
      </c>
      <c r="C683" s="40" t="s">
        <v>1851</v>
      </c>
      <c r="D683" s="78">
        <v>20.0</v>
      </c>
      <c r="E683" s="79">
        <v>135.71045875549316</v>
      </c>
      <c r="F683" s="40" t="s">
        <v>982</v>
      </c>
      <c r="G683" s="78">
        <v>1.9604690371823773E7</v>
      </c>
      <c r="H683" s="78">
        <v>10.0</v>
      </c>
      <c r="I683" s="80">
        <v>45398.0</v>
      </c>
      <c r="J683" s="80">
        <v>45400.0</v>
      </c>
      <c r="K683" s="79">
        <v>142.70057678222656</v>
      </c>
      <c r="L683" s="70" t="s">
        <v>46</v>
      </c>
      <c r="M683" s="70" t="s">
        <v>102</v>
      </c>
      <c r="N683" s="61"/>
      <c r="O683" s="86"/>
      <c r="P683" s="86"/>
      <c r="Q683" s="86"/>
      <c r="R683" s="61" t="str">
        <f t="shared" si="6"/>
        <v>2024</v>
      </c>
      <c r="S683" s="62">
        <f t="shared" si="7"/>
        <v>4</v>
      </c>
      <c r="T683" s="61" t="str">
        <f t="shared" si="8"/>
        <v>2024-Q2</v>
      </c>
      <c r="U683" s="63" t="str">
        <f t="shared" si="9"/>
        <v>2024-04</v>
      </c>
      <c r="V683" s="64" t="str">
        <f t="shared" si="10"/>
        <v>2024-H1</v>
      </c>
      <c r="W683" s="32"/>
      <c r="X683" s="32"/>
    </row>
    <row r="684">
      <c r="A684" s="77">
        <f>HYPERLINK("https://polkadot.subsquare.io/referenda/682", 682)</f>
        <v>682</v>
      </c>
      <c r="B684" s="40" t="s">
        <v>2209</v>
      </c>
      <c r="C684" s="40" t="s">
        <v>1851</v>
      </c>
      <c r="D684" s="78">
        <v>0.0</v>
      </c>
      <c r="E684" s="79">
        <v>0.0</v>
      </c>
      <c r="F684" s="40" t="s">
        <v>1857</v>
      </c>
      <c r="G684" s="78">
        <v>3.130147925432312E7</v>
      </c>
      <c r="H684" s="78">
        <v>720.5</v>
      </c>
      <c r="I684" s="80">
        <v>45398.0</v>
      </c>
      <c r="J684" s="80">
        <v>45438.0</v>
      </c>
      <c r="K684" s="79">
        <v>0.0</v>
      </c>
      <c r="L684" s="81"/>
      <c r="M684" s="81"/>
      <c r="N684" s="86"/>
      <c r="O684" s="61"/>
      <c r="P684" s="61"/>
      <c r="Q684" s="61"/>
      <c r="R684" s="61" t="str">
        <f t="shared" si="6"/>
        <v>2024</v>
      </c>
      <c r="S684" s="62">
        <f t="shared" si="7"/>
        <v>5</v>
      </c>
      <c r="T684" s="61" t="str">
        <f t="shared" si="8"/>
        <v>2024-Q2</v>
      </c>
      <c r="U684" s="63" t="str">
        <f t="shared" si="9"/>
        <v>2024-05</v>
      </c>
      <c r="V684" s="64" t="str">
        <f t="shared" si="10"/>
        <v>2024-H1</v>
      </c>
      <c r="W684" s="32"/>
      <c r="X684" s="32"/>
    </row>
    <row r="685">
      <c r="A685" s="77">
        <f>HYPERLINK("https://polkadot.subsquare.io/referenda/683", 683)</f>
        <v>683</v>
      </c>
      <c r="B685" s="40" t="s">
        <v>1244</v>
      </c>
      <c r="C685" s="40" t="s">
        <v>1851</v>
      </c>
      <c r="D685" s="78">
        <v>83906.813273</v>
      </c>
      <c r="E685" s="79">
        <v>561140.0570355842</v>
      </c>
      <c r="F685" s="40" t="s">
        <v>1853</v>
      </c>
      <c r="G685" s="78">
        <v>4.047935764175173E7</v>
      </c>
      <c r="H685" s="78">
        <v>19108.1</v>
      </c>
      <c r="I685" s="80">
        <v>45398.0</v>
      </c>
      <c r="J685" s="80">
        <v>45422.0</v>
      </c>
      <c r="K685" s="79">
        <v>559280.6775851505</v>
      </c>
      <c r="L685" s="70" t="s">
        <v>46</v>
      </c>
      <c r="M685" s="70" t="s">
        <v>114</v>
      </c>
      <c r="N685" s="61"/>
      <c r="O685" s="86"/>
      <c r="P685" s="86"/>
      <c r="Q685" s="86"/>
      <c r="R685" s="61" t="str">
        <f t="shared" si="6"/>
        <v>2024</v>
      </c>
      <c r="S685" s="62">
        <f t="shared" si="7"/>
        <v>5</v>
      </c>
      <c r="T685" s="61" t="str">
        <f t="shared" si="8"/>
        <v>2024-Q2</v>
      </c>
      <c r="U685" s="63" t="str">
        <f t="shared" si="9"/>
        <v>2024-05</v>
      </c>
      <c r="V685" s="64" t="str">
        <f t="shared" si="10"/>
        <v>2024-H1</v>
      </c>
      <c r="W685" s="32"/>
      <c r="X685" s="32"/>
    </row>
    <row r="686">
      <c r="A686" s="77">
        <f>HYPERLINK("https://polkadot.subsquare.io/referenda/684", 684)</f>
        <v>684</v>
      </c>
      <c r="B686" s="40" t="s">
        <v>2210</v>
      </c>
      <c r="C686" s="40" t="s">
        <v>1846</v>
      </c>
      <c r="D686" s="78">
        <v>1000000.0</v>
      </c>
      <c r="E686" s="79">
        <v>6687657.833099365</v>
      </c>
      <c r="F686" s="40" t="s">
        <v>1855</v>
      </c>
      <c r="G686" s="78">
        <v>8.930637306363092E7</v>
      </c>
      <c r="H686" s="78">
        <v>9.667777667217962E7</v>
      </c>
      <c r="I686" s="80">
        <v>45398.0</v>
      </c>
      <c r="J686" s="80">
        <v>45427.0</v>
      </c>
      <c r="K686" s="79">
        <v>7196755.886077881</v>
      </c>
      <c r="L686" s="81"/>
      <c r="M686" s="81"/>
      <c r="N686" s="86"/>
      <c r="O686" s="61"/>
      <c r="P686" s="61"/>
      <c r="Q686" s="61"/>
      <c r="R686" s="61" t="str">
        <f t="shared" si="6"/>
        <v>2024</v>
      </c>
      <c r="S686" s="62">
        <f t="shared" si="7"/>
        <v>5</v>
      </c>
      <c r="T686" s="61" t="str">
        <f t="shared" si="8"/>
        <v>2024-Q2</v>
      </c>
      <c r="U686" s="63" t="str">
        <f t="shared" si="9"/>
        <v>2024-05</v>
      </c>
      <c r="V686" s="64" t="str">
        <f t="shared" si="10"/>
        <v>2024-H1</v>
      </c>
      <c r="W686" s="32"/>
      <c r="X686" s="32"/>
    </row>
    <row r="687">
      <c r="A687" s="77">
        <f>HYPERLINK("https://polkadot.subsquare.io/referenda/685", 685)</f>
        <v>685</v>
      </c>
      <c r="B687" s="40" t="s">
        <v>1245</v>
      </c>
      <c r="C687" s="40" t="s">
        <v>1851</v>
      </c>
      <c r="D687" s="78">
        <v>48117.0</v>
      </c>
      <c r="E687" s="79">
        <v>321790.03195524216</v>
      </c>
      <c r="F687" s="40" t="s">
        <v>1853</v>
      </c>
      <c r="G687" s="78">
        <v>3.852607850973605E7</v>
      </c>
      <c r="H687" s="78">
        <v>191315.2962761988</v>
      </c>
      <c r="I687" s="80">
        <v>45399.0</v>
      </c>
      <c r="J687" s="80">
        <v>45423.0</v>
      </c>
      <c r="K687" s="79">
        <v>320723.7566728592</v>
      </c>
      <c r="L687" s="70" t="s">
        <v>81</v>
      </c>
      <c r="M687" s="70" t="s">
        <v>89</v>
      </c>
      <c r="N687" s="61"/>
      <c r="O687" s="86"/>
      <c r="P687" s="86" t="s">
        <v>1881</v>
      </c>
      <c r="Q687" s="86"/>
      <c r="R687" s="61" t="str">
        <f t="shared" si="6"/>
        <v>2024</v>
      </c>
      <c r="S687" s="62">
        <f t="shared" si="7"/>
        <v>5</v>
      </c>
      <c r="T687" s="61" t="str">
        <f t="shared" si="8"/>
        <v>2024-Q2</v>
      </c>
      <c r="U687" s="63" t="str">
        <f t="shared" si="9"/>
        <v>2024-05</v>
      </c>
      <c r="V687" s="64" t="str">
        <f t="shared" si="10"/>
        <v>2024-H1</v>
      </c>
      <c r="W687" s="32"/>
      <c r="X687" s="32"/>
    </row>
    <row r="688">
      <c r="A688" s="77">
        <f>HYPERLINK("https://polkadot.subsquare.io/referenda/686", 686)</f>
        <v>686</v>
      </c>
      <c r="B688" s="40" t="s">
        <v>2211</v>
      </c>
      <c r="C688" s="40" t="s">
        <v>1846</v>
      </c>
      <c r="D688" s="78">
        <v>45000.0</v>
      </c>
      <c r="E688" s="79">
        <v>300944.60248947144</v>
      </c>
      <c r="F688" s="40" t="s">
        <v>1853</v>
      </c>
      <c r="G688" s="78">
        <v>1253886.5470499354</v>
      </c>
      <c r="H688" s="78">
        <v>2.9161570687162135E7</v>
      </c>
      <c r="I688" s="80">
        <v>45399.0</v>
      </c>
      <c r="J688" s="80">
        <v>45427.0</v>
      </c>
      <c r="K688" s="79">
        <v>322287.8837585449</v>
      </c>
      <c r="L688" s="81"/>
      <c r="M688" s="81"/>
      <c r="N688" s="86"/>
      <c r="O688" s="61"/>
      <c r="P688" s="61"/>
      <c r="Q688" s="61"/>
      <c r="R688" s="61" t="str">
        <f t="shared" si="6"/>
        <v>2024</v>
      </c>
      <c r="S688" s="62">
        <f t="shared" si="7"/>
        <v>5</v>
      </c>
      <c r="T688" s="61" t="str">
        <f t="shared" si="8"/>
        <v>2024-Q2</v>
      </c>
      <c r="U688" s="63" t="str">
        <f t="shared" si="9"/>
        <v>2024-05</v>
      </c>
      <c r="V688" s="64" t="str">
        <f t="shared" si="10"/>
        <v>2024-H1</v>
      </c>
      <c r="W688" s="32"/>
      <c r="X688" s="32"/>
    </row>
    <row r="689">
      <c r="A689" s="77">
        <f>HYPERLINK("https://polkadot.subsquare.io/referenda/687", 687)</f>
        <v>687</v>
      </c>
      <c r="B689" s="40" t="s">
        <v>1246</v>
      </c>
      <c r="C689" s="40" t="s">
        <v>1851</v>
      </c>
      <c r="D689" s="78">
        <v>77820.0</v>
      </c>
      <c r="E689" s="79">
        <v>520433.5325717926</v>
      </c>
      <c r="F689" s="40" t="s">
        <v>1853</v>
      </c>
      <c r="G689" s="78">
        <v>6.3851171334315635E7</v>
      </c>
      <c r="H689" s="78">
        <v>1.1022767783419408E7</v>
      </c>
      <c r="I689" s="80">
        <v>45399.0</v>
      </c>
      <c r="J689" s="80">
        <v>45426.0</v>
      </c>
      <c r="K689" s="79">
        <v>547006.5241241455</v>
      </c>
      <c r="L689" s="70" t="s">
        <v>81</v>
      </c>
      <c r="M689" s="70" t="s">
        <v>88</v>
      </c>
      <c r="N689" s="61"/>
      <c r="O689" s="86"/>
      <c r="P689" s="86"/>
      <c r="Q689" s="86"/>
      <c r="R689" s="61" t="str">
        <f t="shared" si="6"/>
        <v>2024</v>
      </c>
      <c r="S689" s="62">
        <f t="shared" si="7"/>
        <v>5</v>
      </c>
      <c r="T689" s="61" t="str">
        <f t="shared" si="8"/>
        <v>2024-Q2</v>
      </c>
      <c r="U689" s="63" t="str">
        <f t="shared" si="9"/>
        <v>2024-05</v>
      </c>
      <c r="V689" s="64" t="str">
        <f t="shared" si="10"/>
        <v>2024-H1</v>
      </c>
      <c r="W689" s="32"/>
      <c r="X689" s="32"/>
    </row>
    <row r="690">
      <c r="A690" s="77">
        <f>HYPERLINK("https://polkadot.subsquare.io/referenda/688", 688)</f>
        <v>688</v>
      </c>
      <c r="B690" s="40" t="s">
        <v>2212</v>
      </c>
      <c r="C690" s="40" t="s">
        <v>1851</v>
      </c>
      <c r="D690" s="78">
        <v>0.0</v>
      </c>
      <c r="E690" s="79">
        <v>0.0</v>
      </c>
      <c r="F690" s="40" t="s">
        <v>1852</v>
      </c>
      <c r="G690" s="78">
        <v>7.739687108635575E7</v>
      </c>
      <c r="H690" s="78">
        <v>10.0</v>
      </c>
      <c r="I690" s="80">
        <v>45399.0</v>
      </c>
      <c r="J690" s="80">
        <v>45417.0</v>
      </c>
      <c r="K690" s="79">
        <v>0.0</v>
      </c>
      <c r="L690" s="81"/>
      <c r="M690" s="81"/>
      <c r="N690" s="86"/>
      <c r="O690" s="61"/>
      <c r="P690" s="61"/>
      <c r="Q690" s="61"/>
      <c r="R690" s="61" t="str">
        <f t="shared" si="6"/>
        <v>2024</v>
      </c>
      <c r="S690" s="62">
        <f t="shared" si="7"/>
        <v>5</v>
      </c>
      <c r="T690" s="61" t="str">
        <f t="shared" si="8"/>
        <v>2024-Q2</v>
      </c>
      <c r="U690" s="63" t="str">
        <f t="shared" si="9"/>
        <v>2024-05</v>
      </c>
      <c r="V690" s="64" t="str">
        <f t="shared" si="10"/>
        <v>2024-H1</v>
      </c>
      <c r="W690" s="32"/>
      <c r="X690" s="32"/>
    </row>
    <row r="691">
      <c r="A691" s="77">
        <f>HYPERLINK("https://polkadot.subsquare.io/referenda/689", 689)</f>
        <v>689</v>
      </c>
      <c r="B691" s="40" t="s">
        <v>2213</v>
      </c>
      <c r="C691" s="40" t="s">
        <v>1851</v>
      </c>
      <c r="D691" s="78">
        <v>0.0</v>
      </c>
      <c r="E691" s="79">
        <v>0.0</v>
      </c>
      <c r="F691" s="40" t="s">
        <v>1853</v>
      </c>
      <c r="G691" s="78">
        <v>2.462397184997969E7</v>
      </c>
      <c r="H691" s="78">
        <v>1.414381027093857E7</v>
      </c>
      <c r="I691" s="80">
        <v>45399.0</v>
      </c>
      <c r="J691" s="80">
        <v>45427.0</v>
      </c>
      <c r="K691" s="79">
        <v>0.0</v>
      </c>
      <c r="L691" s="70"/>
      <c r="M691" s="70"/>
      <c r="N691" s="61"/>
      <c r="O691" s="86"/>
      <c r="P691" s="86"/>
      <c r="Q691" s="86"/>
      <c r="R691" s="61" t="str">
        <f t="shared" si="6"/>
        <v>2024</v>
      </c>
      <c r="S691" s="62">
        <f t="shared" si="7"/>
        <v>5</v>
      </c>
      <c r="T691" s="61" t="str">
        <f t="shared" si="8"/>
        <v>2024-Q2</v>
      </c>
      <c r="U691" s="63" t="str">
        <f t="shared" si="9"/>
        <v>2024-05</v>
      </c>
      <c r="V691" s="64" t="str">
        <f t="shared" si="10"/>
        <v>2024-H1</v>
      </c>
      <c r="W691" s="32"/>
      <c r="X691" s="32"/>
    </row>
    <row r="692">
      <c r="A692" s="77">
        <f>HYPERLINK("https://polkadot.subsquare.io/referenda/690", 690)</f>
        <v>690</v>
      </c>
      <c r="B692" s="40" t="s">
        <v>1247</v>
      </c>
      <c r="C692" s="40" t="s">
        <v>1851</v>
      </c>
      <c r="D692" s="78">
        <v>30148.0</v>
      </c>
      <c r="E692" s="79">
        <v>218098.5592136383</v>
      </c>
      <c r="F692" s="40" t="s">
        <v>1853</v>
      </c>
      <c r="G692" s="78">
        <v>4.845083724324816E7</v>
      </c>
      <c r="H692" s="78">
        <v>1.6772411892114349E7</v>
      </c>
      <c r="I692" s="80">
        <v>45399.0</v>
      </c>
      <c r="J692" s="80">
        <v>45428.0</v>
      </c>
      <c r="K692" s="79">
        <v>215918.55821228027</v>
      </c>
      <c r="L692" s="81" t="s">
        <v>81</v>
      </c>
      <c r="M692" s="81" t="s">
        <v>88</v>
      </c>
      <c r="N692" s="86"/>
      <c r="O692" s="61"/>
      <c r="P692" s="61"/>
      <c r="Q692" s="61"/>
      <c r="R692" s="61" t="str">
        <f t="shared" si="6"/>
        <v>2024</v>
      </c>
      <c r="S692" s="62">
        <f t="shared" si="7"/>
        <v>5</v>
      </c>
      <c r="T692" s="61" t="str">
        <f t="shared" si="8"/>
        <v>2024-Q2</v>
      </c>
      <c r="U692" s="63" t="str">
        <f t="shared" si="9"/>
        <v>2024-05</v>
      </c>
      <c r="V692" s="64" t="str">
        <f t="shared" si="10"/>
        <v>2024-H1</v>
      </c>
      <c r="W692" s="32"/>
      <c r="X692" s="32"/>
    </row>
    <row r="693">
      <c r="A693" s="77">
        <f>HYPERLINK("https://polkadot.subsquare.io/referenda/691", 691)</f>
        <v>691</v>
      </c>
      <c r="B693" s="40" t="s">
        <v>2214</v>
      </c>
      <c r="C693" s="40" t="s">
        <v>1846</v>
      </c>
      <c r="D693" s="78">
        <v>0.0</v>
      </c>
      <c r="E693" s="79">
        <v>0.0</v>
      </c>
      <c r="F693" s="40" t="s">
        <v>1866</v>
      </c>
      <c r="G693" s="78">
        <v>431.2303287823</v>
      </c>
      <c r="H693" s="78">
        <v>4170599.676849735</v>
      </c>
      <c r="I693" s="80">
        <v>45400.0</v>
      </c>
      <c r="J693" s="80">
        <v>45428.0</v>
      </c>
      <c r="K693" s="79">
        <v>0.0</v>
      </c>
      <c r="L693" s="70"/>
      <c r="M693" s="70"/>
      <c r="N693" s="61"/>
      <c r="O693" s="86"/>
      <c r="P693" s="86"/>
      <c r="Q693" s="86"/>
      <c r="R693" s="61" t="str">
        <f t="shared" si="6"/>
        <v>2024</v>
      </c>
      <c r="S693" s="62">
        <f t="shared" si="7"/>
        <v>5</v>
      </c>
      <c r="T693" s="61" t="str">
        <f t="shared" si="8"/>
        <v>2024-Q2</v>
      </c>
      <c r="U693" s="63" t="str">
        <f t="shared" si="9"/>
        <v>2024-05</v>
      </c>
      <c r="V693" s="64" t="str">
        <f t="shared" si="10"/>
        <v>2024-H1</v>
      </c>
      <c r="W693" s="32"/>
      <c r="X693" s="32"/>
    </row>
    <row r="694">
      <c r="A694" s="77">
        <f>HYPERLINK("https://polkadot.subsquare.io/referenda/692", 692)</f>
        <v>692</v>
      </c>
      <c r="B694" s="40" t="s">
        <v>2171</v>
      </c>
      <c r="C694" s="40" t="s">
        <v>1851</v>
      </c>
      <c r="D694" s="78">
        <v>500000.0</v>
      </c>
      <c r="E694" s="79">
        <v>3617131.471633911</v>
      </c>
      <c r="F694" s="40" t="s">
        <v>1855</v>
      </c>
      <c r="G694" s="78">
        <v>4.993081629468225E7</v>
      </c>
      <c r="H694" s="78">
        <v>3.776389686397966E7</v>
      </c>
      <c r="I694" s="80">
        <v>45400.0</v>
      </c>
      <c r="J694" s="80">
        <v>45428.0</v>
      </c>
      <c r="K694" s="79">
        <v>3468767.4045562744</v>
      </c>
      <c r="L694" s="81"/>
      <c r="M694" s="81"/>
      <c r="N694" s="86" t="s">
        <v>1881</v>
      </c>
      <c r="O694" s="61" t="s">
        <v>1881</v>
      </c>
      <c r="P694" s="61" t="s">
        <v>1881</v>
      </c>
      <c r="Q694" s="61"/>
      <c r="R694" s="61" t="str">
        <f t="shared" si="6"/>
        <v>2024</v>
      </c>
      <c r="S694" s="62">
        <f t="shared" si="7"/>
        <v>5</v>
      </c>
      <c r="T694" s="61" t="str">
        <f t="shared" si="8"/>
        <v>2024-Q2</v>
      </c>
      <c r="U694" s="63" t="str">
        <f t="shared" si="9"/>
        <v>2024-05</v>
      </c>
      <c r="V694" s="64" t="str">
        <f t="shared" si="10"/>
        <v>2024-H1</v>
      </c>
      <c r="W694" s="32"/>
      <c r="X694" s="32"/>
    </row>
    <row r="695">
      <c r="A695" s="77">
        <f>HYPERLINK("https://polkadot.subsquare.io/referenda/693", 693)</f>
        <v>693</v>
      </c>
      <c r="B695" s="40" t="s">
        <v>2215</v>
      </c>
      <c r="C695" s="40" t="s">
        <v>1968</v>
      </c>
      <c r="D695" s="78">
        <v>0.0</v>
      </c>
      <c r="E695" s="79">
        <v>0.0</v>
      </c>
      <c r="F695" s="40" t="s">
        <v>1857</v>
      </c>
      <c r="G695" s="78">
        <v>3626138.55503579</v>
      </c>
      <c r="H695" s="78">
        <v>2.224452409920007E7</v>
      </c>
      <c r="I695" s="80">
        <v>45400.0</v>
      </c>
      <c r="J695" s="80">
        <v>45432.0</v>
      </c>
      <c r="K695" s="79">
        <v>0.0</v>
      </c>
      <c r="L695" s="70"/>
      <c r="M695" s="70"/>
      <c r="N695" s="61"/>
      <c r="O695" s="86"/>
      <c r="P695" s="86"/>
      <c r="Q695" s="86"/>
      <c r="R695" s="61" t="str">
        <f t="shared" si="6"/>
        <v>2024</v>
      </c>
      <c r="S695" s="62">
        <f t="shared" si="7"/>
        <v>5</v>
      </c>
      <c r="T695" s="61" t="str">
        <f t="shared" si="8"/>
        <v>2024-Q2</v>
      </c>
      <c r="U695" s="63" t="str">
        <f t="shared" si="9"/>
        <v>2024-05</v>
      </c>
      <c r="V695" s="64" t="str">
        <f t="shared" si="10"/>
        <v>2024-H1</v>
      </c>
      <c r="W695" s="32"/>
      <c r="X695" s="32"/>
    </row>
    <row r="696">
      <c r="A696" s="77">
        <f>HYPERLINK("https://polkadot.subsquare.io/referenda/694", 694)</f>
        <v>694</v>
      </c>
      <c r="B696" s="40" t="s">
        <v>2216</v>
      </c>
      <c r="C696" s="40" t="s">
        <v>1851</v>
      </c>
      <c r="D696" s="78">
        <v>0.0</v>
      </c>
      <c r="E696" s="79">
        <v>0.0</v>
      </c>
      <c r="F696" s="40" t="s">
        <v>1852</v>
      </c>
      <c r="G696" s="78">
        <v>9.54882896811075E7</v>
      </c>
      <c r="H696" s="78">
        <v>250.1</v>
      </c>
      <c r="I696" s="80">
        <v>45400.0</v>
      </c>
      <c r="J696" s="80">
        <v>45414.0</v>
      </c>
      <c r="K696" s="79">
        <v>0.0</v>
      </c>
      <c r="L696" s="81"/>
      <c r="M696" s="81"/>
      <c r="N696" s="86"/>
      <c r="O696" s="61"/>
      <c r="P696" s="61"/>
      <c r="Q696" s="61"/>
      <c r="R696" s="61" t="str">
        <f t="shared" si="6"/>
        <v>2024</v>
      </c>
      <c r="S696" s="62">
        <f t="shared" si="7"/>
        <v>5</v>
      </c>
      <c r="T696" s="61" t="str">
        <f t="shared" si="8"/>
        <v>2024-Q2</v>
      </c>
      <c r="U696" s="63" t="str">
        <f t="shared" si="9"/>
        <v>2024-05</v>
      </c>
      <c r="V696" s="64" t="str">
        <f t="shared" si="10"/>
        <v>2024-H1</v>
      </c>
      <c r="W696" s="32"/>
      <c r="X696" s="32"/>
    </row>
    <row r="697">
      <c r="A697" s="77">
        <f>HYPERLINK("https://polkadot.subsquare.io/referenda/695", 695)</f>
        <v>695</v>
      </c>
      <c r="B697" s="40" t="s">
        <v>1248</v>
      </c>
      <c r="C697" s="40" t="s">
        <v>1851</v>
      </c>
      <c r="D697" s="78">
        <v>34763.0</v>
      </c>
      <c r="E697" s="79">
        <v>248035.0075340271</v>
      </c>
      <c r="F697" s="40" t="s">
        <v>1853</v>
      </c>
      <c r="G697" s="78">
        <v>4.135087819551657E7</v>
      </c>
      <c r="H697" s="78">
        <v>0.0</v>
      </c>
      <c r="I697" s="80">
        <v>45400.0</v>
      </c>
      <c r="J697" s="80">
        <v>45424.0</v>
      </c>
      <c r="K697" s="79">
        <v>242071.45509147644</v>
      </c>
      <c r="L697" s="70" t="s">
        <v>49</v>
      </c>
      <c r="M697" s="70" t="s">
        <v>110</v>
      </c>
      <c r="N697" s="61"/>
      <c r="O697" s="86"/>
      <c r="P697" s="86"/>
      <c r="Q697" s="86"/>
      <c r="R697" s="61" t="str">
        <f t="shared" si="6"/>
        <v>2024</v>
      </c>
      <c r="S697" s="62">
        <f t="shared" si="7"/>
        <v>5</v>
      </c>
      <c r="T697" s="61" t="str">
        <f t="shared" si="8"/>
        <v>2024-Q2</v>
      </c>
      <c r="U697" s="63" t="str">
        <f t="shared" si="9"/>
        <v>2024-05</v>
      </c>
      <c r="V697" s="64" t="str">
        <f t="shared" si="10"/>
        <v>2024-H1</v>
      </c>
      <c r="W697" s="32"/>
      <c r="X697" s="32"/>
    </row>
    <row r="698">
      <c r="A698" s="77">
        <f>HYPERLINK("https://polkadot.subsquare.io/referenda/696", 696)</f>
        <v>696</v>
      </c>
      <c r="B698" s="40" t="s">
        <v>2217</v>
      </c>
      <c r="C698" s="40" t="s">
        <v>1861</v>
      </c>
      <c r="D698" s="78">
        <v>1.6448E-6</v>
      </c>
      <c r="E698" s="79">
        <v>1.2299668005371093E-5</v>
      </c>
      <c r="F698" s="40" t="s">
        <v>1853</v>
      </c>
      <c r="G698" s="78">
        <v>0.0</v>
      </c>
      <c r="H698" s="78">
        <v>3.094700321531193E7</v>
      </c>
      <c r="I698" s="80">
        <v>45402.0</v>
      </c>
      <c r="J698" s="80">
        <v>45416.0</v>
      </c>
      <c r="K698" s="79">
        <v>1.150823616027832E-5</v>
      </c>
      <c r="L698" s="81"/>
      <c r="M698" s="81"/>
      <c r="N698" s="86"/>
      <c r="O698" s="61"/>
      <c r="P698" s="61"/>
      <c r="Q698" s="61"/>
      <c r="R698" s="61" t="str">
        <f t="shared" si="6"/>
        <v>2024</v>
      </c>
      <c r="S698" s="62">
        <f t="shared" si="7"/>
        <v>5</v>
      </c>
      <c r="T698" s="61" t="str">
        <f t="shared" si="8"/>
        <v>2024-Q2</v>
      </c>
      <c r="U698" s="63" t="str">
        <f t="shared" si="9"/>
        <v>2024-05</v>
      </c>
      <c r="V698" s="64" t="str">
        <f t="shared" si="10"/>
        <v>2024-H1</v>
      </c>
      <c r="W698" s="32"/>
      <c r="X698" s="32"/>
    </row>
    <row r="699">
      <c r="A699" s="77">
        <f>HYPERLINK("https://polkadot.subsquare.io/referenda/697", 697)</f>
        <v>697</v>
      </c>
      <c r="B699" s="40" t="s">
        <v>2218</v>
      </c>
      <c r="C699" s="40" t="s">
        <v>1846</v>
      </c>
      <c r="D699" s="78">
        <v>2.9719E-6</v>
      </c>
      <c r="E699" s="79">
        <v>2.1530187940597532E-5</v>
      </c>
      <c r="F699" s="40" t="s">
        <v>1853</v>
      </c>
      <c r="G699" s="78">
        <v>20637.01</v>
      </c>
      <c r="H699" s="78">
        <v>4.1232293536559835E7</v>
      </c>
      <c r="I699" s="80">
        <v>45402.0</v>
      </c>
      <c r="J699" s="80">
        <v>45430.0</v>
      </c>
      <c r="K699" s="79">
        <v>2.262704140253067E-5</v>
      </c>
      <c r="L699" s="70"/>
      <c r="M699" s="70"/>
      <c r="N699" s="61"/>
      <c r="O699" s="86"/>
      <c r="P699" s="86"/>
      <c r="Q699" s="86"/>
      <c r="R699" s="61" t="str">
        <f t="shared" si="6"/>
        <v>2024</v>
      </c>
      <c r="S699" s="62">
        <f t="shared" si="7"/>
        <v>5</v>
      </c>
      <c r="T699" s="61" t="str">
        <f t="shared" si="8"/>
        <v>2024-Q2</v>
      </c>
      <c r="U699" s="63" t="str">
        <f t="shared" si="9"/>
        <v>2024-05</v>
      </c>
      <c r="V699" s="64" t="str">
        <f t="shared" si="10"/>
        <v>2024-H1</v>
      </c>
      <c r="W699" s="32"/>
      <c r="X699" s="32"/>
    </row>
    <row r="700">
      <c r="A700" s="77">
        <f>HYPERLINK("https://polkadot.subsquare.io/referenda/698", 698)</f>
        <v>698</v>
      </c>
      <c r="B700" s="40" t="s">
        <v>1249</v>
      </c>
      <c r="C700" s="40" t="s">
        <v>1851</v>
      </c>
      <c r="D700" s="78">
        <v>16448.0</v>
      </c>
      <c r="E700" s="79">
        <v>119158.96606445312</v>
      </c>
      <c r="F700" s="40" t="s">
        <v>1853</v>
      </c>
      <c r="G700" s="78">
        <v>3.0680796148644384E7</v>
      </c>
      <c r="H700" s="78">
        <v>7818828.998011404</v>
      </c>
      <c r="I700" s="80">
        <v>45402.0</v>
      </c>
      <c r="J700" s="80">
        <v>45429.0</v>
      </c>
      <c r="K700" s="79">
        <v>124594.09097290039</v>
      </c>
      <c r="L700" s="81" t="s">
        <v>81</v>
      </c>
      <c r="M700" s="85" t="s">
        <v>86</v>
      </c>
      <c r="N700" s="86"/>
      <c r="O700" s="61"/>
      <c r="P700" s="61"/>
      <c r="Q700" s="61"/>
      <c r="R700" s="61" t="str">
        <f t="shared" si="6"/>
        <v>2024</v>
      </c>
      <c r="S700" s="62">
        <f t="shared" si="7"/>
        <v>5</v>
      </c>
      <c r="T700" s="61" t="str">
        <f t="shared" si="8"/>
        <v>2024-Q2</v>
      </c>
      <c r="U700" s="63" t="str">
        <f t="shared" si="9"/>
        <v>2024-05</v>
      </c>
      <c r="V700" s="64" t="str">
        <f t="shared" si="10"/>
        <v>2024-H1</v>
      </c>
      <c r="W700" s="32"/>
      <c r="X700" s="32"/>
    </row>
    <row r="701">
      <c r="A701" s="77">
        <f>HYPERLINK("https://polkadot.subsquare.io/referenda/699", 699)</f>
        <v>699</v>
      </c>
      <c r="B701" s="40" t="s">
        <v>1250</v>
      </c>
      <c r="C701" s="40" t="s">
        <v>1851</v>
      </c>
      <c r="D701" s="78">
        <v>29719.0</v>
      </c>
      <c r="E701" s="79">
        <v>215301.87940597534</v>
      </c>
      <c r="F701" s="40" t="s">
        <v>1853</v>
      </c>
      <c r="G701" s="78">
        <v>6.294993000640261E7</v>
      </c>
      <c r="H701" s="78">
        <v>1.8323416329532683E7</v>
      </c>
      <c r="I701" s="80">
        <v>45402.0</v>
      </c>
      <c r="J701" s="80">
        <v>45425.0</v>
      </c>
      <c r="K701" s="79">
        <v>208898.57222366333</v>
      </c>
      <c r="L701" s="70" t="s">
        <v>50</v>
      </c>
      <c r="M701" s="70" t="s">
        <v>50</v>
      </c>
      <c r="N701" s="61"/>
      <c r="O701" s="86"/>
      <c r="P701" s="86"/>
      <c r="Q701" s="86"/>
      <c r="R701" s="61" t="str">
        <f t="shared" si="6"/>
        <v>2024</v>
      </c>
      <c r="S701" s="62">
        <f t="shared" si="7"/>
        <v>5</v>
      </c>
      <c r="T701" s="61" t="str">
        <f t="shared" si="8"/>
        <v>2024-Q2</v>
      </c>
      <c r="U701" s="63" t="str">
        <f t="shared" si="9"/>
        <v>2024-05</v>
      </c>
      <c r="V701" s="64" t="str">
        <f t="shared" si="10"/>
        <v>2024-H1</v>
      </c>
      <c r="W701" s="32"/>
      <c r="X701" s="32"/>
    </row>
    <row r="702">
      <c r="A702" s="77">
        <f>HYPERLINK("https://polkadot.subsquare.io/referenda/700", 700)</f>
        <v>700</v>
      </c>
      <c r="B702" s="40" t="s">
        <v>1251</v>
      </c>
      <c r="C702" s="40" t="s">
        <v>1851</v>
      </c>
      <c r="D702" s="78">
        <v>81718.0</v>
      </c>
      <c r="E702" s="79">
        <v>592013.1559371948</v>
      </c>
      <c r="F702" s="40" t="s">
        <v>1853</v>
      </c>
      <c r="G702" s="78">
        <v>4.598609098312451E7</v>
      </c>
      <c r="H702" s="78">
        <v>1.6596257390018648E7</v>
      </c>
      <c r="I702" s="80">
        <v>45402.0</v>
      </c>
      <c r="J702" s="80">
        <v>45426.0</v>
      </c>
      <c r="K702" s="79">
        <v>574406.0542068481</v>
      </c>
      <c r="L702" s="81" t="s">
        <v>46</v>
      </c>
      <c r="M702" s="81" t="s">
        <v>112</v>
      </c>
      <c r="N702" s="86"/>
      <c r="O702" s="61"/>
      <c r="P702" s="61"/>
      <c r="Q702" s="61"/>
      <c r="R702" s="61" t="str">
        <f t="shared" si="6"/>
        <v>2024</v>
      </c>
      <c r="S702" s="62">
        <f t="shared" si="7"/>
        <v>5</v>
      </c>
      <c r="T702" s="61" t="str">
        <f t="shared" si="8"/>
        <v>2024-Q2</v>
      </c>
      <c r="U702" s="63" t="str">
        <f t="shared" si="9"/>
        <v>2024-05</v>
      </c>
      <c r="V702" s="64" t="str">
        <f t="shared" si="10"/>
        <v>2024-H1</v>
      </c>
      <c r="W702" s="32"/>
      <c r="X702" s="32"/>
    </row>
    <row r="703">
      <c r="A703" s="77">
        <f>HYPERLINK("https://polkadot.subsquare.io/referenda/701", 701)</f>
        <v>701</v>
      </c>
      <c r="B703" s="40" t="s">
        <v>2219</v>
      </c>
      <c r="C703" s="40" t="s">
        <v>1861</v>
      </c>
      <c r="D703" s="78">
        <v>0.0</v>
      </c>
      <c r="E703" s="79">
        <v>0.0</v>
      </c>
      <c r="F703" s="40" t="s">
        <v>1857</v>
      </c>
      <c r="G703" s="78">
        <v>110690.447091685</v>
      </c>
      <c r="H703" s="78">
        <v>3475902.4384634397</v>
      </c>
      <c r="I703" s="80">
        <v>45403.0</v>
      </c>
      <c r="J703" s="80">
        <v>45417.0</v>
      </c>
      <c r="K703" s="79">
        <v>0.0</v>
      </c>
      <c r="L703" s="70"/>
      <c r="M703" s="70"/>
      <c r="N703" s="61"/>
      <c r="O703" s="86"/>
      <c r="P703" s="86"/>
      <c r="Q703" s="86"/>
      <c r="R703" s="61" t="str">
        <f t="shared" si="6"/>
        <v>2024</v>
      </c>
      <c r="S703" s="62">
        <f t="shared" si="7"/>
        <v>5</v>
      </c>
      <c r="T703" s="61" t="str">
        <f t="shared" si="8"/>
        <v>2024-Q2</v>
      </c>
      <c r="U703" s="63" t="str">
        <f t="shared" si="9"/>
        <v>2024-05</v>
      </c>
      <c r="V703" s="64" t="str">
        <f t="shared" si="10"/>
        <v>2024-H1</v>
      </c>
      <c r="W703" s="32"/>
      <c r="X703" s="32"/>
    </row>
    <row r="704">
      <c r="A704" s="77">
        <f>HYPERLINK("https://polkadot.subsquare.io/referenda/702", 702)</f>
        <v>702</v>
      </c>
      <c r="B704" s="40" t="s">
        <v>2220</v>
      </c>
      <c r="C704" s="40" t="s">
        <v>1846</v>
      </c>
      <c r="D704" s="78">
        <v>0.0</v>
      </c>
      <c r="E704" s="79">
        <v>0.0</v>
      </c>
      <c r="F704" s="40" t="s">
        <v>2221</v>
      </c>
      <c r="G704" s="78">
        <v>7.010156531E7</v>
      </c>
      <c r="H704" s="78">
        <v>1.1196965642755556E8</v>
      </c>
      <c r="I704" s="80">
        <v>45403.0</v>
      </c>
      <c r="J704" s="80">
        <v>45431.0</v>
      </c>
      <c r="K704" s="79">
        <v>0.0</v>
      </c>
      <c r="L704" s="81"/>
      <c r="M704" s="81"/>
      <c r="N704" s="86"/>
      <c r="O704" s="61"/>
      <c r="P704" s="61"/>
      <c r="Q704" s="61"/>
      <c r="R704" s="61" t="str">
        <f t="shared" si="6"/>
        <v>2024</v>
      </c>
      <c r="S704" s="62">
        <f t="shared" si="7"/>
        <v>5</v>
      </c>
      <c r="T704" s="61" t="str">
        <f t="shared" si="8"/>
        <v>2024-Q2</v>
      </c>
      <c r="U704" s="63" t="str">
        <f t="shared" si="9"/>
        <v>2024-05</v>
      </c>
      <c r="V704" s="64" t="str">
        <f t="shared" si="10"/>
        <v>2024-H1</v>
      </c>
      <c r="W704" s="32"/>
      <c r="X704" s="32"/>
    </row>
    <row r="705">
      <c r="A705" s="77">
        <f>HYPERLINK("https://polkadot.subsquare.io/referenda/703", 703)</f>
        <v>703</v>
      </c>
      <c r="B705" s="40" t="s">
        <v>1252</v>
      </c>
      <c r="C705" s="40" t="s">
        <v>1851</v>
      </c>
      <c r="D705" s="78">
        <v>17898.6052999</v>
      </c>
      <c r="E705" s="79">
        <v>124040.10543983603</v>
      </c>
      <c r="F705" s="40" t="s">
        <v>1853</v>
      </c>
      <c r="G705" s="78">
        <v>2.746472260536186E7</v>
      </c>
      <c r="H705" s="78">
        <v>1.081933278161522E7</v>
      </c>
      <c r="I705" s="80">
        <v>45403.0</v>
      </c>
      <c r="J705" s="80">
        <v>45432.0</v>
      </c>
      <c r="K705" s="79">
        <v>133424.63614062278</v>
      </c>
      <c r="L705" s="70" t="s">
        <v>48</v>
      </c>
      <c r="M705" s="70" t="s">
        <v>131</v>
      </c>
      <c r="N705" s="61"/>
      <c r="O705" s="86"/>
      <c r="P705" s="86"/>
      <c r="Q705" s="86"/>
      <c r="R705" s="61" t="str">
        <f t="shared" si="6"/>
        <v>2024</v>
      </c>
      <c r="S705" s="62">
        <f t="shared" si="7"/>
        <v>5</v>
      </c>
      <c r="T705" s="61" t="str">
        <f t="shared" si="8"/>
        <v>2024-Q2</v>
      </c>
      <c r="U705" s="63" t="str">
        <f t="shared" si="9"/>
        <v>2024-05</v>
      </c>
      <c r="V705" s="64" t="str">
        <f t="shared" si="10"/>
        <v>2024-H1</v>
      </c>
      <c r="W705" s="32"/>
      <c r="X705" s="32"/>
    </row>
    <row r="706">
      <c r="A706" s="77">
        <f>HYPERLINK("https://polkadot.subsquare.io/referenda/704", 704)</f>
        <v>704</v>
      </c>
      <c r="B706" s="40" t="s">
        <v>2222</v>
      </c>
      <c r="C706" s="40" t="s">
        <v>1851</v>
      </c>
      <c r="D706" s="78">
        <v>0.0</v>
      </c>
      <c r="E706" s="79">
        <v>0.0</v>
      </c>
      <c r="F706" s="40" t="s">
        <v>2221</v>
      </c>
      <c r="G706" s="78">
        <v>5.3078060435503535E7</v>
      </c>
      <c r="H706" s="78">
        <v>2915504.4</v>
      </c>
      <c r="I706" s="80">
        <v>45403.0</v>
      </c>
      <c r="J706" s="80">
        <v>45432.0</v>
      </c>
      <c r="K706" s="79">
        <v>0.0</v>
      </c>
      <c r="L706" s="81"/>
      <c r="M706" s="81"/>
      <c r="N706" s="86"/>
      <c r="O706" s="61"/>
      <c r="P706" s="61"/>
      <c r="Q706" s="61"/>
      <c r="R706" s="61" t="str">
        <f t="shared" si="6"/>
        <v>2024</v>
      </c>
      <c r="S706" s="62">
        <f t="shared" si="7"/>
        <v>5</v>
      </c>
      <c r="T706" s="61" t="str">
        <f t="shared" si="8"/>
        <v>2024-Q2</v>
      </c>
      <c r="U706" s="63" t="str">
        <f t="shared" si="9"/>
        <v>2024-05</v>
      </c>
      <c r="V706" s="64" t="str">
        <f t="shared" si="10"/>
        <v>2024-H1</v>
      </c>
      <c r="W706" s="32"/>
      <c r="X706" s="32"/>
    </row>
    <row r="707">
      <c r="A707" s="77">
        <f>HYPERLINK("https://polkadot.subsquare.io/referenda/705", 705)</f>
        <v>705</v>
      </c>
      <c r="B707" s="40" t="s">
        <v>2223</v>
      </c>
      <c r="C707" s="40" t="s">
        <v>1851</v>
      </c>
      <c r="D707" s="78">
        <v>0.0</v>
      </c>
      <c r="E707" s="79">
        <v>0.0</v>
      </c>
      <c r="F707" s="40" t="s">
        <v>2221</v>
      </c>
      <c r="G707" s="78">
        <v>5.554173244854301E7</v>
      </c>
      <c r="H707" s="78">
        <v>46382.0</v>
      </c>
      <c r="I707" s="80">
        <v>45404.0</v>
      </c>
      <c r="J707" s="80">
        <v>45432.0</v>
      </c>
      <c r="K707" s="79">
        <v>0.0</v>
      </c>
      <c r="L707" s="70"/>
      <c r="M707" s="70"/>
      <c r="N707" s="61"/>
      <c r="O707" s="86"/>
      <c r="P707" s="86"/>
      <c r="Q707" s="86"/>
      <c r="R707" s="61" t="str">
        <f t="shared" si="6"/>
        <v>2024</v>
      </c>
      <c r="S707" s="62">
        <f t="shared" si="7"/>
        <v>5</v>
      </c>
      <c r="T707" s="61" t="str">
        <f t="shared" si="8"/>
        <v>2024-Q2</v>
      </c>
      <c r="U707" s="63" t="str">
        <f t="shared" si="9"/>
        <v>2024-05</v>
      </c>
      <c r="V707" s="64" t="str">
        <f t="shared" si="10"/>
        <v>2024-H1</v>
      </c>
      <c r="W707" s="32"/>
      <c r="X707" s="32"/>
    </row>
    <row r="708">
      <c r="A708" s="77">
        <f>HYPERLINK("https://polkadot.subsquare.io/referenda/706", 706)</f>
        <v>706</v>
      </c>
      <c r="B708" s="40" t="s">
        <v>2224</v>
      </c>
      <c r="C708" s="40" t="s">
        <v>1846</v>
      </c>
      <c r="D708" s="78">
        <v>0.0</v>
      </c>
      <c r="E708" s="79">
        <v>0.0</v>
      </c>
      <c r="F708" s="40" t="s">
        <v>2221</v>
      </c>
      <c r="G708" s="78">
        <v>7.077082042633684E7</v>
      </c>
      <c r="H708" s="78">
        <v>9.282824099018067E7</v>
      </c>
      <c r="I708" s="80">
        <v>45404.0</v>
      </c>
      <c r="J708" s="80">
        <v>45432.0</v>
      </c>
      <c r="K708" s="79">
        <v>0.0</v>
      </c>
      <c r="L708" s="81"/>
      <c r="M708" s="81"/>
      <c r="N708" s="86"/>
      <c r="O708" s="61"/>
      <c r="P708" s="61"/>
      <c r="Q708" s="61"/>
      <c r="R708" s="61" t="str">
        <f t="shared" si="6"/>
        <v>2024</v>
      </c>
      <c r="S708" s="62">
        <f t="shared" si="7"/>
        <v>5</v>
      </c>
      <c r="T708" s="61" t="str">
        <f t="shared" si="8"/>
        <v>2024-Q2</v>
      </c>
      <c r="U708" s="63" t="str">
        <f t="shared" si="9"/>
        <v>2024-05</v>
      </c>
      <c r="V708" s="64" t="str">
        <f t="shared" si="10"/>
        <v>2024-H1</v>
      </c>
      <c r="W708" s="32"/>
      <c r="X708" s="32"/>
    </row>
    <row r="709">
      <c r="A709" s="77">
        <f>HYPERLINK("https://polkadot.subsquare.io/referenda/707", 707)</f>
        <v>707</v>
      </c>
      <c r="B709" s="40" t="s">
        <v>2225</v>
      </c>
      <c r="C709" s="40" t="s">
        <v>1861</v>
      </c>
      <c r="D709" s="78">
        <v>0.0</v>
      </c>
      <c r="E709" s="79">
        <v>0.0</v>
      </c>
      <c r="F709" s="40" t="s">
        <v>982</v>
      </c>
      <c r="G709" s="78">
        <v>0.0</v>
      </c>
      <c r="H709" s="78">
        <v>3.42634157457223E7</v>
      </c>
      <c r="I709" s="80">
        <v>45404.0</v>
      </c>
      <c r="J709" s="80">
        <v>45418.0</v>
      </c>
      <c r="K709" s="79">
        <v>0.0</v>
      </c>
      <c r="L709" s="70"/>
      <c r="M709" s="70"/>
      <c r="N709" s="61"/>
      <c r="O709" s="86"/>
      <c r="P709" s="86"/>
      <c r="Q709" s="86"/>
      <c r="R709" s="61" t="str">
        <f t="shared" si="6"/>
        <v>2024</v>
      </c>
      <c r="S709" s="62">
        <f t="shared" si="7"/>
        <v>5</v>
      </c>
      <c r="T709" s="61" t="str">
        <f t="shared" si="8"/>
        <v>2024-Q2</v>
      </c>
      <c r="U709" s="63" t="str">
        <f t="shared" si="9"/>
        <v>2024-05</v>
      </c>
      <c r="V709" s="64" t="str">
        <f t="shared" si="10"/>
        <v>2024-H1</v>
      </c>
      <c r="W709" s="32"/>
      <c r="X709" s="32"/>
    </row>
    <row r="710">
      <c r="A710" s="77">
        <f>HYPERLINK("https://polkadot.subsquare.io/referenda/708", 708)</f>
        <v>708</v>
      </c>
      <c r="B710" s="40" t="s">
        <v>2226</v>
      </c>
      <c r="C710" s="40" t="s">
        <v>1943</v>
      </c>
      <c r="D710" s="78">
        <v>10.054836659398221</v>
      </c>
      <c r="E710" s="79">
        <v>69.0</v>
      </c>
      <c r="F710" s="40" t="s">
        <v>982</v>
      </c>
      <c r="G710" s="78">
        <v>2.668836595087183E7</v>
      </c>
      <c r="H710" s="78">
        <v>5010.0</v>
      </c>
      <c r="I710" s="80">
        <v>45404.0</v>
      </c>
      <c r="J710" s="80">
        <v>45406.0</v>
      </c>
      <c r="K710" s="79">
        <v>68.35916449170344</v>
      </c>
      <c r="L710" s="81"/>
      <c r="M710" s="81"/>
      <c r="N710" s="86"/>
      <c r="O710" s="61"/>
      <c r="P710" s="61"/>
      <c r="Q710" s="61"/>
      <c r="R710" s="61" t="str">
        <f t="shared" si="6"/>
        <v>2024</v>
      </c>
      <c r="S710" s="62">
        <f t="shared" si="7"/>
        <v>4</v>
      </c>
      <c r="T710" s="61" t="str">
        <f t="shared" si="8"/>
        <v>2024-Q2</v>
      </c>
      <c r="U710" s="63" t="str">
        <f t="shared" si="9"/>
        <v>2024-04</v>
      </c>
      <c r="V710" s="64" t="str">
        <f t="shared" si="10"/>
        <v>2024-H1</v>
      </c>
      <c r="W710" s="32"/>
      <c r="X710" s="32"/>
    </row>
    <row r="711">
      <c r="A711" s="77">
        <f>HYPERLINK("https://polkadot.subsquare.io/referenda/709", 709)</f>
        <v>709</v>
      </c>
      <c r="B711" s="40" t="s">
        <v>1253</v>
      </c>
      <c r="C711" s="40" t="s">
        <v>1851</v>
      </c>
      <c r="D711" s="78">
        <v>368016.0</v>
      </c>
      <c r="E711" s="79">
        <v>2525461.612174988</v>
      </c>
      <c r="F711" s="40" t="s">
        <v>1855</v>
      </c>
      <c r="G711" s="78">
        <v>2.214555960666927E7</v>
      </c>
      <c r="H711" s="78">
        <v>8952607.249189664</v>
      </c>
      <c r="I711" s="80">
        <v>45404.0</v>
      </c>
      <c r="J711" s="80">
        <v>45436.0</v>
      </c>
      <c r="K711" s="79">
        <v>2807333.188522339</v>
      </c>
      <c r="L711" s="70" t="s">
        <v>46</v>
      </c>
      <c r="M711" s="70" t="s">
        <v>102</v>
      </c>
      <c r="N711" s="61"/>
      <c r="O711" s="86"/>
      <c r="P711" s="86"/>
      <c r="Q711" s="86"/>
      <c r="R711" s="61" t="str">
        <f t="shared" si="6"/>
        <v>2024</v>
      </c>
      <c r="S711" s="62">
        <f t="shared" si="7"/>
        <v>5</v>
      </c>
      <c r="T711" s="61" t="str">
        <f t="shared" si="8"/>
        <v>2024-Q2</v>
      </c>
      <c r="U711" s="63" t="str">
        <f t="shared" si="9"/>
        <v>2024-05</v>
      </c>
      <c r="V711" s="64" t="str">
        <f t="shared" si="10"/>
        <v>2024-H1</v>
      </c>
      <c r="W711" s="32"/>
      <c r="X711" s="32"/>
    </row>
    <row r="712">
      <c r="A712" s="77">
        <f>HYPERLINK("https://polkadot.subsquare.io/referenda/710", 710)</f>
        <v>710</v>
      </c>
      <c r="B712" s="40" t="s">
        <v>2227</v>
      </c>
      <c r="C712" s="40" t="s">
        <v>1846</v>
      </c>
      <c r="D712" s="78">
        <v>1000.0</v>
      </c>
      <c r="E712" s="79">
        <v>6862.369060516357</v>
      </c>
      <c r="F712" s="40" t="s">
        <v>1869</v>
      </c>
      <c r="G712" s="78">
        <v>7596050.504003475</v>
      </c>
      <c r="H712" s="78">
        <v>1.382094348954204E7</v>
      </c>
      <c r="I712" s="80">
        <v>45404.0</v>
      </c>
      <c r="J712" s="80">
        <v>45412.0</v>
      </c>
      <c r="K712" s="79">
        <v>7285.116195678711</v>
      </c>
      <c r="L712" s="81"/>
      <c r="M712" s="81"/>
      <c r="N712" s="86"/>
      <c r="O712" s="61"/>
      <c r="P712" s="61"/>
      <c r="Q712" s="61"/>
      <c r="R712" s="61" t="str">
        <f t="shared" si="6"/>
        <v>2024</v>
      </c>
      <c r="S712" s="62">
        <f t="shared" si="7"/>
        <v>4</v>
      </c>
      <c r="T712" s="61" t="str">
        <f t="shared" si="8"/>
        <v>2024-Q2</v>
      </c>
      <c r="U712" s="63" t="str">
        <f t="shared" si="9"/>
        <v>2024-04</v>
      </c>
      <c r="V712" s="64" t="str">
        <f t="shared" si="10"/>
        <v>2024-H1</v>
      </c>
      <c r="W712" s="32"/>
      <c r="X712" s="32"/>
    </row>
    <row r="713">
      <c r="A713" s="77">
        <f>HYPERLINK("https://polkadot.subsquare.io/referenda/711", 711)</f>
        <v>711</v>
      </c>
      <c r="B713" s="40" t="s">
        <v>1254</v>
      </c>
      <c r="C713" s="40" t="s">
        <v>1851</v>
      </c>
      <c r="D713" s="78">
        <v>725.0</v>
      </c>
      <c r="E713" s="79">
        <v>4975.217568874359</v>
      </c>
      <c r="F713" s="40" t="s">
        <v>1869</v>
      </c>
      <c r="G713" s="78">
        <v>1.365173018580691E7</v>
      </c>
      <c r="H713" s="78">
        <v>23304.6778999878</v>
      </c>
      <c r="I713" s="80">
        <v>45405.0</v>
      </c>
      <c r="J713" s="80">
        <v>45409.0</v>
      </c>
      <c r="K713" s="79">
        <v>4656.12245798111</v>
      </c>
      <c r="L713" s="70" t="s">
        <v>81</v>
      </c>
      <c r="M713" s="71" t="s">
        <v>86</v>
      </c>
      <c r="N713" s="61"/>
      <c r="O713" s="86"/>
      <c r="P713" s="86"/>
      <c r="Q713" s="86"/>
      <c r="R713" s="61" t="str">
        <f t="shared" si="6"/>
        <v>2024</v>
      </c>
      <c r="S713" s="62">
        <f t="shared" si="7"/>
        <v>4</v>
      </c>
      <c r="T713" s="61" t="str">
        <f t="shared" si="8"/>
        <v>2024-Q2</v>
      </c>
      <c r="U713" s="63" t="str">
        <f t="shared" si="9"/>
        <v>2024-04</v>
      </c>
      <c r="V713" s="64" t="str">
        <f t="shared" si="10"/>
        <v>2024-H1</v>
      </c>
      <c r="W713" s="32"/>
      <c r="X713" s="32"/>
    </row>
    <row r="714">
      <c r="A714" s="77">
        <f>HYPERLINK("https://polkadot.subsquare.io/referenda/712", 712)</f>
        <v>712</v>
      </c>
      <c r="B714" s="40" t="s">
        <v>2228</v>
      </c>
      <c r="C714" s="40" t="s">
        <v>1851</v>
      </c>
      <c r="D714" s="78">
        <v>0.0</v>
      </c>
      <c r="E714" s="79">
        <v>0.0</v>
      </c>
      <c r="F714" s="40" t="s">
        <v>2221</v>
      </c>
      <c r="G714" s="78">
        <v>5.569914678446152E7</v>
      </c>
      <c r="H714" s="78">
        <v>53871.0</v>
      </c>
      <c r="I714" s="80">
        <v>45405.0</v>
      </c>
      <c r="J714" s="80">
        <v>45434.0</v>
      </c>
      <c r="K714" s="79">
        <v>0.0</v>
      </c>
      <c r="L714" s="81"/>
      <c r="M714" s="81"/>
      <c r="N714" s="86"/>
      <c r="O714" s="61"/>
      <c r="P714" s="61"/>
      <c r="Q714" s="61"/>
      <c r="R714" s="61" t="str">
        <f t="shared" si="6"/>
        <v>2024</v>
      </c>
      <c r="S714" s="62">
        <f t="shared" si="7"/>
        <v>5</v>
      </c>
      <c r="T714" s="61" t="str">
        <f t="shared" si="8"/>
        <v>2024-Q2</v>
      </c>
      <c r="U714" s="63" t="str">
        <f t="shared" si="9"/>
        <v>2024-05</v>
      </c>
      <c r="V714" s="64" t="str">
        <f t="shared" si="10"/>
        <v>2024-H1</v>
      </c>
      <c r="W714" s="32"/>
      <c r="X714" s="32"/>
    </row>
    <row r="715">
      <c r="A715" s="77">
        <f>HYPERLINK("https://polkadot.subsquare.io/referenda/713", 713)</f>
        <v>713</v>
      </c>
      <c r="B715" s="40" t="s">
        <v>2229</v>
      </c>
      <c r="C715" s="40" t="s">
        <v>1861</v>
      </c>
      <c r="D715" s="78">
        <v>202030.0</v>
      </c>
      <c r="E715" s="79">
        <v>1365362.5518035889</v>
      </c>
      <c r="F715" s="40" t="s">
        <v>1855</v>
      </c>
      <c r="G715" s="78">
        <v>0.02</v>
      </c>
      <c r="H715" s="78">
        <v>3.3066902910544436E7</v>
      </c>
      <c r="I715" s="80">
        <v>45406.0</v>
      </c>
      <c r="J715" s="80">
        <v>45420.0</v>
      </c>
      <c r="K715" s="79">
        <v>1363694.7931671143</v>
      </c>
      <c r="L715" s="70"/>
      <c r="M715" s="70"/>
      <c r="N715" s="61"/>
      <c r="O715" s="86"/>
      <c r="P715" s="86"/>
      <c r="Q715" s="86"/>
      <c r="R715" s="61" t="str">
        <f t="shared" si="6"/>
        <v>2024</v>
      </c>
      <c r="S715" s="62">
        <f t="shared" si="7"/>
        <v>5</v>
      </c>
      <c r="T715" s="61" t="str">
        <f t="shared" si="8"/>
        <v>2024-Q2</v>
      </c>
      <c r="U715" s="63" t="str">
        <f t="shared" si="9"/>
        <v>2024-05</v>
      </c>
      <c r="V715" s="64" t="str">
        <f t="shared" si="10"/>
        <v>2024-H1</v>
      </c>
      <c r="W715" s="32"/>
      <c r="X715" s="32"/>
    </row>
    <row r="716">
      <c r="A716" s="77">
        <f>HYPERLINK("https://polkadot.subsquare.io/referenda/714", 714)</f>
        <v>714</v>
      </c>
      <c r="B716" s="40" t="s">
        <v>2230</v>
      </c>
      <c r="C716" s="40" t="s">
        <v>1846</v>
      </c>
      <c r="D716" s="78">
        <v>202030.0</v>
      </c>
      <c r="E716" s="79">
        <v>1365362.5518035889</v>
      </c>
      <c r="F716" s="40" t="s">
        <v>1855</v>
      </c>
      <c r="G716" s="78">
        <v>1.1023924643445787E8</v>
      </c>
      <c r="H716" s="78">
        <v>1.147490022E8</v>
      </c>
      <c r="I716" s="80">
        <v>45406.0</v>
      </c>
      <c r="J716" s="80">
        <v>45438.0</v>
      </c>
      <c r="K716" s="79">
        <v>1488369.7701263428</v>
      </c>
      <c r="L716" s="81"/>
      <c r="M716" s="81"/>
      <c r="N716" s="86"/>
      <c r="O716" s="61"/>
      <c r="P716" s="61"/>
      <c r="Q716" s="61"/>
      <c r="R716" s="61" t="str">
        <f t="shared" si="6"/>
        <v>2024</v>
      </c>
      <c r="S716" s="62">
        <f t="shared" si="7"/>
        <v>5</v>
      </c>
      <c r="T716" s="61" t="str">
        <f t="shared" si="8"/>
        <v>2024-Q2</v>
      </c>
      <c r="U716" s="63" t="str">
        <f t="shared" si="9"/>
        <v>2024-05</v>
      </c>
      <c r="V716" s="64" t="str">
        <f t="shared" si="10"/>
        <v>2024-H1</v>
      </c>
      <c r="W716" s="32"/>
      <c r="X716" s="32"/>
    </row>
    <row r="717">
      <c r="A717" s="77">
        <f>HYPERLINK("https://polkadot.subsquare.io/referenda/715", 715)</f>
        <v>715</v>
      </c>
      <c r="B717" s="40" t="s">
        <v>1255</v>
      </c>
      <c r="C717" s="40" t="s">
        <v>1851</v>
      </c>
      <c r="D717" s="78">
        <v>35.5</v>
      </c>
      <c r="E717" s="79">
        <v>241.35154271125793</v>
      </c>
      <c r="F717" s="40" t="s">
        <v>982</v>
      </c>
      <c r="G717" s="78">
        <v>6459370.140016061</v>
      </c>
      <c r="H717" s="78">
        <v>36424.0</v>
      </c>
      <c r="I717" s="80">
        <v>45406.0</v>
      </c>
      <c r="J717" s="80">
        <v>45411.0</v>
      </c>
      <c r="K717" s="79">
        <v>244.34801983833313</v>
      </c>
      <c r="L717" s="70" t="s">
        <v>50</v>
      </c>
      <c r="M717" s="70" t="s">
        <v>161</v>
      </c>
      <c r="N717" s="61"/>
      <c r="O717" s="86"/>
      <c r="P717" s="86"/>
      <c r="Q717" s="86"/>
      <c r="R717" s="61" t="str">
        <f t="shared" si="6"/>
        <v>2024</v>
      </c>
      <c r="S717" s="62">
        <f t="shared" si="7"/>
        <v>4</v>
      </c>
      <c r="T717" s="61" t="str">
        <f t="shared" si="8"/>
        <v>2024-Q2</v>
      </c>
      <c r="U717" s="63" t="str">
        <f t="shared" si="9"/>
        <v>2024-04</v>
      </c>
      <c r="V717" s="64" t="str">
        <f t="shared" si="10"/>
        <v>2024-H1</v>
      </c>
      <c r="W717" s="32"/>
      <c r="X717" s="32"/>
    </row>
    <row r="718">
      <c r="A718" s="77">
        <f>HYPERLINK("https://polkadot.subsquare.io/referenda/716", 716)</f>
        <v>716</v>
      </c>
      <c r="B718" s="40" t="s">
        <v>2231</v>
      </c>
      <c r="C718" s="40" t="s">
        <v>1861</v>
      </c>
      <c r="D718" s="78">
        <v>0.0</v>
      </c>
      <c r="E718" s="79">
        <v>0.0</v>
      </c>
      <c r="F718" s="40" t="s">
        <v>1852</v>
      </c>
      <c r="G718" s="78">
        <v>2189733.730543222</v>
      </c>
      <c r="H718" s="78">
        <v>2047673.4186460667</v>
      </c>
      <c r="I718" s="80">
        <v>45406.0</v>
      </c>
      <c r="J718" s="80">
        <v>45420.0</v>
      </c>
      <c r="K718" s="79">
        <v>0.0</v>
      </c>
      <c r="L718" s="81"/>
      <c r="M718" s="81"/>
      <c r="N718" s="86"/>
      <c r="O718" s="61"/>
      <c r="P718" s="61"/>
      <c r="Q718" s="61"/>
      <c r="R718" s="61" t="str">
        <f t="shared" si="6"/>
        <v>2024</v>
      </c>
      <c r="S718" s="62">
        <f t="shared" si="7"/>
        <v>5</v>
      </c>
      <c r="T718" s="61" t="str">
        <f t="shared" si="8"/>
        <v>2024-Q2</v>
      </c>
      <c r="U718" s="63" t="str">
        <f t="shared" si="9"/>
        <v>2024-05</v>
      </c>
      <c r="V718" s="64" t="str">
        <f t="shared" si="10"/>
        <v>2024-H1</v>
      </c>
      <c r="W718" s="32"/>
      <c r="X718" s="32"/>
    </row>
    <row r="719">
      <c r="A719" s="77">
        <f>HYPERLINK("https://polkadot.subsquare.io/referenda/717", 717)</f>
        <v>717</v>
      </c>
      <c r="B719" s="40" t="s">
        <v>982</v>
      </c>
      <c r="C719" s="40" t="s">
        <v>1851</v>
      </c>
      <c r="D719" s="78">
        <v>20.0</v>
      </c>
      <c r="E719" s="79">
        <v>135.97270011901855</v>
      </c>
      <c r="F719" s="40" t="s">
        <v>982</v>
      </c>
      <c r="G719" s="78">
        <v>1.5691629735900668E7</v>
      </c>
      <c r="H719" s="78">
        <v>0.0</v>
      </c>
      <c r="I719" s="80">
        <v>45406.0</v>
      </c>
      <c r="J719" s="80">
        <v>45408.0</v>
      </c>
      <c r="K719" s="79">
        <v>131.83465957641602</v>
      </c>
      <c r="L719" s="70" t="s">
        <v>46</v>
      </c>
      <c r="M719" s="70" t="s">
        <v>102</v>
      </c>
      <c r="N719" s="61"/>
      <c r="O719" s="86"/>
      <c r="P719" s="86"/>
      <c r="Q719" s="86"/>
      <c r="R719" s="61" t="str">
        <f t="shared" si="6"/>
        <v>2024</v>
      </c>
      <c r="S719" s="62">
        <f t="shared" si="7"/>
        <v>4</v>
      </c>
      <c r="T719" s="61" t="str">
        <f t="shared" si="8"/>
        <v>2024-Q2</v>
      </c>
      <c r="U719" s="63" t="str">
        <f t="shared" si="9"/>
        <v>2024-04</v>
      </c>
      <c r="V719" s="64" t="str">
        <f t="shared" si="10"/>
        <v>2024-H1</v>
      </c>
      <c r="W719" s="32"/>
      <c r="X719" s="32"/>
    </row>
    <row r="720">
      <c r="A720" s="77">
        <f>HYPERLINK("https://polkadot.subsquare.io/referenda/718", 718)</f>
        <v>718</v>
      </c>
      <c r="B720" s="40" t="s">
        <v>2232</v>
      </c>
      <c r="C720" s="40" t="s">
        <v>1846</v>
      </c>
      <c r="D720" s="78">
        <v>1000000.0</v>
      </c>
      <c r="E720" s="79">
        <v>6798635.005950928</v>
      </c>
      <c r="F720" s="40" t="s">
        <v>1855</v>
      </c>
      <c r="G720" s="78">
        <v>8.347302205830307E7</v>
      </c>
      <c r="H720" s="78">
        <v>9.334026141438669E7</v>
      </c>
      <c r="I720" s="80">
        <v>45406.0</v>
      </c>
      <c r="J720" s="80">
        <v>45435.0</v>
      </c>
      <c r="K720" s="79">
        <v>7428137.77923584</v>
      </c>
      <c r="L720" s="81"/>
      <c r="M720" s="81"/>
      <c r="N720" s="86"/>
      <c r="O720" s="61"/>
      <c r="P720" s="61"/>
      <c r="Q720" s="61"/>
      <c r="R720" s="61" t="str">
        <f t="shared" si="6"/>
        <v>2024</v>
      </c>
      <c r="S720" s="62">
        <f t="shared" si="7"/>
        <v>5</v>
      </c>
      <c r="T720" s="61" t="str">
        <f t="shared" si="8"/>
        <v>2024-Q2</v>
      </c>
      <c r="U720" s="63" t="str">
        <f t="shared" si="9"/>
        <v>2024-05</v>
      </c>
      <c r="V720" s="64" t="str">
        <f t="shared" si="10"/>
        <v>2024-H1</v>
      </c>
      <c r="W720" s="32"/>
      <c r="X720" s="32"/>
    </row>
    <row r="721">
      <c r="A721" s="77">
        <f>HYPERLINK("https://polkadot.subsquare.io/referenda/719", 719)</f>
        <v>719</v>
      </c>
      <c r="B721" s="40" t="s">
        <v>1256</v>
      </c>
      <c r="C721" s="40" t="s">
        <v>1851</v>
      </c>
      <c r="D721" s="78">
        <v>14278.99</v>
      </c>
      <c r="E721" s="79">
        <v>97077.64126362324</v>
      </c>
      <c r="F721" s="40" t="s">
        <v>1853</v>
      </c>
      <c r="G721" s="78">
        <v>3.837832311101514E7</v>
      </c>
      <c r="H721" s="78">
        <v>14627.7</v>
      </c>
      <c r="I721" s="80">
        <v>45406.0</v>
      </c>
      <c r="J721" s="80">
        <v>45431.0</v>
      </c>
      <c r="K721" s="79">
        <v>106442.31845350743</v>
      </c>
      <c r="L721" s="70" t="s">
        <v>81</v>
      </c>
      <c r="M721" s="71" t="s">
        <v>86</v>
      </c>
      <c r="N721" s="61"/>
      <c r="O721" s="86"/>
      <c r="P721" s="86"/>
      <c r="Q721" s="86"/>
      <c r="R721" s="61" t="str">
        <f t="shared" si="6"/>
        <v>2024</v>
      </c>
      <c r="S721" s="62">
        <f t="shared" si="7"/>
        <v>5</v>
      </c>
      <c r="T721" s="61" t="str">
        <f t="shared" si="8"/>
        <v>2024-Q2</v>
      </c>
      <c r="U721" s="63" t="str">
        <f t="shared" si="9"/>
        <v>2024-05</v>
      </c>
      <c r="V721" s="64" t="str">
        <f t="shared" si="10"/>
        <v>2024-H1</v>
      </c>
      <c r="W721" s="32"/>
      <c r="X721" s="32"/>
    </row>
    <row r="722">
      <c r="A722" s="77">
        <f>HYPERLINK("https://polkadot.subsquare.io/referenda/720", 720)</f>
        <v>720</v>
      </c>
      <c r="B722" s="40" t="s">
        <v>1257</v>
      </c>
      <c r="C722" s="40" t="s">
        <v>1851</v>
      </c>
      <c r="D722" s="78">
        <v>42404.0</v>
      </c>
      <c r="E722" s="79">
        <v>288289.31879234314</v>
      </c>
      <c r="F722" s="40" t="s">
        <v>1853</v>
      </c>
      <c r="G722" s="78">
        <v>2.4781612820135582E7</v>
      </c>
      <c r="H722" s="78">
        <v>2925983.4</v>
      </c>
      <c r="I722" s="80">
        <v>45407.0</v>
      </c>
      <c r="J722" s="80">
        <v>45436.0</v>
      </c>
      <c r="K722" s="79">
        <v>320032.9130115509</v>
      </c>
      <c r="L722" s="81" t="s">
        <v>81</v>
      </c>
      <c r="M722" s="85" t="s">
        <v>86</v>
      </c>
      <c r="N722" s="86"/>
      <c r="O722" s="61"/>
      <c r="P722" s="61"/>
      <c r="Q722" s="61"/>
      <c r="R722" s="61" t="str">
        <f t="shared" si="6"/>
        <v>2024</v>
      </c>
      <c r="S722" s="62">
        <f t="shared" si="7"/>
        <v>5</v>
      </c>
      <c r="T722" s="61" t="str">
        <f t="shared" si="8"/>
        <v>2024-Q2</v>
      </c>
      <c r="U722" s="63" t="str">
        <f t="shared" si="9"/>
        <v>2024-05</v>
      </c>
      <c r="V722" s="64" t="str">
        <f t="shared" si="10"/>
        <v>2024-H1</v>
      </c>
      <c r="W722" s="32"/>
      <c r="X722" s="32"/>
    </row>
    <row r="723">
      <c r="A723" s="77">
        <f>HYPERLINK("https://polkadot.subsquare.io/referenda/721", 721)</f>
        <v>721</v>
      </c>
      <c r="B723" s="40" t="s">
        <v>1258</v>
      </c>
      <c r="C723" s="40" t="s">
        <v>1851</v>
      </c>
      <c r="D723" s="78">
        <v>596.0</v>
      </c>
      <c r="E723" s="79">
        <v>4007.269241333008</v>
      </c>
      <c r="F723" s="40" t="s">
        <v>1869</v>
      </c>
      <c r="G723" s="78">
        <v>2.126443815495793E7</v>
      </c>
      <c r="H723" s="78">
        <v>121650.447091685</v>
      </c>
      <c r="I723" s="80">
        <v>45408.0</v>
      </c>
      <c r="J723" s="80">
        <v>45411.0</v>
      </c>
      <c r="K723" s="79">
        <v>4341.929252624512</v>
      </c>
      <c r="L723" s="70" t="s">
        <v>81</v>
      </c>
      <c r="M723" s="70" t="s">
        <v>87</v>
      </c>
      <c r="N723" s="61"/>
      <c r="O723" s="86"/>
      <c r="P723" s="86"/>
      <c r="Q723" s="86"/>
      <c r="R723" s="61" t="str">
        <f t="shared" si="6"/>
        <v>2024</v>
      </c>
      <c r="S723" s="62">
        <f t="shared" si="7"/>
        <v>4</v>
      </c>
      <c r="T723" s="61" t="str">
        <f t="shared" si="8"/>
        <v>2024-Q2</v>
      </c>
      <c r="U723" s="63" t="str">
        <f t="shared" si="9"/>
        <v>2024-04</v>
      </c>
      <c r="V723" s="64" t="str">
        <f t="shared" si="10"/>
        <v>2024-H1</v>
      </c>
      <c r="W723" s="32"/>
      <c r="X723" s="32"/>
    </row>
    <row r="724">
      <c r="A724" s="77">
        <f>HYPERLINK("https://polkadot.subsquare.io/referenda/722", 722)</f>
        <v>722</v>
      </c>
      <c r="B724" s="40" t="s">
        <v>2233</v>
      </c>
      <c r="C724" s="40" t="s">
        <v>1943</v>
      </c>
      <c r="D724" s="78">
        <v>0.0</v>
      </c>
      <c r="E724" s="79">
        <v>0.0</v>
      </c>
      <c r="F724" s="40" t="s">
        <v>1868</v>
      </c>
      <c r="G724" s="78">
        <v>1.1900966157190477E7</v>
      </c>
      <c r="H724" s="78">
        <v>2247803.018810008</v>
      </c>
      <c r="I724" s="80">
        <v>45409.0</v>
      </c>
      <c r="J724" s="80">
        <v>45449.0</v>
      </c>
      <c r="K724" s="79">
        <v>0.0</v>
      </c>
      <c r="L724" s="81"/>
      <c r="M724" s="81"/>
      <c r="N724" s="86"/>
      <c r="O724" s="61"/>
      <c r="P724" s="61"/>
      <c r="Q724" s="61"/>
      <c r="R724" s="61" t="str">
        <f t="shared" si="6"/>
        <v>2024</v>
      </c>
      <c r="S724" s="62">
        <f t="shared" si="7"/>
        <v>6</v>
      </c>
      <c r="T724" s="61" t="str">
        <f t="shared" si="8"/>
        <v>2024-Q2</v>
      </c>
      <c r="U724" s="63" t="str">
        <f t="shared" si="9"/>
        <v>2024-06</v>
      </c>
      <c r="V724" s="64" t="str">
        <f t="shared" si="10"/>
        <v>2024-H1</v>
      </c>
      <c r="W724" s="32"/>
      <c r="X724" s="32"/>
    </row>
    <row r="725">
      <c r="A725" s="77">
        <f>HYPERLINK("https://polkadot.subsquare.io/referenda/723", 723)</f>
        <v>723</v>
      </c>
      <c r="B725" s="40" t="s">
        <v>1259</v>
      </c>
      <c r="C725" s="40" t="s">
        <v>1851</v>
      </c>
      <c r="D725" s="78">
        <v>9732.0</v>
      </c>
      <c r="E725" s="79">
        <v>62501.218980789185</v>
      </c>
      <c r="F725" s="40" t="s">
        <v>1848</v>
      </c>
      <c r="G725" s="78">
        <v>2.6345761323407378E7</v>
      </c>
      <c r="H725" s="78">
        <v>6034600.422956474</v>
      </c>
      <c r="I725" s="80">
        <v>45409.0</v>
      </c>
      <c r="J725" s="80">
        <v>45430.0</v>
      </c>
      <c r="K725" s="79">
        <v>73720.1905002594</v>
      </c>
      <c r="L725" s="70" t="s">
        <v>46</v>
      </c>
      <c r="M725" s="70" t="s">
        <v>114</v>
      </c>
      <c r="N725" s="61"/>
      <c r="O725" s="86"/>
      <c r="P725" s="86"/>
      <c r="Q725" s="86"/>
      <c r="R725" s="61" t="str">
        <f t="shared" si="6"/>
        <v>2024</v>
      </c>
      <c r="S725" s="62">
        <f t="shared" si="7"/>
        <v>5</v>
      </c>
      <c r="T725" s="61" t="str">
        <f t="shared" si="8"/>
        <v>2024-Q2</v>
      </c>
      <c r="U725" s="63" t="str">
        <f t="shared" si="9"/>
        <v>2024-05</v>
      </c>
      <c r="V725" s="64" t="str">
        <f t="shared" si="10"/>
        <v>2024-H1</v>
      </c>
      <c r="W725" s="32"/>
      <c r="X725" s="32"/>
    </row>
    <row r="726">
      <c r="A726" s="77">
        <f>HYPERLINK("https://polkadot.subsquare.io/referenda/724", 724)</f>
        <v>724</v>
      </c>
      <c r="B726" s="40" t="s">
        <v>2234</v>
      </c>
      <c r="C726" s="40" t="s">
        <v>1846</v>
      </c>
      <c r="D726" s="78">
        <v>5.54E-8</v>
      </c>
      <c r="E726" s="79">
        <v>3.5579197816848757E-7</v>
      </c>
      <c r="F726" s="40" t="s">
        <v>1869</v>
      </c>
      <c r="G726" s="78">
        <v>8062.0</v>
      </c>
      <c r="H726" s="78">
        <v>2.5942754393683117E7</v>
      </c>
      <c r="I726" s="80">
        <v>45409.0</v>
      </c>
      <c r="J726" s="80">
        <v>45416.0</v>
      </c>
      <c r="K726" s="79">
        <v>3.876193356513977E-7</v>
      </c>
      <c r="L726" s="81"/>
      <c r="M726" s="81"/>
      <c r="N726" s="86"/>
      <c r="O726" s="61"/>
      <c r="P726" s="61"/>
      <c r="Q726" s="61"/>
      <c r="R726" s="61" t="str">
        <f t="shared" si="6"/>
        <v>2024</v>
      </c>
      <c r="S726" s="62">
        <f t="shared" si="7"/>
        <v>5</v>
      </c>
      <c r="T726" s="61" t="str">
        <f t="shared" si="8"/>
        <v>2024-Q2</v>
      </c>
      <c r="U726" s="63" t="str">
        <f t="shared" si="9"/>
        <v>2024-05</v>
      </c>
      <c r="V726" s="64" t="str">
        <f t="shared" si="10"/>
        <v>2024-H1</v>
      </c>
      <c r="W726" s="32"/>
      <c r="X726" s="32"/>
    </row>
    <row r="727">
      <c r="A727" s="77">
        <f>HYPERLINK("https://polkadot.subsquare.io/referenda/725", 725)</f>
        <v>725</v>
      </c>
      <c r="B727" s="88" t="s">
        <v>1260</v>
      </c>
      <c r="C727" s="40" t="s">
        <v>1851</v>
      </c>
      <c r="D727" s="78">
        <v>554.0</v>
      </c>
      <c r="E727" s="79">
        <v>3557.9197816848755</v>
      </c>
      <c r="F727" s="40" t="s">
        <v>1869</v>
      </c>
      <c r="G727" s="78">
        <v>1.5079383147556683E7</v>
      </c>
      <c r="H727" s="78">
        <v>5971.0</v>
      </c>
      <c r="I727" s="80">
        <v>45409.0</v>
      </c>
      <c r="J727" s="80">
        <v>45413.0</v>
      </c>
      <c r="K727" s="79">
        <v>4019.326066970825</v>
      </c>
      <c r="L727" s="70" t="s">
        <v>81</v>
      </c>
      <c r="M727" s="70" t="s">
        <v>89</v>
      </c>
      <c r="N727" s="61"/>
      <c r="O727" s="86"/>
      <c r="P727" s="86"/>
      <c r="Q727" s="86"/>
      <c r="R727" s="61" t="str">
        <f t="shared" si="6"/>
        <v>2024</v>
      </c>
      <c r="S727" s="62">
        <f t="shared" si="7"/>
        <v>5</v>
      </c>
      <c r="T727" s="61" t="str">
        <f t="shared" si="8"/>
        <v>2024-Q2</v>
      </c>
      <c r="U727" s="63" t="str">
        <f t="shared" si="9"/>
        <v>2024-05</v>
      </c>
      <c r="V727" s="64" t="str">
        <f t="shared" si="10"/>
        <v>2024-H1</v>
      </c>
      <c r="W727" s="32"/>
      <c r="X727" s="32"/>
    </row>
    <row r="728">
      <c r="A728" s="77">
        <f>HYPERLINK("https://polkadot.subsquare.io/referenda/726", 726)</f>
        <v>726</v>
      </c>
      <c r="B728" s="40" t="s">
        <v>2235</v>
      </c>
      <c r="C728" s="40" t="s">
        <v>1846</v>
      </c>
      <c r="D728" s="78">
        <v>4.9E-8</v>
      </c>
      <c r="E728" s="79">
        <v>3.1468965578079226E-7</v>
      </c>
      <c r="F728" s="40" t="s">
        <v>1869</v>
      </c>
      <c r="G728" s="78">
        <v>0.0</v>
      </c>
      <c r="H728" s="78">
        <v>2.5868803394783117E7</v>
      </c>
      <c r="I728" s="80">
        <v>45409.0</v>
      </c>
      <c r="J728" s="80">
        <v>45416.0</v>
      </c>
      <c r="K728" s="79">
        <v>3.428402066230774E-7</v>
      </c>
      <c r="L728" s="81"/>
      <c r="M728" s="81"/>
      <c r="N728" s="86"/>
      <c r="O728" s="61"/>
      <c r="P728" s="61"/>
      <c r="Q728" s="61"/>
      <c r="R728" s="61" t="str">
        <f t="shared" si="6"/>
        <v>2024</v>
      </c>
      <c r="S728" s="62">
        <f t="shared" si="7"/>
        <v>5</v>
      </c>
      <c r="T728" s="61" t="str">
        <f t="shared" si="8"/>
        <v>2024-Q2</v>
      </c>
      <c r="U728" s="63" t="str">
        <f t="shared" si="9"/>
        <v>2024-05</v>
      </c>
      <c r="V728" s="64" t="str">
        <f t="shared" si="10"/>
        <v>2024-H1</v>
      </c>
      <c r="W728" s="32"/>
      <c r="X728" s="32"/>
    </row>
    <row r="729">
      <c r="A729" s="77">
        <f>HYPERLINK("https://polkadot.subsquare.io/referenda/727", 727)</f>
        <v>727</v>
      </c>
      <c r="B729" s="40" t="s">
        <v>2236</v>
      </c>
      <c r="C729" s="40" t="s">
        <v>1846</v>
      </c>
      <c r="D729" s="78">
        <v>490.0</v>
      </c>
      <c r="E729" s="79">
        <v>3146.8965578079224</v>
      </c>
      <c r="F729" s="40" t="s">
        <v>1869</v>
      </c>
      <c r="G729" s="78">
        <v>2373684.058770129</v>
      </c>
      <c r="H729" s="78">
        <v>8260429.914163536</v>
      </c>
      <c r="I729" s="80">
        <v>45409.0</v>
      </c>
      <c r="J729" s="80">
        <v>45416.0</v>
      </c>
      <c r="K729" s="79">
        <v>3428.402066230774</v>
      </c>
      <c r="L729" s="70"/>
      <c r="M729" s="70"/>
      <c r="N729" s="61"/>
      <c r="O729" s="86"/>
      <c r="P729" s="86"/>
      <c r="Q729" s="86"/>
      <c r="R729" s="61" t="str">
        <f t="shared" si="6"/>
        <v>2024</v>
      </c>
      <c r="S729" s="62">
        <f t="shared" si="7"/>
        <v>5</v>
      </c>
      <c r="T729" s="61" t="str">
        <f t="shared" si="8"/>
        <v>2024-Q2</v>
      </c>
      <c r="U729" s="63" t="str">
        <f t="shared" si="9"/>
        <v>2024-05</v>
      </c>
      <c r="V729" s="64" t="str">
        <f t="shared" si="10"/>
        <v>2024-H1</v>
      </c>
      <c r="W729" s="32"/>
      <c r="X729" s="32"/>
    </row>
    <row r="730">
      <c r="A730" s="77">
        <f>HYPERLINK("https://polkadot.subsquare.io/referenda/728", 728)</f>
        <v>728</v>
      </c>
      <c r="B730" s="40" t="s">
        <v>1261</v>
      </c>
      <c r="C730" s="40" t="s">
        <v>1851</v>
      </c>
      <c r="D730" s="78">
        <v>26195.0</v>
      </c>
      <c r="E730" s="79">
        <v>168230.5210852623</v>
      </c>
      <c r="F730" s="40" t="s">
        <v>1853</v>
      </c>
      <c r="G730" s="78">
        <v>6.608190551E7</v>
      </c>
      <c r="H730" s="78">
        <v>1.9414708976194404E7</v>
      </c>
      <c r="I730" s="80">
        <v>45410.0</v>
      </c>
      <c r="J730" s="80">
        <v>45437.0</v>
      </c>
      <c r="K730" s="79">
        <v>199823.08615207672</v>
      </c>
      <c r="L730" s="81" t="s">
        <v>81</v>
      </c>
      <c r="M730" s="81" t="s">
        <v>89</v>
      </c>
      <c r="N730" s="86"/>
      <c r="O730" s="61"/>
      <c r="P730" s="61"/>
      <c r="Q730" s="61"/>
      <c r="R730" s="61" t="str">
        <f t="shared" si="6"/>
        <v>2024</v>
      </c>
      <c r="S730" s="62">
        <f t="shared" si="7"/>
        <v>5</v>
      </c>
      <c r="T730" s="61" t="str">
        <f t="shared" si="8"/>
        <v>2024-Q2</v>
      </c>
      <c r="U730" s="63" t="str">
        <f t="shared" si="9"/>
        <v>2024-05</v>
      </c>
      <c r="V730" s="64" t="str">
        <f t="shared" si="10"/>
        <v>2024-H1</v>
      </c>
      <c r="W730" s="32"/>
      <c r="X730" s="32"/>
    </row>
    <row r="731">
      <c r="A731" s="77">
        <f>HYPERLINK("https://polkadot.subsquare.io/referenda/729", 729)</f>
        <v>729</v>
      </c>
      <c r="B731" s="40" t="s">
        <v>1262</v>
      </c>
      <c r="C731" s="40" t="s">
        <v>1851</v>
      </c>
      <c r="D731" s="78">
        <v>150.0</v>
      </c>
      <c r="E731" s="79">
        <v>1032.4564218521118</v>
      </c>
      <c r="F731" s="40" t="s">
        <v>982</v>
      </c>
      <c r="G731" s="78">
        <v>1.5486823745310143E7</v>
      </c>
      <c r="H731" s="78">
        <v>5.0</v>
      </c>
      <c r="I731" s="80">
        <v>45410.0</v>
      </c>
      <c r="J731" s="80">
        <v>45413.0</v>
      </c>
      <c r="K731" s="79">
        <v>1088.2651805877686</v>
      </c>
      <c r="L731" s="70" t="s">
        <v>46</v>
      </c>
      <c r="M731" s="70" t="s">
        <v>102</v>
      </c>
      <c r="N731" s="61"/>
      <c r="O731" s="86"/>
      <c r="P731" s="86"/>
      <c r="Q731" s="86"/>
      <c r="R731" s="61" t="str">
        <f t="shared" si="6"/>
        <v>2024</v>
      </c>
      <c r="S731" s="62">
        <f t="shared" si="7"/>
        <v>5</v>
      </c>
      <c r="T731" s="61" t="str">
        <f t="shared" si="8"/>
        <v>2024-Q2</v>
      </c>
      <c r="U731" s="63" t="str">
        <f t="shared" si="9"/>
        <v>2024-05</v>
      </c>
      <c r="V731" s="64" t="str">
        <f t="shared" si="10"/>
        <v>2024-H1</v>
      </c>
      <c r="W731" s="32"/>
      <c r="X731" s="32"/>
    </row>
    <row r="732">
      <c r="A732" s="77">
        <f>HYPERLINK("https://polkadot.subsquare.io/referenda/730", 730)</f>
        <v>730</v>
      </c>
      <c r="B732" s="40" t="s">
        <v>1263</v>
      </c>
      <c r="C732" s="40" t="s">
        <v>1851</v>
      </c>
      <c r="D732" s="78">
        <v>88000.0</v>
      </c>
      <c r="E732" s="79">
        <v>605707.7674865723</v>
      </c>
      <c r="F732" s="40" t="s">
        <v>1866</v>
      </c>
      <c r="G732" s="78">
        <v>5.7411484900751E7</v>
      </c>
      <c r="H732" s="78">
        <v>661763.1612801112</v>
      </c>
      <c r="I732" s="80">
        <v>45410.0</v>
      </c>
      <c r="J732" s="80">
        <v>45446.0</v>
      </c>
      <c r="K732" s="79">
        <v>637888.0462646484</v>
      </c>
      <c r="L732" s="81" t="s">
        <v>49</v>
      </c>
      <c r="M732" s="81" t="s">
        <v>108</v>
      </c>
      <c r="N732" s="86"/>
      <c r="O732" s="61"/>
      <c r="P732" s="61" t="s">
        <v>1881</v>
      </c>
      <c r="Q732" s="61"/>
      <c r="R732" s="61" t="str">
        <f t="shared" si="6"/>
        <v>2024</v>
      </c>
      <c r="S732" s="62">
        <f t="shared" si="7"/>
        <v>6</v>
      </c>
      <c r="T732" s="61" t="str">
        <f t="shared" si="8"/>
        <v>2024-Q2</v>
      </c>
      <c r="U732" s="63" t="str">
        <f t="shared" si="9"/>
        <v>2024-06</v>
      </c>
      <c r="V732" s="64" t="str">
        <f t="shared" si="10"/>
        <v>2024-H1</v>
      </c>
      <c r="W732" s="32"/>
      <c r="X732" s="32"/>
    </row>
    <row r="733">
      <c r="A733" s="77">
        <f>HYPERLINK("https://polkadot.subsquare.io/referenda/731", 731)</f>
        <v>731</v>
      </c>
      <c r="B733" s="40" t="s">
        <v>2237</v>
      </c>
      <c r="C733" s="40" t="s">
        <v>1846</v>
      </c>
      <c r="D733" s="78">
        <v>150217.81</v>
      </c>
      <c r="E733" s="79">
        <v>1033955.6174070692</v>
      </c>
      <c r="F733" s="40" t="s">
        <v>1855</v>
      </c>
      <c r="G733" s="78">
        <v>4.369177981816692E7</v>
      </c>
      <c r="H733" s="78">
        <v>4.3742232492425986E7</v>
      </c>
      <c r="I733" s="80">
        <v>45411.0</v>
      </c>
      <c r="J733" s="80">
        <v>45443.0</v>
      </c>
      <c r="K733" s="79">
        <v>1049878.2674679707</v>
      </c>
      <c r="L733" s="70"/>
      <c r="M733" s="70"/>
      <c r="N733" s="61"/>
      <c r="O733" s="86"/>
      <c r="P733" s="86"/>
      <c r="Q733" s="86"/>
      <c r="R733" s="61" t="str">
        <f t="shared" si="6"/>
        <v>2024</v>
      </c>
      <c r="S733" s="62">
        <f t="shared" si="7"/>
        <v>5</v>
      </c>
      <c r="T733" s="61" t="str">
        <f t="shared" si="8"/>
        <v>2024-Q2</v>
      </c>
      <c r="U733" s="63" t="str">
        <f t="shared" si="9"/>
        <v>2024-05</v>
      </c>
      <c r="V733" s="64" t="str">
        <f t="shared" si="10"/>
        <v>2024-H1</v>
      </c>
      <c r="W733" s="32"/>
      <c r="X733" s="32"/>
    </row>
    <row r="734">
      <c r="A734" s="77">
        <f>HYPERLINK("https://polkadot.subsquare.io/referenda/732", 732)</f>
        <v>732</v>
      </c>
      <c r="B734" s="40" t="s">
        <v>2238</v>
      </c>
      <c r="C734" s="40" t="s">
        <v>1861</v>
      </c>
      <c r="D734" s="78">
        <v>1.2563E-6</v>
      </c>
      <c r="E734" s="79">
        <v>9.152291476631165E-6</v>
      </c>
      <c r="F734" s="40" t="s">
        <v>1853</v>
      </c>
      <c r="G734" s="78">
        <v>0.0</v>
      </c>
      <c r="H734" s="78">
        <v>3.2236091309944555E7</v>
      </c>
      <c r="I734" s="80">
        <v>45411.0</v>
      </c>
      <c r="J734" s="80">
        <v>45425.0</v>
      </c>
      <c r="K734" s="79">
        <v>8.830690005874634E-6</v>
      </c>
      <c r="L734" s="81"/>
      <c r="M734" s="81"/>
      <c r="N734" s="86"/>
      <c r="O734" s="61"/>
      <c r="P734" s="61"/>
      <c r="Q734" s="61"/>
      <c r="R734" s="61" t="str">
        <f t="shared" si="6"/>
        <v>2024</v>
      </c>
      <c r="S734" s="62">
        <f t="shared" si="7"/>
        <v>5</v>
      </c>
      <c r="T734" s="61" t="str">
        <f t="shared" si="8"/>
        <v>2024-Q2</v>
      </c>
      <c r="U734" s="63" t="str">
        <f t="shared" si="9"/>
        <v>2024-05</v>
      </c>
      <c r="V734" s="64" t="str">
        <f t="shared" si="10"/>
        <v>2024-H1</v>
      </c>
      <c r="W734" s="32"/>
      <c r="X734" s="32"/>
    </row>
    <row r="735">
      <c r="A735" s="77">
        <f>HYPERLINK("https://polkadot.subsquare.io/referenda/733", 733)</f>
        <v>733</v>
      </c>
      <c r="B735" s="40" t="s">
        <v>1264</v>
      </c>
      <c r="C735" s="40" t="s">
        <v>1851</v>
      </c>
      <c r="D735" s="78">
        <v>12563.0</v>
      </c>
      <c r="E735" s="79">
        <v>91522.91476631165</v>
      </c>
      <c r="F735" s="40" t="s">
        <v>1853</v>
      </c>
      <c r="G735" s="78">
        <v>2.8856070129855145E7</v>
      </c>
      <c r="H735" s="78">
        <v>7821838.090409757</v>
      </c>
      <c r="I735" s="80">
        <v>45411.0</v>
      </c>
      <c r="J735" s="80">
        <v>45437.0</v>
      </c>
      <c r="K735" s="79">
        <v>92552.53884124756</v>
      </c>
      <c r="L735" s="70" t="s">
        <v>81</v>
      </c>
      <c r="M735" s="71" t="s">
        <v>91</v>
      </c>
      <c r="N735" s="61"/>
      <c r="O735" s="86"/>
      <c r="P735" s="86"/>
      <c r="Q735" s="86"/>
      <c r="R735" s="61" t="str">
        <f t="shared" si="6"/>
        <v>2024</v>
      </c>
      <c r="S735" s="62">
        <f t="shared" si="7"/>
        <v>5</v>
      </c>
      <c r="T735" s="61" t="str">
        <f t="shared" si="8"/>
        <v>2024-Q2</v>
      </c>
      <c r="U735" s="63" t="str">
        <f t="shared" si="9"/>
        <v>2024-05</v>
      </c>
      <c r="V735" s="64" t="str">
        <f t="shared" si="10"/>
        <v>2024-H1</v>
      </c>
      <c r="W735" s="32"/>
      <c r="X735" s="32"/>
    </row>
    <row r="736">
      <c r="A736" s="77">
        <f>HYPERLINK("https://polkadot.subsquare.io/referenda/734", 734)</f>
        <v>734</v>
      </c>
      <c r="B736" s="40" t="s">
        <v>2239</v>
      </c>
      <c r="C736" s="40" t="s">
        <v>2119</v>
      </c>
      <c r="D736" s="78">
        <v>8265.0</v>
      </c>
      <c r="E736" s="79">
        <v>59963.41145038605</v>
      </c>
      <c r="F736" s="40" t="s">
        <v>1848</v>
      </c>
      <c r="G736" s="78">
        <v>6.71098173642961E7</v>
      </c>
      <c r="H736" s="78">
        <v>1.5288781150301762E7</v>
      </c>
      <c r="I736" s="80">
        <v>45412.0</v>
      </c>
      <c r="J736" s="80">
        <v>45426.0</v>
      </c>
      <c r="K736" s="79">
        <v>59481.187398433685</v>
      </c>
      <c r="L736" s="81"/>
      <c r="M736" s="81"/>
      <c r="N736" s="86"/>
      <c r="O736" s="61"/>
      <c r="P736" s="61"/>
      <c r="Q736" s="61"/>
      <c r="R736" s="61" t="str">
        <f t="shared" si="6"/>
        <v>2024</v>
      </c>
      <c r="S736" s="62">
        <f t="shared" si="7"/>
        <v>5</v>
      </c>
      <c r="T736" s="61" t="str">
        <f t="shared" si="8"/>
        <v>2024-Q2</v>
      </c>
      <c r="U736" s="63" t="str">
        <f t="shared" si="9"/>
        <v>2024-05</v>
      </c>
      <c r="V736" s="64" t="str">
        <f t="shared" si="10"/>
        <v>2024-H1</v>
      </c>
      <c r="W736" s="32"/>
      <c r="X736" s="32"/>
    </row>
    <row r="737">
      <c r="A737" s="77">
        <f>HYPERLINK("https://polkadot.subsquare.io/referenda/735", 735)</f>
        <v>735</v>
      </c>
      <c r="B737" s="40" t="s">
        <v>1265</v>
      </c>
      <c r="C737" s="40" t="s">
        <v>1851</v>
      </c>
      <c r="D737" s="78">
        <v>56016.0</v>
      </c>
      <c r="E737" s="79">
        <v>406401.7490386963</v>
      </c>
      <c r="F737" s="40" t="s">
        <v>1853</v>
      </c>
      <c r="G737" s="78">
        <v>5.509427683145718E7</v>
      </c>
      <c r="H737" s="78">
        <v>1.3819595597115599E7</v>
      </c>
      <c r="I737" s="80">
        <v>45413.0</v>
      </c>
      <c r="J737" s="80">
        <v>45435.0</v>
      </c>
      <c r="K737" s="79">
        <v>416094.5658416748</v>
      </c>
      <c r="L737" s="70" t="s">
        <v>81</v>
      </c>
      <c r="M737" s="71" t="s">
        <v>86</v>
      </c>
      <c r="N737" s="61"/>
      <c r="O737" s="86"/>
      <c r="P737" s="86"/>
      <c r="Q737" s="86"/>
      <c r="R737" s="61" t="str">
        <f t="shared" si="6"/>
        <v>2024</v>
      </c>
      <c r="S737" s="62">
        <f t="shared" si="7"/>
        <v>5</v>
      </c>
      <c r="T737" s="61" t="str">
        <f t="shared" si="8"/>
        <v>2024-Q2</v>
      </c>
      <c r="U737" s="63" t="str">
        <f t="shared" si="9"/>
        <v>2024-05</v>
      </c>
      <c r="V737" s="64" t="str">
        <f t="shared" si="10"/>
        <v>2024-H1</v>
      </c>
      <c r="W737" s="32"/>
      <c r="X737" s="32"/>
    </row>
    <row r="738">
      <c r="A738" s="77">
        <f>HYPERLINK("https://polkadot.subsquare.io/referenda/736", 736)</f>
        <v>736</v>
      </c>
      <c r="B738" s="40" t="s">
        <v>2240</v>
      </c>
      <c r="C738" s="40" t="s">
        <v>1846</v>
      </c>
      <c r="D738" s="78">
        <v>134627.0</v>
      </c>
      <c r="E738" s="79">
        <v>959494.6980743408</v>
      </c>
      <c r="F738" s="40" t="s">
        <v>1855</v>
      </c>
      <c r="G738" s="78">
        <v>1.5630059168483255E7</v>
      </c>
      <c r="H738" s="78">
        <v>3.0211255084919125E7</v>
      </c>
      <c r="I738" s="80">
        <v>45413.0</v>
      </c>
      <c r="J738" s="80">
        <v>45444.0</v>
      </c>
      <c r="K738" s="79">
        <v>967618.7876639366</v>
      </c>
      <c r="L738" s="81"/>
      <c r="M738" s="81"/>
      <c r="N738" s="86"/>
      <c r="O738" s="61"/>
      <c r="P738" s="61"/>
      <c r="Q738" s="61"/>
      <c r="R738" s="61" t="str">
        <f t="shared" si="6"/>
        <v>2024</v>
      </c>
      <c r="S738" s="62">
        <f t="shared" si="7"/>
        <v>6</v>
      </c>
      <c r="T738" s="61" t="str">
        <f t="shared" si="8"/>
        <v>2024-Q2</v>
      </c>
      <c r="U738" s="63" t="str">
        <f t="shared" si="9"/>
        <v>2024-06</v>
      </c>
      <c r="V738" s="64" t="str">
        <f t="shared" si="10"/>
        <v>2024-H1</v>
      </c>
      <c r="W738" s="32"/>
      <c r="X738" s="32"/>
    </row>
    <row r="739">
      <c r="A739" s="77">
        <f>HYPERLINK("https://polkadot.subsquare.io/referenda/737", 737)</f>
        <v>737</v>
      </c>
      <c r="B739" s="40" t="s">
        <v>1266</v>
      </c>
      <c r="C739" s="40" t="s">
        <v>1851</v>
      </c>
      <c r="D739" s="78">
        <v>9997.0</v>
      </c>
      <c r="E739" s="79">
        <v>71249.2181854248</v>
      </c>
      <c r="F739" s="40" t="s">
        <v>1848</v>
      </c>
      <c r="G739" s="78">
        <v>2.2666868331777394E7</v>
      </c>
      <c r="H739" s="78">
        <v>33271.7292758749</v>
      </c>
      <c r="I739" s="80">
        <v>45414.0</v>
      </c>
      <c r="J739" s="80">
        <v>45439.0</v>
      </c>
      <c r="K739" s="79">
        <v>71702.70205640793</v>
      </c>
      <c r="L739" s="70" t="s">
        <v>81</v>
      </c>
      <c r="M739" s="70" t="s">
        <v>88</v>
      </c>
      <c r="N739" s="61"/>
      <c r="O739" s="86"/>
      <c r="P739" s="86"/>
      <c r="Q739" s="86"/>
      <c r="R739" s="61" t="str">
        <f t="shared" si="6"/>
        <v>2024</v>
      </c>
      <c r="S739" s="62">
        <f t="shared" si="7"/>
        <v>5</v>
      </c>
      <c r="T739" s="61" t="str">
        <f t="shared" si="8"/>
        <v>2024-Q2</v>
      </c>
      <c r="U739" s="63" t="str">
        <f t="shared" si="9"/>
        <v>2024-05</v>
      </c>
      <c r="V739" s="64" t="str">
        <f t="shared" si="10"/>
        <v>2024-H1</v>
      </c>
      <c r="W739" s="32"/>
      <c r="X739" s="32"/>
    </row>
    <row r="740">
      <c r="A740" s="77">
        <f>HYPERLINK("https://polkadot.subsquare.io/referenda/738", 738)</f>
        <v>738</v>
      </c>
      <c r="B740" s="40" t="s">
        <v>1267</v>
      </c>
      <c r="C740" s="40" t="s">
        <v>1851</v>
      </c>
      <c r="D740" s="78">
        <v>10000.0</v>
      </c>
      <c r="E740" s="79">
        <v>69967.38910675049</v>
      </c>
      <c r="F740" s="40" t="s">
        <v>1848</v>
      </c>
      <c r="G740" s="78">
        <v>3.651738030086333E7</v>
      </c>
      <c r="H740" s="78">
        <v>41535.3464953539</v>
      </c>
      <c r="I740" s="80">
        <v>45416.0</v>
      </c>
      <c r="J740" s="80">
        <v>45436.0</v>
      </c>
      <c r="K740" s="79">
        <v>76282.91130065918</v>
      </c>
      <c r="L740" s="81" t="s">
        <v>48</v>
      </c>
      <c r="M740" s="81" t="s">
        <v>131</v>
      </c>
      <c r="N740" s="86"/>
      <c r="O740" s="61"/>
      <c r="P740" s="61"/>
      <c r="Q740" s="61"/>
      <c r="R740" s="61" t="str">
        <f t="shared" si="6"/>
        <v>2024</v>
      </c>
      <c r="S740" s="62">
        <f t="shared" si="7"/>
        <v>5</v>
      </c>
      <c r="T740" s="61" t="str">
        <f t="shared" si="8"/>
        <v>2024-Q2</v>
      </c>
      <c r="U740" s="63" t="str">
        <f t="shared" si="9"/>
        <v>2024-05</v>
      </c>
      <c r="V740" s="64" t="str">
        <f t="shared" si="10"/>
        <v>2024-H1</v>
      </c>
      <c r="W740" s="32"/>
      <c r="X740" s="32"/>
    </row>
    <row r="741">
      <c r="A741" s="77">
        <f>HYPERLINK("https://polkadot.subsquare.io/referenda/739", 739)</f>
        <v>739</v>
      </c>
      <c r="B741" s="40" t="s">
        <v>2241</v>
      </c>
      <c r="C741" s="40" t="s">
        <v>1846</v>
      </c>
      <c r="D741" s="78">
        <v>0.0</v>
      </c>
      <c r="E741" s="79">
        <v>0.0</v>
      </c>
      <c r="F741" s="40" t="s">
        <v>2221</v>
      </c>
      <c r="G741" s="78">
        <v>4.557832235378346E7</v>
      </c>
      <c r="H741" s="78">
        <v>7.156896590374537E7</v>
      </c>
      <c r="I741" s="80">
        <v>45417.0</v>
      </c>
      <c r="J741" s="80">
        <v>45445.0</v>
      </c>
      <c r="K741" s="79">
        <v>0.0</v>
      </c>
      <c r="L741" s="70"/>
      <c r="M741" s="70"/>
      <c r="N741" s="61"/>
      <c r="O741" s="86"/>
      <c r="P741" s="86"/>
      <c r="Q741" s="86"/>
      <c r="R741" s="61" t="str">
        <f t="shared" si="6"/>
        <v>2024</v>
      </c>
      <c r="S741" s="62">
        <f t="shared" si="7"/>
        <v>6</v>
      </c>
      <c r="T741" s="61" t="str">
        <f t="shared" si="8"/>
        <v>2024-Q2</v>
      </c>
      <c r="U741" s="63" t="str">
        <f t="shared" si="9"/>
        <v>2024-06</v>
      </c>
      <c r="V741" s="64" t="str">
        <f t="shared" si="10"/>
        <v>2024-H1</v>
      </c>
      <c r="W741" s="32"/>
      <c r="X741" s="32"/>
    </row>
    <row r="742">
      <c r="A742" s="77">
        <f>HYPERLINK("https://polkadot.subsquare.io/referenda/740", 740)</f>
        <v>740</v>
      </c>
      <c r="B742" s="40" t="s">
        <v>2216</v>
      </c>
      <c r="C742" s="40" t="s">
        <v>1851</v>
      </c>
      <c r="D742" s="78">
        <v>0.0</v>
      </c>
      <c r="E742" s="79">
        <v>0.0</v>
      </c>
      <c r="F742" s="40" t="s">
        <v>1852</v>
      </c>
      <c r="G742" s="78">
        <v>1.2750026550196104E8</v>
      </c>
      <c r="H742" s="78">
        <v>10.0</v>
      </c>
      <c r="I742" s="80">
        <v>45417.0</v>
      </c>
      <c r="J742" s="80">
        <v>45427.0</v>
      </c>
      <c r="K742" s="79">
        <v>0.0</v>
      </c>
      <c r="L742" s="81"/>
      <c r="M742" s="81"/>
      <c r="N742" s="86"/>
      <c r="O742" s="61"/>
      <c r="P742" s="61"/>
      <c r="Q742" s="61"/>
      <c r="R742" s="61" t="str">
        <f t="shared" si="6"/>
        <v>2024</v>
      </c>
      <c r="S742" s="62">
        <f t="shared" si="7"/>
        <v>5</v>
      </c>
      <c r="T742" s="61" t="str">
        <f t="shared" si="8"/>
        <v>2024-Q2</v>
      </c>
      <c r="U742" s="63" t="str">
        <f t="shared" si="9"/>
        <v>2024-05</v>
      </c>
      <c r="V742" s="64" t="str">
        <f t="shared" si="10"/>
        <v>2024-H1</v>
      </c>
      <c r="W742" s="32"/>
      <c r="X742" s="32"/>
    </row>
    <row r="743">
      <c r="A743" s="77">
        <f>HYPERLINK("https://polkadot.subsquare.io/referenda/741", 741)</f>
        <v>741</v>
      </c>
      <c r="B743" s="40" t="s">
        <v>2242</v>
      </c>
      <c r="C743" s="40" t="s">
        <v>1851</v>
      </c>
      <c r="D743" s="78">
        <v>0.0</v>
      </c>
      <c r="E743" s="79">
        <v>0.0</v>
      </c>
      <c r="F743" s="40" t="s">
        <v>1852</v>
      </c>
      <c r="G743" s="78">
        <v>8.03343693584753E7</v>
      </c>
      <c r="H743" s="78">
        <v>5.0</v>
      </c>
      <c r="I743" s="80">
        <v>45417.0</v>
      </c>
      <c r="J743" s="80">
        <v>45439.0</v>
      </c>
      <c r="K743" s="79">
        <v>0.0</v>
      </c>
      <c r="L743" s="70"/>
      <c r="M743" s="70"/>
      <c r="N743" s="61" t="s">
        <v>1881</v>
      </c>
      <c r="O743" s="86"/>
      <c r="P743" s="86"/>
      <c r="Q743" s="86"/>
      <c r="R743" s="61" t="str">
        <f t="shared" si="6"/>
        <v>2024</v>
      </c>
      <c r="S743" s="62">
        <f t="shared" si="7"/>
        <v>5</v>
      </c>
      <c r="T743" s="61" t="str">
        <f t="shared" si="8"/>
        <v>2024-Q2</v>
      </c>
      <c r="U743" s="63" t="str">
        <f t="shared" si="9"/>
        <v>2024-05</v>
      </c>
      <c r="V743" s="64" t="str">
        <f t="shared" si="10"/>
        <v>2024-H1</v>
      </c>
      <c r="W743" s="32"/>
      <c r="X743" s="32"/>
    </row>
    <row r="744">
      <c r="A744" s="77">
        <f>HYPERLINK("https://polkadot.subsquare.io/referenda/742", 742)</f>
        <v>742</v>
      </c>
      <c r="B744" s="40" t="s">
        <v>1268</v>
      </c>
      <c r="C744" s="40" t="s">
        <v>1851</v>
      </c>
      <c r="D744" s="78">
        <v>138218.0</v>
      </c>
      <c r="E744" s="79">
        <v>966160.2652339935</v>
      </c>
      <c r="F744" s="40" t="s">
        <v>1855</v>
      </c>
      <c r="G744" s="78">
        <v>7.219814847494596E7</v>
      </c>
      <c r="H744" s="78">
        <v>344242.7006305647</v>
      </c>
      <c r="I744" s="80">
        <v>45417.0</v>
      </c>
      <c r="J744" s="80">
        <v>45444.0</v>
      </c>
      <c r="K744" s="79">
        <v>968942.6153392792</v>
      </c>
      <c r="L744" s="81" t="s">
        <v>81</v>
      </c>
      <c r="M744" s="81" t="s">
        <v>87</v>
      </c>
      <c r="N744" s="86"/>
      <c r="O744" s="61"/>
      <c r="P744" s="61"/>
      <c r="Q744" s="61"/>
      <c r="R744" s="61" t="str">
        <f t="shared" si="6"/>
        <v>2024</v>
      </c>
      <c r="S744" s="62">
        <f t="shared" si="7"/>
        <v>6</v>
      </c>
      <c r="T744" s="61" t="str">
        <f t="shared" si="8"/>
        <v>2024-Q2</v>
      </c>
      <c r="U744" s="63" t="str">
        <f t="shared" si="9"/>
        <v>2024-06</v>
      </c>
      <c r="V744" s="64" t="str">
        <f t="shared" si="10"/>
        <v>2024-H1</v>
      </c>
      <c r="W744" s="32"/>
      <c r="X744" s="32"/>
    </row>
    <row r="745">
      <c r="A745" s="77">
        <f>HYPERLINK("https://polkadot.subsquare.io/referenda/743", 743)</f>
        <v>743</v>
      </c>
      <c r="B745" s="40" t="s">
        <v>2243</v>
      </c>
      <c r="C745" s="40" t="s">
        <v>1846</v>
      </c>
      <c r="D745" s="78">
        <v>0.0</v>
      </c>
      <c r="E745" s="79">
        <v>0.0</v>
      </c>
      <c r="F745" s="40" t="s">
        <v>2221</v>
      </c>
      <c r="G745" s="78">
        <v>6.76384267371569E7</v>
      </c>
      <c r="H745" s="78">
        <v>8.801249470926648E7</v>
      </c>
      <c r="I745" s="80">
        <v>45417.0</v>
      </c>
      <c r="J745" s="80">
        <v>45445.0</v>
      </c>
      <c r="K745" s="79">
        <v>0.0</v>
      </c>
      <c r="L745" s="70"/>
      <c r="M745" s="70"/>
      <c r="N745" s="61"/>
      <c r="O745" s="86"/>
      <c r="P745" s="86"/>
      <c r="Q745" s="86"/>
      <c r="R745" s="61" t="str">
        <f t="shared" si="6"/>
        <v>2024</v>
      </c>
      <c r="S745" s="62">
        <f t="shared" si="7"/>
        <v>6</v>
      </c>
      <c r="T745" s="61" t="str">
        <f t="shared" si="8"/>
        <v>2024-Q2</v>
      </c>
      <c r="U745" s="63" t="str">
        <f t="shared" si="9"/>
        <v>2024-06</v>
      </c>
      <c r="V745" s="64" t="str">
        <f t="shared" si="10"/>
        <v>2024-H1</v>
      </c>
      <c r="W745" s="32"/>
      <c r="X745" s="32"/>
    </row>
    <row r="746">
      <c r="A746" s="77">
        <f>HYPERLINK("https://polkadot.subsquare.io/referenda/744", 744)</f>
        <v>744</v>
      </c>
      <c r="B746" s="40" t="s">
        <v>2244</v>
      </c>
      <c r="C746" s="40" t="s">
        <v>1846</v>
      </c>
      <c r="D746" s="78">
        <v>3500.0</v>
      </c>
      <c r="E746" s="79">
        <v>24465.416431427002</v>
      </c>
      <c r="F746" s="40" t="s">
        <v>1848</v>
      </c>
      <c r="G746" s="78">
        <v>3551695.3569179988</v>
      </c>
      <c r="H746" s="78">
        <v>1.9806581610338558E7</v>
      </c>
      <c r="I746" s="80">
        <v>45418.0</v>
      </c>
      <c r="J746" s="80">
        <v>45446.0</v>
      </c>
      <c r="K746" s="79">
        <v>24997.04909324646</v>
      </c>
      <c r="L746" s="81"/>
      <c r="M746" s="81"/>
      <c r="N746" s="86"/>
      <c r="O746" s="61"/>
      <c r="P746" s="61"/>
      <c r="Q746" s="61"/>
      <c r="R746" s="61" t="str">
        <f t="shared" si="6"/>
        <v>2024</v>
      </c>
      <c r="S746" s="62">
        <f t="shared" si="7"/>
        <v>6</v>
      </c>
      <c r="T746" s="61" t="str">
        <f t="shared" si="8"/>
        <v>2024-Q2</v>
      </c>
      <c r="U746" s="63" t="str">
        <f t="shared" si="9"/>
        <v>2024-06</v>
      </c>
      <c r="V746" s="64" t="str">
        <f t="shared" si="10"/>
        <v>2024-H1</v>
      </c>
      <c r="W746" s="32"/>
      <c r="X746" s="32"/>
    </row>
    <row r="747">
      <c r="A747" s="77">
        <f>HYPERLINK("https://polkadot.subsquare.io/referenda/745", 745)</f>
        <v>745</v>
      </c>
      <c r="B747" s="40" t="s">
        <v>2245</v>
      </c>
      <c r="C747" s="40" t="s">
        <v>1861</v>
      </c>
      <c r="D747" s="78">
        <v>2858.213094</v>
      </c>
      <c r="E747" s="79">
        <v>19979.24959841926</v>
      </c>
      <c r="F747" s="40" t="s">
        <v>1848</v>
      </c>
      <c r="G747" s="78">
        <v>2.0</v>
      </c>
      <c r="H747" s="78">
        <v>2.330219725503307E7</v>
      </c>
      <c r="I747" s="80">
        <v>45418.0</v>
      </c>
      <c r="J747" s="80">
        <v>45432.0</v>
      </c>
      <c r="K747" s="79">
        <v>21306.466939155554</v>
      </c>
      <c r="L747" s="70"/>
      <c r="M747" s="70"/>
      <c r="N747" s="61"/>
      <c r="O747" s="86"/>
      <c r="P747" s="86"/>
      <c r="Q747" s="86"/>
      <c r="R747" s="61" t="str">
        <f t="shared" si="6"/>
        <v>2024</v>
      </c>
      <c r="S747" s="62">
        <f t="shared" si="7"/>
        <v>5</v>
      </c>
      <c r="T747" s="61" t="str">
        <f t="shared" si="8"/>
        <v>2024-Q2</v>
      </c>
      <c r="U747" s="63" t="str">
        <f t="shared" si="9"/>
        <v>2024-05</v>
      </c>
      <c r="V747" s="64" t="str">
        <f t="shared" si="10"/>
        <v>2024-H1</v>
      </c>
      <c r="W747" s="32"/>
      <c r="X747" s="32"/>
    </row>
    <row r="748">
      <c r="A748" s="77">
        <f>HYPERLINK("https://polkadot.subsquare.io/referenda/746", 746)</f>
        <v>746</v>
      </c>
      <c r="B748" s="40" t="s">
        <v>2246</v>
      </c>
      <c r="C748" s="40" t="s">
        <v>1861</v>
      </c>
      <c r="D748" s="78">
        <v>0.0</v>
      </c>
      <c r="E748" s="79">
        <v>0.0</v>
      </c>
      <c r="F748" s="40" t="s">
        <v>2221</v>
      </c>
      <c r="G748" s="78">
        <v>0.0</v>
      </c>
      <c r="H748" s="78">
        <v>1.751666488923292E7</v>
      </c>
      <c r="I748" s="80">
        <v>45418.0</v>
      </c>
      <c r="J748" s="80">
        <v>45432.0</v>
      </c>
      <c r="K748" s="79">
        <v>0.0</v>
      </c>
      <c r="L748" s="81"/>
      <c r="M748" s="81"/>
      <c r="N748" s="86"/>
      <c r="O748" s="61"/>
      <c r="P748" s="61"/>
      <c r="Q748" s="61"/>
      <c r="R748" s="61" t="str">
        <f t="shared" si="6"/>
        <v>2024</v>
      </c>
      <c r="S748" s="62">
        <f t="shared" si="7"/>
        <v>5</v>
      </c>
      <c r="T748" s="61" t="str">
        <f t="shared" si="8"/>
        <v>2024-Q2</v>
      </c>
      <c r="U748" s="63" t="str">
        <f t="shared" si="9"/>
        <v>2024-05</v>
      </c>
      <c r="V748" s="64" t="str">
        <f t="shared" si="10"/>
        <v>2024-H1</v>
      </c>
      <c r="W748" s="32"/>
      <c r="X748" s="32"/>
    </row>
    <row r="749">
      <c r="A749" s="77">
        <f>HYPERLINK("https://polkadot.subsquare.io/referenda/747", 747)</f>
        <v>747</v>
      </c>
      <c r="B749" s="40" t="s">
        <v>2247</v>
      </c>
      <c r="C749" s="40" t="s">
        <v>1851</v>
      </c>
      <c r="D749" s="78">
        <v>0.0</v>
      </c>
      <c r="E749" s="79">
        <v>0.0</v>
      </c>
      <c r="F749" s="40" t="s">
        <v>2221</v>
      </c>
      <c r="G749" s="78">
        <v>6.922501980393365E7</v>
      </c>
      <c r="H749" s="78">
        <v>2.05555966462674E7</v>
      </c>
      <c r="I749" s="80">
        <v>45418.0</v>
      </c>
      <c r="J749" s="80">
        <v>45446.0</v>
      </c>
      <c r="K749" s="79">
        <v>0.0</v>
      </c>
      <c r="L749" s="70"/>
      <c r="M749" s="70"/>
      <c r="N749" s="61"/>
      <c r="O749" s="86"/>
      <c r="P749" s="86"/>
      <c r="Q749" s="86"/>
      <c r="R749" s="61" t="str">
        <f t="shared" si="6"/>
        <v>2024</v>
      </c>
      <c r="S749" s="62">
        <f t="shared" si="7"/>
        <v>6</v>
      </c>
      <c r="T749" s="61" t="str">
        <f t="shared" si="8"/>
        <v>2024-Q2</v>
      </c>
      <c r="U749" s="63" t="str">
        <f t="shared" si="9"/>
        <v>2024-06</v>
      </c>
      <c r="V749" s="64" t="str">
        <f t="shared" si="10"/>
        <v>2024-H1</v>
      </c>
      <c r="W749" s="32"/>
      <c r="X749" s="32"/>
    </row>
    <row r="750">
      <c r="A750" s="77">
        <f>HYPERLINK("https://polkadot.subsquare.io/referenda/748", 748)</f>
        <v>748</v>
      </c>
      <c r="B750" s="40" t="s">
        <v>2248</v>
      </c>
      <c r="C750" s="40" t="s">
        <v>1851</v>
      </c>
      <c r="D750" s="78">
        <v>50000.0</v>
      </c>
      <c r="E750" s="79">
        <v>352505.9938430786</v>
      </c>
      <c r="F750" s="40" t="s">
        <v>1853</v>
      </c>
      <c r="G750" s="78">
        <v>2.0151109116747275E7</v>
      </c>
      <c r="H750" s="78">
        <v>1.705371810116809E7</v>
      </c>
      <c r="I750" s="80">
        <v>45418.0</v>
      </c>
      <c r="J750" s="80">
        <v>45446.0</v>
      </c>
      <c r="K750" s="79">
        <v>357100.7013320923</v>
      </c>
      <c r="L750" s="81" t="s">
        <v>47</v>
      </c>
      <c r="M750" s="81" t="s">
        <v>2077</v>
      </c>
      <c r="N750" s="86" t="s">
        <v>1881</v>
      </c>
      <c r="O750" s="61"/>
      <c r="P750" s="61"/>
      <c r="Q750" s="61"/>
      <c r="R750" s="61" t="str">
        <f t="shared" si="6"/>
        <v>2024</v>
      </c>
      <c r="S750" s="62">
        <f t="shared" si="7"/>
        <v>6</v>
      </c>
      <c r="T750" s="61" t="str">
        <f t="shared" si="8"/>
        <v>2024-Q2</v>
      </c>
      <c r="U750" s="63" t="str">
        <f t="shared" si="9"/>
        <v>2024-06</v>
      </c>
      <c r="V750" s="64" t="str">
        <f t="shared" si="10"/>
        <v>2024-H1</v>
      </c>
      <c r="W750" s="32"/>
      <c r="X750" s="32"/>
    </row>
    <row r="751">
      <c r="A751" s="77">
        <f>HYPERLINK("https://polkadot.subsquare.io/referenda/749", 749)</f>
        <v>749</v>
      </c>
      <c r="B751" s="40" t="s">
        <v>1269</v>
      </c>
      <c r="C751" s="40" t="s">
        <v>1851</v>
      </c>
      <c r="D751" s="78">
        <v>75142.0</v>
      </c>
      <c r="E751" s="79">
        <v>529760.1077871323</v>
      </c>
      <c r="F751" s="40" t="s">
        <v>1853</v>
      </c>
      <c r="G751" s="78">
        <v>2.9200896385980844E7</v>
      </c>
      <c r="H751" s="78">
        <v>31152.6</v>
      </c>
      <c r="I751" s="80">
        <v>45418.0</v>
      </c>
      <c r="J751" s="80">
        <v>45444.0</v>
      </c>
      <c r="K751" s="79">
        <v>540075.9947309494</v>
      </c>
      <c r="L751" s="70" t="s">
        <v>46</v>
      </c>
      <c r="M751" s="70" t="s">
        <v>102</v>
      </c>
      <c r="N751" s="61"/>
      <c r="O751" s="86"/>
      <c r="P751" s="86"/>
      <c r="Q751" s="86"/>
      <c r="R751" s="61" t="str">
        <f t="shared" si="6"/>
        <v>2024</v>
      </c>
      <c r="S751" s="62">
        <f t="shared" si="7"/>
        <v>6</v>
      </c>
      <c r="T751" s="61" t="str">
        <f t="shared" si="8"/>
        <v>2024-Q2</v>
      </c>
      <c r="U751" s="63" t="str">
        <f t="shared" si="9"/>
        <v>2024-06</v>
      </c>
      <c r="V751" s="64" t="str">
        <f t="shared" si="10"/>
        <v>2024-H1</v>
      </c>
      <c r="W751" s="32"/>
      <c r="X751" s="32"/>
    </row>
    <row r="752">
      <c r="A752" s="77">
        <f>HYPERLINK("https://polkadot.subsquare.io/referenda/750", 750)</f>
        <v>750</v>
      </c>
      <c r="B752" s="40" t="s">
        <v>2249</v>
      </c>
      <c r="C752" s="40" t="s">
        <v>1851</v>
      </c>
      <c r="D752" s="78">
        <v>0.0</v>
      </c>
      <c r="E752" s="79">
        <v>0.0</v>
      </c>
      <c r="F752" s="40" t="s">
        <v>1855</v>
      </c>
      <c r="G752" s="78">
        <v>3.795721278723195E7</v>
      </c>
      <c r="H752" s="78">
        <v>9110.0</v>
      </c>
      <c r="I752" s="80">
        <v>45418.0</v>
      </c>
      <c r="J752" s="80">
        <v>45449.0</v>
      </c>
      <c r="K752" s="79">
        <v>0.0</v>
      </c>
      <c r="L752" s="81"/>
      <c r="M752" s="81"/>
      <c r="N752" s="86"/>
      <c r="O752" s="61"/>
      <c r="P752" s="61"/>
      <c r="Q752" s="61"/>
      <c r="R752" s="61" t="str">
        <f t="shared" si="6"/>
        <v>2024</v>
      </c>
      <c r="S752" s="62">
        <f t="shared" si="7"/>
        <v>6</v>
      </c>
      <c r="T752" s="61" t="str">
        <f t="shared" si="8"/>
        <v>2024-Q2</v>
      </c>
      <c r="U752" s="63" t="str">
        <f t="shared" si="9"/>
        <v>2024-06</v>
      </c>
      <c r="V752" s="64" t="str">
        <f t="shared" si="10"/>
        <v>2024-H1</v>
      </c>
      <c r="W752" s="32"/>
      <c r="X752" s="32"/>
    </row>
    <row r="753">
      <c r="A753" s="77">
        <f>HYPERLINK("https://polkadot.subsquare.io/referenda/751", 751)</f>
        <v>751</v>
      </c>
      <c r="B753" s="40" t="s">
        <v>1270</v>
      </c>
      <c r="C753" s="40" t="s">
        <v>1851</v>
      </c>
      <c r="D753" s="78">
        <v>7873.0</v>
      </c>
      <c r="E753" s="79">
        <v>55505.59379053116</v>
      </c>
      <c r="F753" s="40" t="s">
        <v>1848</v>
      </c>
      <c r="G753" s="78">
        <v>4.140273258308712E7</v>
      </c>
      <c r="H753" s="78">
        <v>2991866.763655154</v>
      </c>
      <c r="I753" s="80">
        <v>45418.0</v>
      </c>
      <c r="J753" s="80">
        <v>45440.0</v>
      </c>
      <c r="K753" s="79">
        <v>55094.15142440796</v>
      </c>
      <c r="L753" s="70" t="s">
        <v>81</v>
      </c>
      <c r="M753" s="71" t="s">
        <v>86</v>
      </c>
      <c r="N753" s="61"/>
      <c r="O753" s="86"/>
      <c r="P753" s="86"/>
      <c r="Q753" s="86"/>
      <c r="R753" s="61" t="str">
        <f t="shared" si="6"/>
        <v>2024</v>
      </c>
      <c r="S753" s="62">
        <f t="shared" si="7"/>
        <v>5</v>
      </c>
      <c r="T753" s="61" t="str">
        <f t="shared" si="8"/>
        <v>2024-Q2</v>
      </c>
      <c r="U753" s="63" t="str">
        <f t="shared" si="9"/>
        <v>2024-05</v>
      </c>
      <c r="V753" s="64" t="str">
        <f t="shared" si="10"/>
        <v>2024-H1</v>
      </c>
      <c r="W753" s="32"/>
      <c r="X753" s="32"/>
    </row>
    <row r="754">
      <c r="A754" s="77">
        <f>HYPERLINK("https://polkadot.subsquare.io/referenda/752", 752)</f>
        <v>752</v>
      </c>
      <c r="B754" s="40" t="s">
        <v>2250</v>
      </c>
      <c r="C754" s="40" t="s">
        <v>1846</v>
      </c>
      <c r="D754" s="78">
        <v>0.0</v>
      </c>
      <c r="E754" s="79">
        <v>0.0</v>
      </c>
      <c r="F754" s="40" t="s">
        <v>2221</v>
      </c>
      <c r="G754" s="78">
        <v>46210.2</v>
      </c>
      <c r="H754" s="78">
        <v>2.215065154657079E7</v>
      </c>
      <c r="I754" s="80">
        <v>45419.0</v>
      </c>
      <c r="J754" s="80">
        <v>45447.0</v>
      </c>
      <c r="K754" s="79">
        <v>0.0</v>
      </c>
      <c r="L754" s="81"/>
      <c r="M754" s="81"/>
      <c r="N754" s="86"/>
      <c r="O754" s="61"/>
      <c r="P754" s="61"/>
      <c r="Q754" s="61"/>
      <c r="R754" s="61" t="str">
        <f t="shared" si="6"/>
        <v>2024</v>
      </c>
      <c r="S754" s="62">
        <f t="shared" si="7"/>
        <v>6</v>
      </c>
      <c r="T754" s="61" t="str">
        <f t="shared" si="8"/>
        <v>2024-Q2</v>
      </c>
      <c r="U754" s="63" t="str">
        <f t="shared" si="9"/>
        <v>2024-06</v>
      </c>
      <c r="V754" s="64" t="str">
        <f t="shared" si="10"/>
        <v>2024-H1</v>
      </c>
      <c r="W754" s="32"/>
      <c r="X754" s="32"/>
    </row>
    <row r="755">
      <c r="A755" s="77">
        <f>HYPERLINK("https://polkadot.subsquare.io/referenda/753", 753)</f>
        <v>753</v>
      </c>
      <c r="B755" s="40" t="s">
        <v>1271</v>
      </c>
      <c r="C755" s="40" t="s">
        <v>1851</v>
      </c>
      <c r="D755" s="78">
        <v>694.2</v>
      </c>
      <c r="E755" s="79">
        <v>4685.823518371582</v>
      </c>
      <c r="F755" s="40" t="s">
        <v>1869</v>
      </c>
      <c r="G755" s="78">
        <v>1.6829807692869313E7</v>
      </c>
      <c r="H755" s="78">
        <v>50678.1</v>
      </c>
      <c r="I755" s="80">
        <v>45419.0</v>
      </c>
      <c r="J755" s="80">
        <v>45423.0</v>
      </c>
      <c r="K755" s="79">
        <v>4627.188558769227</v>
      </c>
      <c r="L755" s="70" t="s">
        <v>81</v>
      </c>
      <c r="M755" s="70" t="s">
        <v>88</v>
      </c>
      <c r="N755" s="61"/>
      <c r="O755" s="86"/>
      <c r="P755" s="86"/>
      <c r="Q755" s="86"/>
      <c r="R755" s="61" t="str">
        <f t="shared" si="6"/>
        <v>2024</v>
      </c>
      <c r="S755" s="62">
        <f t="shared" si="7"/>
        <v>5</v>
      </c>
      <c r="T755" s="61" t="str">
        <f t="shared" si="8"/>
        <v>2024-Q2</v>
      </c>
      <c r="U755" s="63" t="str">
        <f t="shared" si="9"/>
        <v>2024-05</v>
      </c>
      <c r="V755" s="64" t="str">
        <f t="shared" si="10"/>
        <v>2024-H1</v>
      </c>
      <c r="W755" s="32"/>
      <c r="X755" s="32"/>
    </row>
    <row r="756">
      <c r="A756" s="77">
        <f>HYPERLINK("https://polkadot.subsquare.io/referenda/754", 754)</f>
        <v>754</v>
      </c>
      <c r="B756" s="40" t="s">
        <v>2251</v>
      </c>
      <c r="C756" s="40" t="s">
        <v>1846</v>
      </c>
      <c r="D756" s="78">
        <v>39713.0</v>
      </c>
      <c r="E756" s="79">
        <v>268061.2350692749</v>
      </c>
      <c r="F756" s="40" t="s">
        <v>1853</v>
      </c>
      <c r="G756" s="78">
        <v>22559.5610012343</v>
      </c>
      <c r="H756" s="78">
        <v>3.5088982599753566E7</v>
      </c>
      <c r="I756" s="80">
        <v>45419.0</v>
      </c>
      <c r="J756" s="80">
        <v>45448.0</v>
      </c>
      <c r="K756" s="79">
        <v>264399.8936829567</v>
      </c>
      <c r="L756" s="81"/>
      <c r="M756" s="81"/>
      <c r="N756" s="86"/>
      <c r="O756" s="61"/>
      <c r="P756" s="61"/>
      <c r="Q756" s="61"/>
      <c r="R756" s="61" t="str">
        <f t="shared" si="6"/>
        <v>2024</v>
      </c>
      <c r="S756" s="62">
        <f t="shared" si="7"/>
        <v>6</v>
      </c>
      <c r="T756" s="61" t="str">
        <f t="shared" si="8"/>
        <v>2024-Q2</v>
      </c>
      <c r="U756" s="63" t="str">
        <f t="shared" si="9"/>
        <v>2024-06</v>
      </c>
      <c r="V756" s="64" t="str">
        <f t="shared" si="10"/>
        <v>2024-H1</v>
      </c>
      <c r="W756" s="32"/>
      <c r="X756" s="32"/>
    </row>
    <row r="757">
      <c r="A757" s="77">
        <f>HYPERLINK("https://polkadot.subsquare.io/referenda/755", 755)</f>
        <v>755</v>
      </c>
      <c r="B757" s="40" t="s">
        <v>2252</v>
      </c>
      <c r="C757" s="40" t="s">
        <v>1851</v>
      </c>
      <c r="D757" s="78">
        <v>0.0</v>
      </c>
      <c r="E757" s="79">
        <v>0.0</v>
      </c>
      <c r="F757" s="40" t="s">
        <v>2221</v>
      </c>
      <c r="G757" s="78">
        <v>4.3775773303951435E7</v>
      </c>
      <c r="H757" s="78">
        <v>4354486.217597928</v>
      </c>
      <c r="I757" s="80">
        <v>45420.0</v>
      </c>
      <c r="J757" s="80">
        <v>45461.0</v>
      </c>
      <c r="K757" s="79">
        <v>0.0</v>
      </c>
      <c r="L757" s="70"/>
      <c r="M757" s="70"/>
      <c r="N757" s="61"/>
      <c r="O757" s="86"/>
      <c r="P757" s="86"/>
      <c r="Q757" s="86"/>
      <c r="R757" s="61" t="str">
        <f t="shared" si="6"/>
        <v>2024</v>
      </c>
      <c r="S757" s="62">
        <f t="shared" si="7"/>
        <v>6</v>
      </c>
      <c r="T757" s="61" t="str">
        <f t="shared" si="8"/>
        <v>2024-Q2</v>
      </c>
      <c r="U757" s="63" t="str">
        <f t="shared" si="9"/>
        <v>2024-06</v>
      </c>
      <c r="V757" s="64" t="str">
        <f t="shared" si="10"/>
        <v>2024-H1</v>
      </c>
      <c r="W757" s="32"/>
      <c r="X757" s="32"/>
    </row>
    <row r="758">
      <c r="A758" s="77">
        <f>HYPERLINK("https://polkadot.subsquare.io/referenda/756", 756)</f>
        <v>756</v>
      </c>
      <c r="B758" s="40" t="s">
        <v>1272</v>
      </c>
      <c r="C758" s="40" t="s">
        <v>1851</v>
      </c>
      <c r="D758" s="78">
        <v>10.222279992449682</v>
      </c>
      <c r="E758" s="79">
        <v>69.0</v>
      </c>
      <c r="F758" s="40" t="s">
        <v>982</v>
      </c>
      <c r="G758" s="78">
        <v>2.852289554537966E7</v>
      </c>
      <c r="H758" s="78">
        <v>10.0</v>
      </c>
      <c r="I758" s="80">
        <v>45420.0</v>
      </c>
      <c r="J758" s="80">
        <v>45423.0</v>
      </c>
      <c r="K758" s="79">
        <v>66.22914888819314</v>
      </c>
      <c r="L758" s="81" t="s">
        <v>49</v>
      </c>
      <c r="M758" s="81" t="s">
        <v>108</v>
      </c>
      <c r="N758" s="86"/>
      <c r="O758" s="61"/>
      <c r="P758" s="61"/>
      <c r="Q758" s="61"/>
      <c r="R758" s="61" t="str">
        <f t="shared" si="6"/>
        <v>2024</v>
      </c>
      <c r="S758" s="62">
        <f t="shared" si="7"/>
        <v>5</v>
      </c>
      <c r="T758" s="61" t="str">
        <f t="shared" si="8"/>
        <v>2024-Q2</v>
      </c>
      <c r="U758" s="63" t="str">
        <f t="shared" si="9"/>
        <v>2024-05</v>
      </c>
      <c r="V758" s="64" t="str">
        <f t="shared" si="10"/>
        <v>2024-H1</v>
      </c>
      <c r="W758" s="32"/>
      <c r="X758" s="32"/>
    </row>
    <row r="759">
      <c r="A759" s="77">
        <f>HYPERLINK("https://polkadot.subsquare.io/referenda/757", 757)</f>
        <v>757</v>
      </c>
      <c r="B759" s="40" t="s">
        <v>2246</v>
      </c>
      <c r="C759" s="40" t="s">
        <v>1846</v>
      </c>
      <c r="D759" s="78">
        <v>0.0</v>
      </c>
      <c r="E759" s="79">
        <v>0.0</v>
      </c>
      <c r="F759" s="40" t="s">
        <v>1866</v>
      </c>
      <c r="G759" s="78">
        <v>10009.2480460108</v>
      </c>
      <c r="H759" s="78">
        <v>4168430.616260817</v>
      </c>
      <c r="I759" s="80">
        <v>45420.0</v>
      </c>
      <c r="J759" s="80">
        <v>45448.0</v>
      </c>
      <c r="K759" s="79">
        <v>0.0</v>
      </c>
      <c r="L759" s="70"/>
      <c r="M759" s="70"/>
      <c r="N759" s="61"/>
      <c r="O759" s="86"/>
      <c r="P759" s="86"/>
      <c r="Q759" s="86"/>
      <c r="R759" s="61" t="str">
        <f t="shared" si="6"/>
        <v>2024</v>
      </c>
      <c r="S759" s="62">
        <f t="shared" si="7"/>
        <v>6</v>
      </c>
      <c r="T759" s="61" t="str">
        <f t="shared" si="8"/>
        <v>2024-Q2</v>
      </c>
      <c r="U759" s="63" t="str">
        <f t="shared" si="9"/>
        <v>2024-06</v>
      </c>
      <c r="V759" s="64" t="str">
        <f t="shared" si="10"/>
        <v>2024-H1</v>
      </c>
      <c r="W759" s="32"/>
      <c r="X759" s="32"/>
    </row>
    <row r="760">
      <c r="A760" s="77">
        <f>HYPERLINK("https://polkadot.subsquare.io/referenda/758", 758)</f>
        <v>758</v>
      </c>
      <c r="B760" s="40" t="s">
        <v>2253</v>
      </c>
      <c r="C760" s="40" t="s">
        <v>1851</v>
      </c>
      <c r="D760" s="78">
        <v>0.0</v>
      </c>
      <c r="E760" s="79">
        <v>0.0</v>
      </c>
      <c r="F760" s="40" t="s">
        <v>1866</v>
      </c>
      <c r="G760" s="78">
        <v>7.386552094267233E7</v>
      </c>
      <c r="H760" s="78">
        <v>391694.221650452</v>
      </c>
      <c r="I760" s="80">
        <v>45420.0</v>
      </c>
      <c r="J760" s="80">
        <v>45456.0</v>
      </c>
      <c r="K760" s="79">
        <v>0.0</v>
      </c>
      <c r="L760" s="81"/>
      <c r="M760" s="81"/>
      <c r="N760" s="86"/>
      <c r="O760" s="61"/>
      <c r="P760" s="61"/>
      <c r="Q760" s="61"/>
      <c r="R760" s="61" t="str">
        <f t="shared" si="6"/>
        <v>2024</v>
      </c>
      <c r="S760" s="62">
        <f t="shared" si="7"/>
        <v>6</v>
      </c>
      <c r="T760" s="61" t="str">
        <f t="shared" si="8"/>
        <v>2024-Q2</v>
      </c>
      <c r="U760" s="63" t="str">
        <f t="shared" si="9"/>
        <v>2024-06</v>
      </c>
      <c r="V760" s="64" t="str">
        <f t="shared" si="10"/>
        <v>2024-H1</v>
      </c>
      <c r="W760" s="32"/>
      <c r="X760" s="32"/>
    </row>
    <row r="761">
      <c r="A761" s="77">
        <f>HYPERLINK("https://polkadot.subsquare.io/referenda/759", 759)</f>
        <v>759</v>
      </c>
      <c r="B761" s="40" t="s">
        <v>1273</v>
      </c>
      <c r="C761" s="40" t="s">
        <v>1851</v>
      </c>
      <c r="D761" s="78">
        <v>20422.0</v>
      </c>
      <c r="E761" s="79">
        <v>135994.75111293793</v>
      </c>
      <c r="F761" s="40" t="s">
        <v>1853</v>
      </c>
      <c r="G761" s="78">
        <v>2.7728138077237185E7</v>
      </c>
      <c r="H761" s="78">
        <v>7728762.216259887</v>
      </c>
      <c r="I761" s="80">
        <v>45420.0</v>
      </c>
      <c r="J761" s="80">
        <v>45448.0</v>
      </c>
      <c r="K761" s="79">
        <v>135964.913977623</v>
      </c>
      <c r="L761" s="70" t="s">
        <v>49</v>
      </c>
      <c r="M761" s="70" t="s">
        <v>140</v>
      </c>
      <c r="N761" s="61"/>
      <c r="O761" s="86"/>
      <c r="P761" s="86"/>
      <c r="Q761" s="86"/>
      <c r="R761" s="61" t="str">
        <f t="shared" si="6"/>
        <v>2024</v>
      </c>
      <c r="S761" s="62">
        <f t="shared" si="7"/>
        <v>6</v>
      </c>
      <c r="T761" s="61" t="str">
        <f t="shared" si="8"/>
        <v>2024-Q2</v>
      </c>
      <c r="U761" s="63" t="str">
        <f t="shared" si="9"/>
        <v>2024-06</v>
      </c>
      <c r="V761" s="64" t="str">
        <f t="shared" si="10"/>
        <v>2024-H1</v>
      </c>
      <c r="W761" s="32"/>
      <c r="X761" s="32"/>
    </row>
    <row r="762">
      <c r="A762" s="77">
        <f>HYPERLINK("https://polkadot.subsquare.io/referenda/760", 760)</f>
        <v>760</v>
      </c>
      <c r="B762" s="40" t="s">
        <v>1274</v>
      </c>
      <c r="C762" s="40" t="s">
        <v>1851</v>
      </c>
      <c r="D762" s="78">
        <v>39713.0</v>
      </c>
      <c r="E762" s="79">
        <v>264457.91552972794</v>
      </c>
      <c r="F762" s="40" t="s">
        <v>1853</v>
      </c>
      <c r="G762" s="78">
        <v>7.374476799739224E7</v>
      </c>
      <c r="H762" s="78">
        <v>2.7757511138398074E7</v>
      </c>
      <c r="I762" s="80">
        <v>45420.0</v>
      </c>
      <c r="J762" s="80">
        <v>45450.0</v>
      </c>
      <c r="K762" s="79">
        <v>258430.23341417313</v>
      </c>
      <c r="L762" s="81" t="s">
        <v>81</v>
      </c>
      <c r="M762" s="81" t="s">
        <v>92</v>
      </c>
      <c r="N762" s="86"/>
      <c r="O762" s="61"/>
      <c r="P762" s="61"/>
      <c r="Q762" s="61"/>
      <c r="R762" s="61" t="str">
        <f t="shared" si="6"/>
        <v>2024</v>
      </c>
      <c r="S762" s="62">
        <f t="shared" si="7"/>
        <v>6</v>
      </c>
      <c r="T762" s="61" t="str">
        <f t="shared" si="8"/>
        <v>2024-Q2</v>
      </c>
      <c r="U762" s="63" t="str">
        <f t="shared" si="9"/>
        <v>2024-06</v>
      </c>
      <c r="V762" s="64" t="str">
        <f t="shared" si="10"/>
        <v>2024-H1</v>
      </c>
      <c r="W762" s="32"/>
      <c r="X762" s="32"/>
    </row>
    <row r="763">
      <c r="A763" s="77">
        <f>HYPERLINK("https://polkadot.subsquare.io/referenda/761", 761)</f>
        <v>761</v>
      </c>
      <c r="B763" s="40" t="s">
        <v>1275</v>
      </c>
      <c r="C763" s="40" t="s">
        <v>1851</v>
      </c>
      <c r="D763" s="78">
        <v>37882.0</v>
      </c>
      <c r="E763" s="79">
        <v>252264.86933994293</v>
      </c>
      <c r="F763" s="40" t="s">
        <v>1853</v>
      </c>
      <c r="G763" s="78">
        <v>3.037627761639012E7</v>
      </c>
      <c r="H763" s="78">
        <v>7957907.292237195</v>
      </c>
      <c r="I763" s="80">
        <v>45421.0</v>
      </c>
      <c r="J763" s="80">
        <v>45448.0</v>
      </c>
      <c r="K763" s="79">
        <v>242006.27492523193</v>
      </c>
      <c r="L763" s="70" t="s">
        <v>81</v>
      </c>
      <c r="M763" s="71" t="s">
        <v>86</v>
      </c>
      <c r="N763" s="61"/>
      <c r="O763" s="86"/>
      <c r="P763" s="86"/>
      <c r="Q763" s="86"/>
      <c r="R763" s="61" t="str">
        <f t="shared" si="6"/>
        <v>2024</v>
      </c>
      <c r="S763" s="62">
        <f t="shared" si="7"/>
        <v>6</v>
      </c>
      <c r="T763" s="61" t="str">
        <f t="shared" si="8"/>
        <v>2024-Q2</v>
      </c>
      <c r="U763" s="63" t="str">
        <f t="shared" si="9"/>
        <v>2024-06</v>
      </c>
      <c r="V763" s="64" t="str">
        <f t="shared" si="10"/>
        <v>2024-H1</v>
      </c>
      <c r="W763" s="32"/>
      <c r="X763" s="32"/>
    </row>
    <row r="764">
      <c r="A764" s="77">
        <f>HYPERLINK("https://polkadot.subsquare.io/referenda/762", 762)</f>
        <v>762</v>
      </c>
      <c r="B764" s="40" t="s">
        <v>1276</v>
      </c>
      <c r="C764" s="40" t="s">
        <v>1851</v>
      </c>
      <c r="D764" s="78">
        <v>199260.0</v>
      </c>
      <c r="E764" s="79">
        <v>1319176.7137813568</v>
      </c>
      <c r="F764" s="40" t="s">
        <v>1855</v>
      </c>
      <c r="G764" s="78">
        <v>1.0757018181980687E8</v>
      </c>
      <c r="H764" s="78">
        <v>4.330465153545076E7</v>
      </c>
      <c r="I764" s="80">
        <v>45421.0</v>
      </c>
      <c r="J764" s="80">
        <v>45449.0</v>
      </c>
      <c r="K764" s="79">
        <v>1272957.3502349854</v>
      </c>
      <c r="L764" s="81" t="s">
        <v>81</v>
      </c>
      <c r="M764" s="81" t="s">
        <v>82</v>
      </c>
      <c r="N764" s="86"/>
      <c r="O764" s="61"/>
      <c r="P764" s="61"/>
      <c r="Q764" s="61"/>
      <c r="R764" s="61" t="str">
        <f t="shared" si="6"/>
        <v>2024</v>
      </c>
      <c r="S764" s="62">
        <f t="shared" si="7"/>
        <v>6</v>
      </c>
      <c r="T764" s="61" t="str">
        <f t="shared" si="8"/>
        <v>2024-Q2</v>
      </c>
      <c r="U764" s="63" t="str">
        <f t="shared" si="9"/>
        <v>2024-06</v>
      </c>
      <c r="V764" s="64" t="str">
        <f t="shared" si="10"/>
        <v>2024-H1</v>
      </c>
      <c r="W764" s="32"/>
      <c r="X764" s="32"/>
    </row>
    <row r="765">
      <c r="A765" s="77">
        <f>HYPERLINK("https://polkadot.subsquare.io/referenda/763", 763)</f>
        <v>763</v>
      </c>
      <c r="B765" s="40" t="s">
        <v>1277</v>
      </c>
      <c r="C765" s="40" t="s">
        <v>1851</v>
      </c>
      <c r="D765" s="78">
        <v>35400.53</v>
      </c>
      <c r="E765" s="79">
        <v>235962.1541203785</v>
      </c>
      <c r="F765" s="40" t="s">
        <v>1853</v>
      </c>
      <c r="G765" s="78">
        <v>5.8766640236364126E7</v>
      </c>
      <c r="H765" s="78">
        <v>2106071.0</v>
      </c>
      <c r="I765" s="80">
        <v>45422.0</v>
      </c>
      <c r="J765" s="80">
        <v>45443.0</v>
      </c>
      <c r="K765" s="79">
        <v>247415.71657746792</v>
      </c>
      <c r="L765" s="70" t="s">
        <v>81</v>
      </c>
      <c r="M765" s="70" t="s">
        <v>89</v>
      </c>
      <c r="N765" s="61"/>
      <c r="O765" s="86"/>
      <c r="P765" s="86"/>
      <c r="Q765" s="86"/>
      <c r="R765" s="61" t="str">
        <f t="shared" si="6"/>
        <v>2024</v>
      </c>
      <c r="S765" s="62">
        <f t="shared" si="7"/>
        <v>5</v>
      </c>
      <c r="T765" s="61" t="str">
        <f t="shared" si="8"/>
        <v>2024-Q2</v>
      </c>
      <c r="U765" s="63" t="str">
        <f t="shared" si="9"/>
        <v>2024-05</v>
      </c>
      <c r="V765" s="64" t="str">
        <f t="shared" si="10"/>
        <v>2024-H1</v>
      </c>
      <c r="W765" s="32"/>
      <c r="X765" s="32"/>
    </row>
    <row r="766">
      <c r="A766" s="77">
        <f>HYPERLINK("https://polkadot.subsquare.io/referenda/764", 764)</f>
        <v>764</v>
      </c>
      <c r="B766" s="40" t="s">
        <v>1278</v>
      </c>
      <c r="C766" s="40" t="s">
        <v>1851</v>
      </c>
      <c r="D766" s="78">
        <v>450.0</v>
      </c>
      <c r="E766" s="79">
        <v>2999.474000930786</v>
      </c>
      <c r="F766" s="40" t="s">
        <v>1869</v>
      </c>
      <c r="G766" s="78">
        <v>1.957365060392119E7</v>
      </c>
      <c r="H766" s="78">
        <v>7470723.80043717</v>
      </c>
      <c r="I766" s="80">
        <v>45423.0</v>
      </c>
      <c r="J766" s="80">
        <v>45427.0</v>
      </c>
      <c r="K766" s="79">
        <v>3222.878837585449</v>
      </c>
      <c r="L766" s="81" t="s">
        <v>81</v>
      </c>
      <c r="M766" s="81" t="s">
        <v>88</v>
      </c>
      <c r="N766" s="86"/>
      <c r="O766" s="61"/>
      <c r="P766" s="61"/>
      <c r="Q766" s="61"/>
      <c r="R766" s="61" t="str">
        <f t="shared" si="6"/>
        <v>2024</v>
      </c>
      <c r="S766" s="62">
        <f t="shared" si="7"/>
        <v>5</v>
      </c>
      <c r="T766" s="61" t="str">
        <f t="shared" si="8"/>
        <v>2024-Q2</v>
      </c>
      <c r="U766" s="63" t="str">
        <f t="shared" si="9"/>
        <v>2024-05</v>
      </c>
      <c r="V766" s="64" t="str">
        <f t="shared" si="10"/>
        <v>2024-H1</v>
      </c>
      <c r="W766" s="32"/>
      <c r="X766" s="32"/>
    </row>
    <row r="767">
      <c r="A767" s="77">
        <f>HYPERLINK("https://polkadot.subsquare.io/referenda/765", 765)</f>
        <v>765</v>
      </c>
      <c r="B767" s="40" t="s">
        <v>2254</v>
      </c>
      <c r="C767" s="40" t="s">
        <v>1943</v>
      </c>
      <c r="D767" s="78">
        <v>0.0</v>
      </c>
      <c r="E767" s="79">
        <v>0.0</v>
      </c>
      <c r="F767" s="40" t="s">
        <v>1866</v>
      </c>
      <c r="G767" s="78">
        <v>8.104297126360759E7</v>
      </c>
      <c r="H767" s="78">
        <v>568470.6620228245</v>
      </c>
      <c r="I767" s="80">
        <v>45423.0</v>
      </c>
      <c r="J767" s="80">
        <v>45458.0</v>
      </c>
      <c r="K767" s="79">
        <v>0.0</v>
      </c>
      <c r="L767" s="70"/>
      <c r="M767" s="70"/>
      <c r="N767" s="61"/>
      <c r="O767" s="86"/>
      <c r="P767" s="86"/>
      <c r="Q767" s="86"/>
      <c r="R767" s="61" t="str">
        <f t="shared" si="6"/>
        <v>2024</v>
      </c>
      <c r="S767" s="62">
        <f t="shared" si="7"/>
        <v>6</v>
      </c>
      <c r="T767" s="61" t="str">
        <f t="shared" si="8"/>
        <v>2024-Q2</v>
      </c>
      <c r="U767" s="63" t="str">
        <f t="shared" si="9"/>
        <v>2024-06</v>
      </c>
      <c r="V767" s="64" t="str">
        <f t="shared" si="10"/>
        <v>2024-H1</v>
      </c>
      <c r="W767" s="32"/>
      <c r="X767" s="32"/>
    </row>
    <row r="768">
      <c r="A768" s="77">
        <f>HYPERLINK("https://polkadot.subsquare.io/referenda/766", 766)</f>
        <v>766</v>
      </c>
      <c r="B768" s="40" t="s">
        <v>1279</v>
      </c>
      <c r="C768" s="40" t="s">
        <v>1851</v>
      </c>
      <c r="D768" s="78">
        <v>13242.0</v>
      </c>
      <c r="E768" s="79">
        <v>85793.61847114563</v>
      </c>
      <c r="F768" s="40" t="s">
        <v>1853</v>
      </c>
      <c r="G768" s="78">
        <v>4.114354769820072E7</v>
      </c>
      <c r="H768" s="78">
        <v>91197.556537823</v>
      </c>
      <c r="I768" s="80">
        <v>45423.0</v>
      </c>
      <c r="J768" s="80">
        <v>45447.0</v>
      </c>
      <c r="K768" s="79">
        <v>88162.14821720123</v>
      </c>
      <c r="L768" s="81" t="s">
        <v>50</v>
      </c>
      <c r="M768" s="81" t="s">
        <v>108</v>
      </c>
      <c r="N768" s="86"/>
      <c r="O768" s="61"/>
      <c r="P768" s="61"/>
      <c r="Q768" s="61"/>
      <c r="R768" s="61" t="str">
        <f t="shared" si="6"/>
        <v>2024</v>
      </c>
      <c r="S768" s="62">
        <f t="shared" si="7"/>
        <v>6</v>
      </c>
      <c r="T768" s="61" t="str">
        <f t="shared" si="8"/>
        <v>2024-Q2</v>
      </c>
      <c r="U768" s="63" t="str">
        <f t="shared" si="9"/>
        <v>2024-06</v>
      </c>
      <c r="V768" s="64" t="str">
        <f t="shared" si="10"/>
        <v>2024-H1</v>
      </c>
      <c r="W768" s="32"/>
      <c r="X768" s="32"/>
    </row>
    <row r="769">
      <c r="A769" s="77">
        <f>HYPERLINK("https://polkadot.subsquare.io/referenda/767", 767)</f>
        <v>767</v>
      </c>
      <c r="B769" s="40" t="s">
        <v>1280</v>
      </c>
      <c r="C769" s="40" t="s">
        <v>1851</v>
      </c>
      <c r="D769" s="78">
        <v>46.1</v>
      </c>
      <c r="E769" s="79">
        <v>298.6773758888245</v>
      </c>
      <c r="F769" s="40" t="s">
        <v>982</v>
      </c>
      <c r="G769" s="78">
        <v>9792206.23882322</v>
      </c>
      <c r="H769" s="78">
        <v>5966.0</v>
      </c>
      <c r="I769" s="80">
        <v>45423.0</v>
      </c>
      <c r="J769" s="80">
        <v>45426.0</v>
      </c>
      <c r="K769" s="79">
        <v>324.04267234802245</v>
      </c>
      <c r="L769" s="70" t="s">
        <v>47</v>
      </c>
      <c r="M769" s="70" t="s">
        <v>119</v>
      </c>
      <c r="N769" s="61"/>
      <c r="O769" s="86"/>
      <c r="P769" s="86"/>
      <c r="Q769" s="86"/>
      <c r="R769" s="61" t="str">
        <f t="shared" si="6"/>
        <v>2024</v>
      </c>
      <c r="S769" s="62">
        <f t="shared" si="7"/>
        <v>5</v>
      </c>
      <c r="T769" s="61" t="str">
        <f t="shared" si="8"/>
        <v>2024-Q2</v>
      </c>
      <c r="U769" s="63" t="str">
        <f t="shared" si="9"/>
        <v>2024-05</v>
      </c>
      <c r="V769" s="64" t="str">
        <f t="shared" si="10"/>
        <v>2024-H1</v>
      </c>
      <c r="W769" s="32"/>
      <c r="X769" s="32"/>
    </row>
    <row r="770">
      <c r="A770" s="77">
        <f>HYPERLINK("https://polkadot.subsquare.io/referenda/768", 768)</f>
        <v>768</v>
      </c>
      <c r="B770" s="40" t="s">
        <v>1281</v>
      </c>
      <c r="C770" s="40" t="s">
        <v>1851</v>
      </c>
      <c r="D770" s="78">
        <v>10979.0</v>
      </c>
      <c r="E770" s="79">
        <v>71131.86355495453</v>
      </c>
      <c r="F770" s="40" t="s">
        <v>1853</v>
      </c>
      <c r="G770" s="78">
        <v>6.2418651328313775E7</v>
      </c>
      <c r="H770" s="78">
        <v>7826497.811663373</v>
      </c>
      <c r="I770" s="80">
        <v>45423.0</v>
      </c>
      <c r="J770" s="80">
        <v>45444.0</v>
      </c>
      <c r="K770" s="79">
        <v>78910.52069616318</v>
      </c>
      <c r="L770" s="81" t="s">
        <v>48</v>
      </c>
      <c r="M770" s="81" t="s">
        <v>131</v>
      </c>
      <c r="N770" s="86"/>
      <c r="O770" s="61"/>
      <c r="P770" s="61"/>
      <c r="Q770" s="61"/>
      <c r="R770" s="61" t="str">
        <f t="shared" si="6"/>
        <v>2024</v>
      </c>
      <c r="S770" s="62">
        <f t="shared" si="7"/>
        <v>6</v>
      </c>
      <c r="T770" s="61" t="str">
        <f t="shared" si="8"/>
        <v>2024-Q2</v>
      </c>
      <c r="U770" s="63" t="str">
        <f t="shared" si="9"/>
        <v>2024-06</v>
      </c>
      <c r="V770" s="64" t="str">
        <f t="shared" si="10"/>
        <v>2024-H1</v>
      </c>
      <c r="W770" s="32"/>
      <c r="X770" s="32"/>
    </row>
    <row r="771">
      <c r="A771" s="77">
        <f>HYPERLINK("https://polkadot.subsquare.io/referenda/769", 769)</f>
        <v>769</v>
      </c>
      <c r="B771" s="40" t="s">
        <v>2255</v>
      </c>
      <c r="C771" s="40" t="s">
        <v>1846</v>
      </c>
      <c r="D771" s="78">
        <v>0.0</v>
      </c>
      <c r="E771" s="79">
        <v>0.0</v>
      </c>
      <c r="F771" s="40" t="s">
        <v>2221</v>
      </c>
      <c r="G771" s="78">
        <v>6.476004899118147E7</v>
      </c>
      <c r="H771" s="78">
        <v>1.083686645598907E8</v>
      </c>
      <c r="I771" s="80">
        <v>45424.0</v>
      </c>
      <c r="J771" s="80">
        <v>45452.0</v>
      </c>
      <c r="K771" s="79">
        <v>0.0</v>
      </c>
      <c r="L771" s="70"/>
      <c r="M771" s="70"/>
      <c r="N771" s="61"/>
      <c r="O771" s="86"/>
      <c r="P771" s="86"/>
      <c r="Q771" s="86"/>
      <c r="R771" s="61" t="str">
        <f t="shared" si="6"/>
        <v>2024</v>
      </c>
      <c r="S771" s="62">
        <f t="shared" si="7"/>
        <v>6</v>
      </c>
      <c r="T771" s="61" t="str">
        <f t="shared" si="8"/>
        <v>2024-Q2</v>
      </c>
      <c r="U771" s="63" t="str">
        <f t="shared" si="9"/>
        <v>2024-06</v>
      </c>
      <c r="V771" s="64" t="str">
        <f t="shared" si="10"/>
        <v>2024-H1</v>
      </c>
      <c r="W771" s="32"/>
      <c r="X771" s="32"/>
    </row>
    <row r="772">
      <c r="A772" s="77">
        <f>HYPERLINK("https://polkadot.subsquare.io/referenda/770", 770)</f>
        <v>770</v>
      </c>
      <c r="B772" s="40" t="s">
        <v>2256</v>
      </c>
      <c r="C772" s="40" t="s">
        <v>1846</v>
      </c>
      <c r="D772" s="78">
        <v>26400.0</v>
      </c>
      <c r="E772" s="79">
        <v>171043.00918579102</v>
      </c>
      <c r="F772" s="40" t="s">
        <v>1853</v>
      </c>
      <c r="G772" s="78">
        <v>149548.4807177868</v>
      </c>
      <c r="H772" s="78">
        <v>2.175933198173824E7</v>
      </c>
      <c r="I772" s="80">
        <v>45424.0</v>
      </c>
      <c r="J772" s="80">
        <v>45452.0</v>
      </c>
      <c r="K772" s="79">
        <v>177981.32514953613</v>
      </c>
      <c r="L772" s="81"/>
      <c r="M772" s="81"/>
      <c r="N772" s="86"/>
      <c r="O772" s="61"/>
      <c r="P772" s="61"/>
      <c r="Q772" s="61"/>
      <c r="R772" s="61" t="str">
        <f t="shared" si="6"/>
        <v>2024</v>
      </c>
      <c r="S772" s="62">
        <f t="shared" si="7"/>
        <v>6</v>
      </c>
      <c r="T772" s="61" t="str">
        <f t="shared" si="8"/>
        <v>2024-Q2</v>
      </c>
      <c r="U772" s="63" t="str">
        <f t="shared" si="9"/>
        <v>2024-06</v>
      </c>
      <c r="V772" s="64" t="str">
        <f t="shared" si="10"/>
        <v>2024-H1</v>
      </c>
      <c r="W772" s="32"/>
      <c r="X772" s="32"/>
    </row>
    <row r="773">
      <c r="A773" s="77">
        <f>HYPERLINK("https://polkadot.subsquare.io/referenda/771", 771)</f>
        <v>771</v>
      </c>
      <c r="B773" s="40" t="s">
        <v>2257</v>
      </c>
      <c r="C773" s="40" t="s">
        <v>1861</v>
      </c>
      <c r="D773" s="78">
        <v>1.3982E-6</v>
      </c>
      <c r="E773" s="79">
        <v>9.058800584983825E-6</v>
      </c>
      <c r="F773" s="40" t="s">
        <v>1853</v>
      </c>
      <c r="G773" s="78">
        <v>720.0</v>
      </c>
      <c r="H773" s="78">
        <v>3.819927964074172E7</v>
      </c>
      <c r="I773" s="80">
        <v>45424.0</v>
      </c>
      <c r="J773" s="80">
        <v>45438.0</v>
      </c>
      <c r="K773" s="79">
        <v>1.0300641551208496E-5</v>
      </c>
      <c r="L773" s="70"/>
      <c r="M773" s="70"/>
      <c r="N773" s="61"/>
      <c r="O773" s="86"/>
      <c r="P773" s="86"/>
      <c r="Q773" s="86"/>
      <c r="R773" s="61" t="str">
        <f t="shared" si="6"/>
        <v>2024</v>
      </c>
      <c r="S773" s="62">
        <f t="shared" si="7"/>
        <v>5</v>
      </c>
      <c r="T773" s="61" t="str">
        <f t="shared" si="8"/>
        <v>2024-Q2</v>
      </c>
      <c r="U773" s="63" t="str">
        <f t="shared" si="9"/>
        <v>2024-05</v>
      </c>
      <c r="V773" s="64" t="str">
        <f t="shared" si="10"/>
        <v>2024-H1</v>
      </c>
      <c r="W773" s="32"/>
      <c r="X773" s="32"/>
    </row>
    <row r="774">
      <c r="A774" s="77">
        <f>HYPERLINK("https://polkadot.subsquare.io/referenda/772", 772)</f>
        <v>772</v>
      </c>
      <c r="B774" s="40" t="s">
        <v>1282</v>
      </c>
      <c r="C774" s="40" t="s">
        <v>1851</v>
      </c>
      <c r="D774" s="78">
        <v>13982.0</v>
      </c>
      <c r="E774" s="79">
        <v>90588.00584983826</v>
      </c>
      <c r="F774" s="40" t="s">
        <v>1853</v>
      </c>
      <c r="G774" s="78">
        <v>4.169980396486731E7</v>
      </c>
      <c r="H774" s="78">
        <v>2.3585960069023427E7</v>
      </c>
      <c r="I774" s="80">
        <v>45424.0</v>
      </c>
      <c r="J774" s="80">
        <v>45447.0</v>
      </c>
      <c r="K774" s="79">
        <v>99859.64012050629</v>
      </c>
      <c r="L774" s="81" t="s">
        <v>81</v>
      </c>
      <c r="M774" s="81" t="s">
        <v>89</v>
      </c>
      <c r="N774" s="86"/>
      <c r="O774" s="61"/>
      <c r="P774" s="61"/>
      <c r="Q774" s="61"/>
      <c r="R774" s="61" t="str">
        <f t="shared" si="6"/>
        <v>2024</v>
      </c>
      <c r="S774" s="62">
        <f t="shared" si="7"/>
        <v>6</v>
      </c>
      <c r="T774" s="61" t="str">
        <f t="shared" si="8"/>
        <v>2024-Q2</v>
      </c>
      <c r="U774" s="63" t="str">
        <f t="shared" si="9"/>
        <v>2024-06</v>
      </c>
      <c r="V774" s="64" t="str">
        <f t="shared" si="10"/>
        <v>2024-H1</v>
      </c>
      <c r="W774" s="32"/>
      <c r="X774" s="32"/>
    </row>
    <row r="775">
      <c r="A775" s="77">
        <f>HYPERLINK("https://polkadot.subsquare.io/referenda/773", 773)</f>
        <v>773</v>
      </c>
      <c r="B775" s="40" t="s">
        <v>1283</v>
      </c>
      <c r="C775" s="40" t="s">
        <v>1851</v>
      </c>
      <c r="D775" s="78">
        <v>50000.0</v>
      </c>
      <c r="E775" s="79">
        <v>348173.99978637695</v>
      </c>
      <c r="F775" s="40" t="s">
        <v>1853</v>
      </c>
      <c r="G775" s="78">
        <v>4.18317662206843E7</v>
      </c>
      <c r="H775" s="78">
        <v>2.4567148673105832E7</v>
      </c>
      <c r="I775" s="80">
        <v>45424.0</v>
      </c>
      <c r="J775" s="80">
        <v>45451.0</v>
      </c>
      <c r="K775" s="79">
        <v>325372.3382949829</v>
      </c>
      <c r="L775" s="70" t="s">
        <v>46</v>
      </c>
      <c r="M775" s="70" t="s">
        <v>119</v>
      </c>
      <c r="N775" s="61"/>
      <c r="O775" s="86"/>
      <c r="P775" s="86"/>
      <c r="Q775" s="86"/>
      <c r="R775" s="61" t="str">
        <f t="shared" si="6"/>
        <v>2024</v>
      </c>
      <c r="S775" s="62">
        <f t="shared" si="7"/>
        <v>6</v>
      </c>
      <c r="T775" s="61" t="str">
        <f t="shared" si="8"/>
        <v>2024-Q2</v>
      </c>
      <c r="U775" s="63" t="str">
        <f t="shared" si="9"/>
        <v>2024-06</v>
      </c>
      <c r="V775" s="64" t="str">
        <f t="shared" si="10"/>
        <v>2024-H1</v>
      </c>
      <c r="W775" s="32"/>
      <c r="X775" s="32"/>
    </row>
    <row r="776">
      <c r="A776" s="77">
        <f>HYPERLINK("https://polkadot.subsquare.io/referenda/774", 774)</f>
        <v>774</v>
      </c>
      <c r="B776" s="40" t="s">
        <v>2258</v>
      </c>
      <c r="C776" s="40" t="s">
        <v>1846</v>
      </c>
      <c r="D776" s="78">
        <v>80188.0</v>
      </c>
      <c r="E776" s="79">
        <v>558387.5338973999</v>
      </c>
      <c r="F776" s="40" t="s">
        <v>1853</v>
      </c>
      <c r="G776" s="78">
        <v>521008.1670816278</v>
      </c>
      <c r="H776" s="78">
        <v>1.0537137211011989E7</v>
      </c>
      <c r="I776" s="80">
        <v>45424.0</v>
      </c>
      <c r="J776" s="80">
        <v>45453.0</v>
      </c>
      <c r="K776" s="79">
        <v>540604.7917079926</v>
      </c>
      <c r="L776" s="81"/>
      <c r="M776" s="81"/>
      <c r="N776" s="86"/>
      <c r="O776" s="61"/>
      <c r="P776" s="61"/>
      <c r="Q776" s="61"/>
      <c r="R776" s="61" t="str">
        <f t="shared" si="6"/>
        <v>2024</v>
      </c>
      <c r="S776" s="62">
        <f t="shared" si="7"/>
        <v>6</v>
      </c>
      <c r="T776" s="61" t="str">
        <f t="shared" si="8"/>
        <v>2024-Q2</v>
      </c>
      <c r="U776" s="63" t="str">
        <f t="shared" si="9"/>
        <v>2024-06</v>
      </c>
      <c r="V776" s="64" t="str">
        <f t="shared" si="10"/>
        <v>2024-H1</v>
      </c>
      <c r="W776" s="32"/>
      <c r="X776" s="32"/>
    </row>
    <row r="777">
      <c r="A777" s="77">
        <f>HYPERLINK("https://polkadot.subsquare.io/referenda/775", 775)</f>
        <v>775</v>
      </c>
      <c r="B777" s="40" t="s">
        <v>2259</v>
      </c>
      <c r="C777" s="40" t="s">
        <v>1851</v>
      </c>
      <c r="D777" s="78">
        <v>1000000.0</v>
      </c>
      <c r="E777" s="79">
        <v>6963479.995727539</v>
      </c>
      <c r="F777" s="40" t="s">
        <v>1866</v>
      </c>
      <c r="G777" s="78">
        <v>7.945687603354435E7</v>
      </c>
      <c r="H777" s="78">
        <v>9305675.542923385</v>
      </c>
      <c r="I777" s="80">
        <v>45424.0</v>
      </c>
      <c r="J777" s="80">
        <v>45460.0</v>
      </c>
      <c r="K777" s="79">
        <v>5794211.864471436</v>
      </c>
      <c r="L777" s="70" t="s">
        <v>81</v>
      </c>
      <c r="M777" s="70" t="s">
        <v>2260</v>
      </c>
      <c r="N777" s="65" t="s">
        <v>1881</v>
      </c>
      <c r="O777" s="86" t="s">
        <v>1881</v>
      </c>
      <c r="P777" s="86" t="s">
        <v>1881</v>
      </c>
      <c r="Q777" s="86"/>
      <c r="R777" s="61" t="str">
        <f t="shared" si="6"/>
        <v>2024</v>
      </c>
      <c r="S777" s="62">
        <f t="shared" si="7"/>
        <v>6</v>
      </c>
      <c r="T777" s="61" t="str">
        <f t="shared" si="8"/>
        <v>2024-Q2</v>
      </c>
      <c r="U777" s="63" t="str">
        <f t="shared" si="9"/>
        <v>2024-06</v>
      </c>
      <c r="V777" s="64" t="str">
        <f t="shared" si="10"/>
        <v>2024-H1</v>
      </c>
      <c r="W777" s="32"/>
      <c r="X777" s="32"/>
    </row>
    <row r="778">
      <c r="A778" s="77">
        <f>HYPERLINK("https://polkadot.subsquare.io/referenda/776", 776)</f>
        <v>776</v>
      </c>
      <c r="B778" s="40" t="s">
        <v>1284</v>
      </c>
      <c r="C778" s="40" t="s">
        <v>1851</v>
      </c>
      <c r="D778" s="78">
        <v>49075.43</v>
      </c>
      <c r="E778" s="79">
        <v>344957.3423823929</v>
      </c>
      <c r="F778" s="40" t="s">
        <v>1853</v>
      </c>
      <c r="G778" s="78">
        <v>2.322254547911089E7</v>
      </c>
      <c r="H778" s="78">
        <v>0.0</v>
      </c>
      <c r="I778" s="80">
        <v>45426.0</v>
      </c>
      <c r="J778" s="80">
        <v>45452.0</v>
      </c>
      <c r="K778" s="79">
        <v>313096.19440270425</v>
      </c>
      <c r="L778" s="81" t="s">
        <v>46</v>
      </c>
      <c r="M778" s="81" t="s">
        <v>102</v>
      </c>
      <c r="N778" s="86"/>
      <c r="O778" s="61"/>
      <c r="P778" s="61"/>
      <c r="Q778" s="61"/>
      <c r="R778" s="61" t="str">
        <f t="shared" si="6"/>
        <v>2024</v>
      </c>
      <c r="S778" s="62">
        <f t="shared" si="7"/>
        <v>6</v>
      </c>
      <c r="T778" s="61" t="str">
        <f t="shared" si="8"/>
        <v>2024-Q2</v>
      </c>
      <c r="U778" s="63" t="str">
        <f t="shared" si="9"/>
        <v>2024-06</v>
      </c>
      <c r="V778" s="64" t="str">
        <f t="shared" si="10"/>
        <v>2024-H1</v>
      </c>
      <c r="W778" s="32"/>
      <c r="X778" s="32"/>
    </row>
    <row r="779">
      <c r="A779" s="77">
        <f>HYPERLINK("https://polkadot.subsquare.io/referenda/777", 777)</f>
        <v>777</v>
      </c>
      <c r="B779" s="40" t="s">
        <v>2261</v>
      </c>
      <c r="C779" s="40" t="s">
        <v>1846</v>
      </c>
      <c r="D779" s="78">
        <v>175000.0</v>
      </c>
      <c r="E779" s="79">
        <v>1230096.9123840332</v>
      </c>
      <c r="F779" s="40" t="s">
        <v>1855</v>
      </c>
      <c r="G779" s="78">
        <v>529708.6358786034</v>
      </c>
      <c r="H779" s="78">
        <v>4.06484365823587E7</v>
      </c>
      <c r="I779" s="80">
        <v>45426.0</v>
      </c>
      <c r="J779" s="80">
        <v>45454.0</v>
      </c>
      <c r="K779" s="79">
        <v>1078483.2119941711</v>
      </c>
      <c r="L779" s="70"/>
      <c r="M779" s="70"/>
      <c r="N779" s="61"/>
      <c r="O779" s="86"/>
      <c r="P779" s="86"/>
      <c r="Q779" s="86"/>
      <c r="R779" s="61" t="str">
        <f t="shared" si="6"/>
        <v>2024</v>
      </c>
      <c r="S779" s="62">
        <f t="shared" si="7"/>
        <v>6</v>
      </c>
      <c r="T779" s="61" t="str">
        <f t="shared" si="8"/>
        <v>2024-Q2</v>
      </c>
      <c r="U779" s="63" t="str">
        <f t="shared" si="9"/>
        <v>2024-06</v>
      </c>
      <c r="V779" s="64" t="str">
        <f t="shared" si="10"/>
        <v>2024-H1</v>
      </c>
      <c r="W779" s="32"/>
      <c r="X779" s="32"/>
    </row>
    <row r="780">
      <c r="A780" s="77">
        <f>HYPERLINK("https://polkadot.subsquare.io/referenda/778", 778)</f>
        <v>778</v>
      </c>
      <c r="B780" s="40"/>
      <c r="C780" s="40" t="s">
        <v>1851</v>
      </c>
      <c r="D780" s="78">
        <v>20.0</v>
      </c>
      <c r="E780" s="79">
        <v>143.93511772155762</v>
      </c>
      <c r="F780" s="40" t="s">
        <v>982</v>
      </c>
      <c r="G780" s="78">
        <v>1.5704305859246816E7</v>
      </c>
      <c r="H780" s="78">
        <v>10.0</v>
      </c>
      <c r="I780" s="80">
        <v>45426.0</v>
      </c>
      <c r="J780" s="80">
        <v>45428.0</v>
      </c>
      <c r="K780" s="79">
        <v>138.75069618225098</v>
      </c>
      <c r="L780" s="81" t="s">
        <v>46</v>
      </c>
      <c r="M780" s="81" t="s">
        <v>102</v>
      </c>
      <c r="N780" s="86"/>
      <c r="O780" s="61"/>
      <c r="P780" s="61"/>
      <c r="Q780" s="61"/>
      <c r="R780" s="61" t="str">
        <f t="shared" si="6"/>
        <v>2024</v>
      </c>
      <c r="S780" s="62">
        <f t="shared" si="7"/>
        <v>5</v>
      </c>
      <c r="T780" s="61" t="str">
        <f t="shared" si="8"/>
        <v>2024-Q2</v>
      </c>
      <c r="U780" s="63" t="str">
        <f t="shared" si="9"/>
        <v>2024-05</v>
      </c>
      <c r="V780" s="64" t="str">
        <f t="shared" si="10"/>
        <v>2024-H1</v>
      </c>
      <c r="W780" s="32"/>
      <c r="X780" s="32"/>
    </row>
    <row r="781">
      <c r="A781" s="77">
        <f>HYPERLINK("https://polkadot.subsquare.io/referenda/779", 779)</f>
        <v>779</v>
      </c>
      <c r="B781" s="40" t="s">
        <v>1285</v>
      </c>
      <c r="C781" s="40" t="s">
        <v>1851</v>
      </c>
      <c r="D781" s="78">
        <v>7885.497423885508</v>
      </c>
      <c r="E781" s="79">
        <v>56750.0</v>
      </c>
      <c r="F781" s="40" t="s">
        <v>1848</v>
      </c>
      <c r="G781" s="78">
        <v>2.6542863801833585E7</v>
      </c>
      <c r="H781" s="78">
        <v>10.0</v>
      </c>
      <c r="I781" s="80">
        <v>45426.0</v>
      </c>
      <c r="J781" s="80">
        <v>45449.0</v>
      </c>
      <c r="K781" s="79">
        <v>50375.90036130734</v>
      </c>
      <c r="L781" s="70" t="s">
        <v>46</v>
      </c>
      <c r="M781" s="70" t="s">
        <v>114</v>
      </c>
      <c r="N781" s="61"/>
      <c r="O781" s="86"/>
      <c r="P781" s="86"/>
      <c r="Q781" s="86"/>
      <c r="R781" s="61" t="str">
        <f t="shared" si="6"/>
        <v>2024</v>
      </c>
      <c r="S781" s="62">
        <f t="shared" si="7"/>
        <v>6</v>
      </c>
      <c r="T781" s="61" t="str">
        <f t="shared" si="8"/>
        <v>2024-Q2</v>
      </c>
      <c r="U781" s="63" t="str">
        <f t="shared" si="9"/>
        <v>2024-06</v>
      </c>
      <c r="V781" s="64" t="str">
        <f t="shared" si="10"/>
        <v>2024-H1</v>
      </c>
      <c r="W781" s="32"/>
      <c r="X781" s="32"/>
    </row>
    <row r="782">
      <c r="A782" s="77">
        <f>HYPERLINK("https://polkadot.subsquare.io/referenda/780", 780)</f>
        <v>780</v>
      </c>
      <c r="B782" s="40" t="s">
        <v>2262</v>
      </c>
      <c r="C782" s="40" t="s">
        <v>1861</v>
      </c>
      <c r="D782" s="78">
        <v>1049.0</v>
      </c>
      <c r="E782" s="79">
        <v>7549.396924495697</v>
      </c>
      <c r="F782" s="40" t="s">
        <v>982</v>
      </c>
      <c r="G782" s="78">
        <v>0.0</v>
      </c>
      <c r="H782" s="78">
        <v>2.7930125191729944E7</v>
      </c>
      <c r="I782" s="80">
        <v>45426.0</v>
      </c>
      <c r="J782" s="80">
        <v>45440.0</v>
      </c>
      <c r="K782" s="79">
        <v>7329.517050266266</v>
      </c>
      <c r="L782" s="81"/>
      <c r="M782" s="81"/>
      <c r="N782" s="86"/>
      <c r="O782" s="61"/>
      <c r="P782" s="61"/>
      <c r="Q782" s="61"/>
      <c r="R782" s="61" t="str">
        <f t="shared" si="6"/>
        <v>2024</v>
      </c>
      <c r="S782" s="62">
        <f t="shared" si="7"/>
        <v>5</v>
      </c>
      <c r="T782" s="61" t="str">
        <f t="shared" si="8"/>
        <v>2024-Q2</v>
      </c>
      <c r="U782" s="63" t="str">
        <f t="shared" si="9"/>
        <v>2024-05</v>
      </c>
      <c r="V782" s="64" t="str">
        <f t="shared" si="10"/>
        <v>2024-H1</v>
      </c>
      <c r="W782" s="32"/>
      <c r="X782" s="32"/>
    </row>
    <row r="783">
      <c r="A783" s="77">
        <f>HYPERLINK("https://polkadot.subsquare.io/referenda/781", 781)</f>
        <v>781</v>
      </c>
      <c r="B783" s="40" t="s">
        <v>2263</v>
      </c>
      <c r="C783" s="40" t="s">
        <v>1846</v>
      </c>
      <c r="D783" s="78">
        <v>1049.0</v>
      </c>
      <c r="E783" s="79">
        <v>7549.396924495697</v>
      </c>
      <c r="F783" s="40" t="s">
        <v>1869</v>
      </c>
      <c r="G783" s="78">
        <v>5459116.52353888</v>
      </c>
      <c r="H783" s="78">
        <v>2.584166061841865E7</v>
      </c>
      <c r="I783" s="80">
        <v>45426.0</v>
      </c>
      <c r="J783" s="80">
        <v>45433.0</v>
      </c>
      <c r="K783" s="79">
        <v>7599.261079311371</v>
      </c>
      <c r="L783" s="70"/>
      <c r="M783" s="70"/>
      <c r="N783" s="61"/>
      <c r="O783" s="86"/>
      <c r="P783" s="86"/>
      <c r="Q783" s="86"/>
      <c r="R783" s="61" t="str">
        <f t="shared" si="6"/>
        <v>2024</v>
      </c>
      <c r="S783" s="62">
        <f t="shared" si="7"/>
        <v>5</v>
      </c>
      <c r="T783" s="61" t="str">
        <f t="shared" si="8"/>
        <v>2024-Q2</v>
      </c>
      <c r="U783" s="63" t="str">
        <f t="shared" si="9"/>
        <v>2024-05</v>
      </c>
      <c r="V783" s="64" t="str">
        <f t="shared" si="10"/>
        <v>2024-H1</v>
      </c>
      <c r="W783" s="32"/>
      <c r="X783" s="32"/>
    </row>
    <row r="784">
      <c r="A784" s="77">
        <f>HYPERLINK("https://polkadot.subsquare.io/referenda/782", 782)</f>
        <v>782</v>
      </c>
      <c r="B784" s="40" t="s">
        <v>2264</v>
      </c>
      <c r="C784" s="40" t="s">
        <v>1846</v>
      </c>
      <c r="D784" s="78">
        <v>833.7089787367938</v>
      </c>
      <c r="E784" s="79">
        <v>6000.0</v>
      </c>
      <c r="F784" s="40" t="s">
        <v>1869</v>
      </c>
      <c r="G784" s="78">
        <v>1.2293383619492548E7</v>
      </c>
      <c r="H784" s="78">
        <v>2.1663474913900807E7</v>
      </c>
      <c r="I784" s="80">
        <v>45427.0</v>
      </c>
      <c r="J784" s="80">
        <v>45434.0</v>
      </c>
      <c r="K784" s="79">
        <v>6039.630308471829</v>
      </c>
      <c r="L784" s="81"/>
      <c r="M784" s="81"/>
      <c r="N784" s="86"/>
      <c r="O784" s="61"/>
      <c r="P784" s="61"/>
      <c r="Q784" s="61"/>
      <c r="R784" s="61" t="str">
        <f t="shared" si="6"/>
        <v>2024</v>
      </c>
      <c r="S784" s="62">
        <f t="shared" si="7"/>
        <v>5</v>
      </c>
      <c r="T784" s="61" t="str">
        <f t="shared" si="8"/>
        <v>2024-Q2</v>
      </c>
      <c r="U784" s="63" t="str">
        <f t="shared" si="9"/>
        <v>2024-05</v>
      </c>
      <c r="V784" s="64" t="str">
        <f t="shared" si="10"/>
        <v>2024-H1</v>
      </c>
      <c r="W784" s="32"/>
      <c r="X784" s="32"/>
    </row>
    <row r="785">
      <c r="A785" s="77">
        <f>HYPERLINK("https://polkadot.subsquare.io/referenda/783", 783)</f>
        <v>783</v>
      </c>
      <c r="B785" s="40" t="s">
        <v>1286</v>
      </c>
      <c r="C785" s="40" t="s">
        <v>1851</v>
      </c>
      <c r="D785" s="78">
        <v>31705.0</v>
      </c>
      <c r="E785" s="79">
        <v>228173.1453680992</v>
      </c>
      <c r="F785" s="40" t="s">
        <v>1853</v>
      </c>
      <c r="G785" s="78">
        <v>9970428.09812112</v>
      </c>
      <c r="H785" s="78">
        <v>7755112.223748097</v>
      </c>
      <c r="I785" s="80">
        <v>45427.0</v>
      </c>
      <c r="J785" s="80">
        <v>45459.0</v>
      </c>
      <c r="K785" s="79">
        <v>183705.48716306686</v>
      </c>
      <c r="L785" s="70" t="s">
        <v>46</v>
      </c>
      <c r="M785" s="70" t="s">
        <v>110</v>
      </c>
      <c r="N785" s="61"/>
      <c r="O785" s="86"/>
      <c r="P785" s="86" t="s">
        <v>1881</v>
      </c>
      <c r="Q785" s="86"/>
      <c r="R785" s="61" t="str">
        <f t="shared" si="6"/>
        <v>2024</v>
      </c>
      <c r="S785" s="62">
        <f t="shared" si="7"/>
        <v>6</v>
      </c>
      <c r="T785" s="61" t="str">
        <f t="shared" si="8"/>
        <v>2024-Q2</v>
      </c>
      <c r="U785" s="63" t="str">
        <f t="shared" si="9"/>
        <v>2024-06</v>
      </c>
      <c r="V785" s="64" t="str">
        <f t="shared" si="10"/>
        <v>2024-H1</v>
      </c>
      <c r="W785" s="32"/>
      <c r="X785" s="32"/>
    </row>
    <row r="786">
      <c r="A786" s="77">
        <f>HYPERLINK("https://polkadot.subsquare.io/referenda/784", 784)</f>
        <v>784</v>
      </c>
      <c r="B786" s="40" t="s">
        <v>2265</v>
      </c>
      <c r="C786" s="40" t="s">
        <v>1861</v>
      </c>
      <c r="D786" s="78">
        <v>1000000.0</v>
      </c>
      <c r="E786" s="79">
        <v>7161952.972412109</v>
      </c>
      <c r="F786" s="40" t="s">
        <v>1857</v>
      </c>
      <c r="G786" s="78">
        <v>0.0</v>
      </c>
      <c r="H786" s="78">
        <v>4658758.144631243</v>
      </c>
      <c r="I786" s="80">
        <v>45427.0</v>
      </c>
      <c r="J786" s="80">
        <v>45441.0</v>
      </c>
      <c r="K786" s="79">
        <v>7058611.869812012</v>
      </c>
      <c r="L786" s="81"/>
      <c r="M786" s="81"/>
      <c r="N786" s="86"/>
      <c r="O786" s="61"/>
      <c r="P786" s="61"/>
      <c r="Q786" s="61"/>
      <c r="R786" s="61" t="str">
        <f t="shared" si="6"/>
        <v>2024</v>
      </c>
      <c r="S786" s="62">
        <f t="shared" si="7"/>
        <v>5</v>
      </c>
      <c r="T786" s="61" t="str">
        <f t="shared" si="8"/>
        <v>2024-Q2</v>
      </c>
      <c r="U786" s="63" t="str">
        <f t="shared" si="9"/>
        <v>2024-05</v>
      </c>
      <c r="V786" s="64" t="str">
        <f t="shared" si="10"/>
        <v>2024-H1</v>
      </c>
      <c r="W786" s="32"/>
      <c r="X786" s="32"/>
    </row>
    <row r="787">
      <c r="A787" s="77">
        <f>HYPERLINK("https://polkadot.subsquare.io/referenda/785", 785)</f>
        <v>785</v>
      </c>
      <c r="B787" s="40" t="s">
        <v>2266</v>
      </c>
      <c r="C787" s="40" t="s">
        <v>1968</v>
      </c>
      <c r="D787" s="78">
        <v>1000000.0</v>
      </c>
      <c r="E787" s="79">
        <v>7161952.972412109</v>
      </c>
      <c r="F787" s="40" t="s">
        <v>1857</v>
      </c>
      <c r="G787" s="78">
        <v>6.60528486E7</v>
      </c>
      <c r="H787" s="78">
        <v>3487717.553122979</v>
      </c>
      <c r="I787" s="80">
        <v>45427.0</v>
      </c>
      <c r="J787" s="80">
        <v>45433.0</v>
      </c>
      <c r="K787" s="79">
        <v>7244290.828704834</v>
      </c>
      <c r="L787" s="70"/>
      <c r="M787" s="70"/>
      <c r="N787" s="61"/>
      <c r="O787" s="86"/>
      <c r="P787" s="86"/>
      <c r="Q787" s="86"/>
      <c r="R787" s="61" t="str">
        <f t="shared" si="6"/>
        <v>2024</v>
      </c>
      <c r="S787" s="62">
        <f t="shared" si="7"/>
        <v>5</v>
      </c>
      <c r="T787" s="61" t="str">
        <f t="shared" si="8"/>
        <v>2024-Q2</v>
      </c>
      <c r="U787" s="63" t="str">
        <f t="shared" si="9"/>
        <v>2024-05</v>
      </c>
      <c r="V787" s="64" t="str">
        <f t="shared" si="10"/>
        <v>2024-H1</v>
      </c>
      <c r="W787" s="32"/>
      <c r="X787" s="32"/>
    </row>
    <row r="788">
      <c r="A788" s="77">
        <f>HYPERLINK("https://polkadot.subsquare.io/referenda/786", 786)</f>
        <v>786</v>
      </c>
      <c r="B788" s="40" t="s">
        <v>2267</v>
      </c>
      <c r="C788" s="40" t="s">
        <v>1851</v>
      </c>
      <c r="D788" s="78">
        <v>0.0</v>
      </c>
      <c r="E788" s="79">
        <v>0.0</v>
      </c>
      <c r="F788" s="40" t="s">
        <v>1970</v>
      </c>
      <c r="G788" s="78">
        <v>7.547054917272668E7</v>
      </c>
      <c r="H788" s="78">
        <v>7.270383965423349E7</v>
      </c>
      <c r="I788" s="80">
        <v>45427.0</v>
      </c>
      <c r="J788" s="80">
        <v>45433.0</v>
      </c>
      <c r="K788" s="79">
        <v>0.0</v>
      </c>
      <c r="L788" s="81"/>
      <c r="M788" s="81"/>
      <c r="N788" s="86"/>
      <c r="O788" s="61"/>
      <c r="P788" s="61"/>
      <c r="Q788" s="61"/>
      <c r="R788" s="61" t="str">
        <f t="shared" si="6"/>
        <v>2024</v>
      </c>
      <c r="S788" s="62">
        <f t="shared" si="7"/>
        <v>5</v>
      </c>
      <c r="T788" s="61" t="str">
        <f t="shared" si="8"/>
        <v>2024-Q2</v>
      </c>
      <c r="U788" s="63" t="str">
        <f t="shared" si="9"/>
        <v>2024-05</v>
      </c>
      <c r="V788" s="64" t="str">
        <f t="shared" si="10"/>
        <v>2024-H1</v>
      </c>
      <c r="W788" s="32"/>
      <c r="X788" s="32"/>
    </row>
    <row r="789">
      <c r="A789" s="77">
        <f>HYPERLINK("https://polkadot.subsquare.io/referenda/787", 787)</f>
        <v>787</v>
      </c>
      <c r="B789" s="40" t="s">
        <v>2268</v>
      </c>
      <c r="C789" s="40" t="s">
        <v>1851</v>
      </c>
      <c r="D789" s="78">
        <v>0.0</v>
      </c>
      <c r="E789" s="79">
        <v>0.0</v>
      </c>
      <c r="F789" s="40" t="s">
        <v>1970</v>
      </c>
      <c r="G789" s="78">
        <v>7.009742036974022E7</v>
      </c>
      <c r="H789" s="78">
        <v>3.6472197799814574E7</v>
      </c>
      <c r="I789" s="80">
        <v>45428.0</v>
      </c>
      <c r="J789" s="80">
        <v>45432.0</v>
      </c>
      <c r="K789" s="79">
        <v>0.0</v>
      </c>
      <c r="L789" s="70"/>
      <c r="M789" s="70"/>
      <c r="N789" s="61"/>
      <c r="O789" s="86"/>
      <c r="P789" s="86"/>
      <c r="Q789" s="86"/>
      <c r="R789" s="61" t="str">
        <f t="shared" si="6"/>
        <v>2024</v>
      </c>
      <c r="S789" s="62">
        <f t="shared" si="7"/>
        <v>5</v>
      </c>
      <c r="T789" s="61" t="str">
        <f t="shared" si="8"/>
        <v>2024-Q2</v>
      </c>
      <c r="U789" s="63" t="str">
        <f t="shared" si="9"/>
        <v>2024-05</v>
      </c>
      <c r="V789" s="64" t="str">
        <f t="shared" si="10"/>
        <v>2024-H1</v>
      </c>
      <c r="W789" s="32"/>
      <c r="X789" s="32"/>
    </row>
    <row r="790">
      <c r="A790" s="77">
        <f>HYPERLINK("https://polkadot.subsquare.io/referenda/788", 788)</f>
        <v>788</v>
      </c>
      <c r="B790" s="40" t="s">
        <v>2269</v>
      </c>
      <c r="C790" s="40" t="s">
        <v>1846</v>
      </c>
      <c r="D790" s="78">
        <v>3000.0</v>
      </c>
      <c r="E790" s="79">
        <v>22840.98529815674</v>
      </c>
      <c r="F790" s="40" t="s">
        <v>1848</v>
      </c>
      <c r="G790" s="78">
        <v>56.14</v>
      </c>
      <c r="H790" s="78">
        <v>3.378371106816749E7</v>
      </c>
      <c r="I790" s="80">
        <v>45430.0</v>
      </c>
      <c r="J790" s="80">
        <v>45459.0</v>
      </c>
      <c r="K790" s="79">
        <v>17326.952934265137</v>
      </c>
      <c r="L790" s="81"/>
      <c r="M790" s="81"/>
      <c r="N790" s="86"/>
      <c r="O790" s="61"/>
      <c r="P790" s="61"/>
      <c r="Q790" s="61"/>
      <c r="R790" s="61" t="str">
        <f t="shared" si="6"/>
        <v>2024</v>
      </c>
      <c r="S790" s="62">
        <f t="shared" si="7"/>
        <v>6</v>
      </c>
      <c r="T790" s="61" t="str">
        <f t="shared" si="8"/>
        <v>2024-Q2</v>
      </c>
      <c r="U790" s="63" t="str">
        <f t="shared" si="9"/>
        <v>2024-06</v>
      </c>
      <c r="V790" s="64" t="str">
        <f t="shared" si="10"/>
        <v>2024-H1</v>
      </c>
      <c r="W790" s="32"/>
      <c r="X790" s="32"/>
    </row>
    <row r="791">
      <c r="A791" s="77">
        <f>HYPERLINK("https://polkadot.subsquare.io/referenda/789", 789)</f>
        <v>789</v>
      </c>
      <c r="B791" s="40" t="s">
        <v>1287</v>
      </c>
      <c r="C791" s="40" t="s">
        <v>1851</v>
      </c>
      <c r="D791" s="78">
        <v>2960.0</v>
      </c>
      <c r="E791" s="79">
        <v>22536.43882751465</v>
      </c>
      <c r="F791" s="40" t="s">
        <v>1848</v>
      </c>
      <c r="G791" s="78">
        <v>1.5190356339182127E7</v>
      </c>
      <c r="H791" s="78">
        <v>5675815.197525609</v>
      </c>
      <c r="I791" s="80">
        <v>45431.0</v>
      </c>
      <c r="J791" s="80">
        <v>45457.0</v>
      </c>
      <c r="K791" s="79">
        <v>17978.788414001465</v>
      </c>
      <c r="L791" s="70" t="s">
        <v>81</v>
      </c>
      <c r="M791" s="70" t="s">
        <v>88</v>
      </c>
      <c r="N791" s="61"/>
      <c r="O791" s="86"/>
      <c r="P791" s="86"/>
      <c r="Q791" s="86"/>
      <c r="R791" s="61" t="str">
        <f t="shared" si="6"/>
        <v>2024</v>
      </c>
      <c r="S791" s="62">
        <f t="shared" si="7"/>
        <v>6</v>
      </c>
      <c r="T791" s="61" t="str">
        <f t="shared" si="8"/>
        <v>2024-Q2</v>
      </c>
      <c r="U791" s="63" t="str">
        <f t="shared" si="9"/>
        <v>2024-06</v>
      </c>
      <c r="V791" s="64" t="str">
        <f t="shared" si="10"/>
        <v>2024-H1</v>
      </c>
      <c r="W791" s="32"/>
      <c r="X791" s="32"/>
    </row>
    <row r="792">
      <c r="A792" s="77">
        <f>HYPERLINK("https://polkadot.subsquare.io/referenda/790", 790)</f>
        <v>790</v>
      </c>
      <c r="B792" s="40" t="s">
        <v>2270</v>
      </c>
      <c r="C792" s="40" t="s">
        <v>1943</v>
      </c>
      <c r="D792" s="78">
        <v>0.0</v>
      </c>
      <c r="E792" s="79">
        <v>0.0</v>
      </c>
      <c r="F792" s="40" t="s">
        <v>1853</v>
      </c>
      <c r="G792" s="78">
        <v>1.7302899227684572E7</v>
      </c>
      <c r="H792" s="78">
        <v>4614350.64858874</v>
      </c>
      <c r="I792" s="80">
        <v>45431.0</v>
      </c>
      <c r="J792" s="80">
        <v>45462.0</v>
      </c>
      <c r="K792" s="79">
        <v>0.0</v>
      </c>
      <c r="L792" s="81"/>
      <c r="M792" s="81"/>
      <c r="N792" s="86" t="s">
        <v>1881</v>
      </c>
      <c r="O792" s="61"/>
      <c r="P792" s="61"/>
      <c r="Q792" s="61" t="s">
        <v>2271</v>
      </c>
      <c r="R792" s="61" t="str">
        <f t="shared" si="6"/>
        <v>2024</v>
      </c>
      <c r="S792" s="62">
        <f t="shared" si="7"/>
        <v>6</v>
      </c>
      <c r="T792" s="61" t="str">
        <f t="shared" si="8"/>
        <v>2024-Q2</v>
      </c>
      <c r="U792" s="63" t="str">
        <f t="shared" si="9"/>
        <v>2024-06</v>
      </c>
      <c r="V792" s="64" t="str">
        <f t="shared" si="10"/>
        <v>2024-H1</v>
      </c>
      <c r="W792" s="32"/>
      <c r="X792" s="32"/>
    </row>
    <row r="793">
      <c r="A793" s="77">
        <f>HYPERLINK("https://polkadot.subsquare.io/referenda/791", 791)</f>
        <v>791</v>
      </c>
      <c r="B793" s="40" t="s">
        <v>2272</v>
      </c>
      <c r="C793" s="40" t="s">
        <v>1851</v>
      </c>
      <c r="D793" s="78">
        <v>0.0</v>
      </c>
      <c r="E793" s="79">
        <v>0.0</v>
      </c>
      <c r="F793" s="40" t="s">
        <v>1852</v>
      </c>
      <c r="G793" s="78">
        <v>9.58845640645024E7</v>
      </c>
      <c r="H793" s="78">
        <v>68.2882659981</v>
      </c>
      <c r="I793" s="80">
        <v>45431.0</v>
      </c>
      <c r="J793" s="80">
        <v>45452.0</v>
      </c>
      <c r="K793" s="79">
        <v>0.0</v>
      </c>
      <c r="L793" s="70"/>
      <c r="M793" s="70"/>
      <c r="N793" s="61"/>
      <c r="O793" s="86"/>
      <c r="P793" s="86"/>
      <c r="Q793" s="86"/>
      <c r="R793" s="61" t="str">
        <f t="shared" si="6"/>
        <v>2024</v>
      </c>
      <c r="S793" s="62">
        <f t="shared" si="7"/>
        <v>6</v>
      </c>
      <c r="T793" s="61" t="str">
        <f t="shared" si="8"/>
        <v>2024-Q2</v>
      </c>
      <c r="U793" s="63" t="str">
        <f t="shared" si="9"/>
        <v>2024-06</v>
      </c>
      <c r="V793" s="64" t="str">
        <f t="shared" si="10"/>
        <v>2024-H1</v>
      </c>
      <c r="W793" s="32"/>
      <c r="X793" s="32"/>
    </row>
    <row r="794">
      <c r="A794" s="77">
        <f>HYPERLINK("https://polkadot.subsquare.io/referenda/792", 792)</f>
        <v>792</v>
      </c>
      <c r="B794" s="40" t="s">
        <v>1288</v>
      </c>
      <c r="C794" s="40" t="s">
        <v>1851</v>
      </c>
      <c r="D794" s="78">
        <v>4670.0</v>
      </c>
      <c r="E794" s="79">
        <v>34812.38008975983</v>
      </c>
      <c r="F794" s="40" t="s">
        <v>1848</v>
      </c>
      <c r="G794" s="78">
        <v>3.815879603813138E7</v>
      </c>
      <c r="H794" s="78">
        <v>10.0</v>
      </c>
      <c r="I794" s="80">
        <v>45431.0</v>
      </c>
      <c r="J794" s="80">
        <v>45449.0</v>
      </c>
      <c r="K794" s="79">
        <v>30461.302161216736</v>
      </c>
      <c r="L794" s="81" t="s">
        <v>46</v>
      </c>
      <c r="M794" s="81" t="s">
        <v>102</v>
      </c>
      <c r="N794" s="86"/>
      <c r="O794" s="61"/>
      <c r="P794" s="61" t="s">
        <v>1881</v>
      </c>
      <c r="Q794" s="61"/>
      <c r="R794" s="61" t="str">
        <f t="shared" si="6"/>
        <v>2024</v>
      </c>
      <c r="S794" s="62">
        <f t="shared" si="7"/>
        <v>6</v>
      </c>
      <c r="T794" s="61" t="str">
        <f t="shared" si="8"/>
        <v>2024-Q2</v>
      </c>
      <c r="U794" s="63" t="str">
        <f t="shared" si="9"/>
        <v>2024-06</v>
      </c>
      <c r="V794" s="64" t="str">
        <f t="shared" si="10"/>
        <v>2024-H1</v>
      </c>
      <c r="W794" s="32"/>
      <c r="X794" s="32"/>
    </row>
    <row r="795">
      <c r="A795" s="77">
        <f>HYPERLINK("https://polkadot.subsquare.io/referenda/793", 793)</f>
        <v>793</v>
      </c>
      <c r="B795" s="40" t="s">
        <v>1289</v>
      </c>
      <c r="C795" s="40" t="s">
        <v>1851</v>
      </c>
      <c r="D795" s="78">
        <v>1.0</v>
      </c>
      <c r="E795" s="79">
        <v>7.454471111297607</v>
      </c>
      <c r="F795" s="40" t="s">
        <v>982</v>
      </c>
      <c r="G795" s="78">
        <v>9299448.942535723</v>
      </c>
      <c r="H795" s="78">
        <v>60786.0616552183</v>
      </c>
      <c r="I795" s="80">
        <v>45431.0</v>
      </c>
      <c r="J795" s="80">
        <v>45434.0</v>
      </c>
      <c r="K795" s="79">
        <v>7.244290828704834</v>
      </c>
      <c r="L795" s="70" t="s">
        <v>81</v>
      </c>
      <c r="M795" s="70" t="s">
        <v>88</v>
      </c>
      <c r="N795" s="61"/>
      <c r="O795" s="86"/>
      <c r="P795" s="86"/>
      <c r="Q795" s="86"/>
      <c r="R795" s="61" t="str">
        <f t="shared" si="6"/>
        <v>2024</v>
      </c>
      <c r="S795" s="62">
        <f t="shared" si="7"/>
        <v>5</v>
      </c>
      <c r="T795" s="61" t="str">
        <f t="shared" si="8"/>
        <v>2024-Q2</v>
      </c>
      <c r="U795" s="63" t="str">
        <f t="shared" si="9"/>
        <v>2024-05</v>
      </c>
      <c r="V795" s="64" t="str">
        <f t="shared" si="10"/>
        <v>2024-H1</v>
      </c>
      <c r="W795" s="32"/>
      <c r="X795" s="32"/>
    </row>
    <row r="796">
      <c r="A796" s="77">
        <f>HYPERLINK("https://polkadot.subsquare.io/referenda/794", 794)</f>
        <v>794</v>
      </c>
      <c r="B796" s="40" t="s">
        <v>2273</v>
      </c>
      <c r="C796" s="40" t="s">
        <v>1846</v>
      </c>
      <c r="D796" s="78">
        <v>500000.0</v>
      </c>
      <c r="E796" s="79">
        <v>3600387.0964050293</v>
      </c>
      <c r="F796" s="40" t="s">
        <v>1855</v>
      </c>
      <c r="G796" s="78">
        <v>4906243.470630565</v>
      </c>
      <c r="H796" s="78">
        <v>6.111776766735148E7</v>
      </c>
      <c r="I796" s="80">
        <v>45432.0</v>
      </c>
      <c r="J796" s="80">
        <v>45461.0</v>
      </c>
      <c r="K796" s="79">
        <v>2805531.0249328613</v>
      </c>
      <c r="L796" s="81"/>
      <c r="M796" s="81"/>
      <c r="N796" s="86"/>
      <c r="O796" s="61"/>
      <c r="P796" s="61"/>
      <c r="Q796" s="61"/>
      <c r="R796" s="61" t="str">
        <f t="shared" si="6"/>
        <v>2024</v>
      </c>
      <c r="S796" s="62">
        <f t="shared" si="7"/>
        <v>6</v>
      </c>
      <c r="T796" s="61" t="str">
        <f t="shared" si="8"/>
        <v>2024-Q2</v>
      </c>
      <c r="U796" s="63" t="str">
        <f t="shared" si="9"/>
        <v>2024-06</v>
      </c>
      <c r="V796" s="64" t="str">
        <f t="shared" si="10"/>
        <v>2024-H1</v>
      </c>
      <c r="W796" s="32"/>
      <c r="X796" s="32"/>
    </row>
    <row r="797">
      <c r="A797" s="77">
        <f>HYPERLINK("https://polkadot.subsquare.io/referenda/795", 795)</f>
        <v>795</v>
      </c>
      <c r="B797" s="40" t="s">
        <v>2274</v>
      </c>
      <c r="C797" s="40" t="s">
        <v>1846</v>
      </c>
      <c r="D797" s="78">
        <v>499999.0</v>
      </c>
      <c r="E797" s="79">
        <v>3600379.8956308365</v>
      </c>
      <c r="F797" s="40" t="s">
        <v>1855</v>
      </c>
      <c r="G797" s="78">
        <v>3573791.397174845</v>
      </c>
      <c r="H797" s="78">
        <v>6.953058545585497E7</v>
      </c>
      <c r="I797" s="80">
        <v>45432.0</v>
      </c>
      <c r="J797" s="80">
        <v>45461.0</v>
      </c>
      <c r="K797" s="79">
        <v>2805525.4138708115</v>
      </c>
      <c r="L797" s="70"/>
      <c r="M797" s="70"/>
      <c r="N797" s="61"/>
      <c r="O797" s="86"/>
      <c r="P797" s="86"/>
      <c r="Q797" s="86"/>
      <c r="R797" s="61" t="str">
        <f t="shared" si="6"/>
        <v>2024</v>
      </c>
      <c r="S797" s="62">
        <f t="shared" si="7"/>
        <v>6</v>
      </c>
      <c r="T797" s="61" t="str">
        <f t="shared" si="8"/>
        <v>2024-Q2</v>
      </c>
      <c r="U797" s="63" t="str">
        <f t="shared" si="9"/>
        <v>2024-06</v>
      </c>
      <c r="V797" s="64" t="str">
        <f t="shared" si="10"/>
        <v>2024-H1</v>
      </c>
      <c r="W797" s="32"/>
      <c r="X797" s="32"/>
    </row>
    <row r="798">
      <c r="A798" s="77">
        <f>HYPERLINK("https://polkadot.subsquare.io/referenda/72", 72)</f>
        <v>72</v>
      </c>
      <c r="B798" s="40" t="s">
        <v>978</v>
      </c>
      <c r="C798" s="40" t="s">
        <v>1851</v>
      </c>
      <c r="D798" s="78">
        <v>100.0</v>
      </c>
      <c r="E798" s="79">
        <v>545.2579021453857</v>
      </c>
      <c r="F798" s="40" t="s">
        <v>982</v>
      </c>
      <c r="G798" s="78">
        <v>400680.9321555039</v>
      </c>
      <c r="H798" s="78">
        <v>173599.7699847809</v>
      </c>
      <c r="I798" s="80">
        <v>45118.0</v>
      </c>
      <c r="J798" s="80">
        <v>45124.0</v>
      </c>
      <c r="K798" s="79">
        <v>519.7083950042725</v>
      </c>
      <c r="L798" s="81" t="s">
        <v>46</v>
      </c>
      <c r="M798" s="85" t="s">
        <v>116</v>
      </c>
      <c r="N798" s="61"/>
      <c r="O798" s="63"/>
      <c r="P798" s="63"/>
      <c r="Q798" s="63"/>
      <c r="R798" s="61" t="str">
        <f t="shared" si="6"/>
        <v>2023</v>
      </c>
      <c r="S798" s="62">
        <f t="shared" si="7"/>
        <v>7</v>
      </c>
      <c r="T798" s="61" t="str">
        <f t="shared" si="8"/>
        <v>2023-Q3</v>
      </c>
      <c r="U798" s="63" t="str">
        <f t="shared" si="9"/>
        <v>2023-07</v>
      </c>
      <c r="V798" s="64" t="str">
        <f t="shared" si="10"/>
        <v>2023-H2</v>
      </c>
      <c r="W798" s="32"/>
      <c r="X798" s="32"/>
    </row>
    <row r="799">
      <c r="A799" s="77">
        <f>HYPERLINK("https://polkadot.subsquare.io/referenda/797", 797)</f>
        <v>797</v>
      </c>
      <c r="B799" s="40" t="s">
        <v>1291</v>
      </c>
      <c r="C799" s="40" t="s">
        <v>1851</v>
      </c>
      <c r="D799" s="78">
        <v>60431.0</v>
      </c>
      <c r="E799" s="79">
        <v>435149.98524570465</v>
      </c>
      <c r="F799" s="40" t="s">
        <v>1853</v>
      </c>
      <c r="G799" s="78">
        <v>5.332484746138717E7</v>
      </c>
      <c r="H799" s="78">
        <v>4.383770920827704E7</v>
      </c>
      <c r="I799" s="80">
        <v>45433.0</v>
      </c>
      <c r="J799" s="80">
        <v>45457.0</v>
      </c>
      <c r="K799" s="79">
        <v>367052.7576508522</v>
      </c>
      <c r="L799" s="70" t="s">
        <v>50</v>
      </c>
      <c r="M799" s="70" t="s">
        <v>151</v>
      </c>
      <c r="N799" s="61"/>
      <c r="O799" s="86"/>
      <c r="P799" s="86"/>
      <c r="Q799" s="86"/>
      <c r="R799" s="61" t="str">
        <f t="shared" si="6"/>
        <v>2024</v>
      </c>
      <c r="S799" s="62">
        <f t="shared" si="7"/>
        <v>6</v>
      </c>
      <c r="T799" s="61" t="str">
        <f t="shared" si="8"/>
        <v>2024-Q2</v>
      </c>
      <c r="U799" s="63" t="str">
        <f t="shared" si="9"/>
        <v>2024-06</v>
      </c>
      <c r="V799" s="64" t="str">
        <f t="shared" si="10"/>
        <v>2024-H1</v>
      </c>
      <c r="W799" s="32"/>
      <c r="X799" s="32"/>
    </row>
    <row r="800">
      <c r="A800" s="77">
        <f>HYPERLINK("https://polkadot.subsquare.io/referenda/798", 798)</f>
        <v>798</v>
      </c>
      <c r="B800" s="40" t="s">
        <v>1292</v>
      </c>
      <c r="C800" s="40" t="s">
        <v>1851</v>
      </c>
      <c r="D800" s="78">
        <v>4015.0</v>
      </c>
      <c r="E800" s="79">
        <v>29085.82767724991</v>
      </c>
      <c r="F800" s="40" t="s">
        <v>1848</v>
      </c>
      <c r="G800" s="78">
        <v>1.279854844864592E7</v>
      </c>
      <c r="H800" s="78">
        <v>41584.8814301461</v>
      </c>
      <c r="I800" s="80">
        <v>45433.0</v>
      </c>
      <c r="J800" s="80">
        <v>45456.0</v>
      </c>
      <c r="K800" s="79">
        <v>24977.36747264862</v>
      </c>
      <c r="L800" s="81" t="s">
        <v>81</v>
      </c>
      <c r="M800" s="81" t="s">
        <v>89</v>
      </c>
      <c r="N800" s="86"/>
      <c r="O800" s="61"/>
      <c r="P800" s="61"/>
      <c r="Q800" s="61"/>
      <c r="R800" s="61" t="str">
        <f t="shared" si="6"/>
        <v>2024</v>
      </c>
      <c r="S800" s="62">
        <f t="shared" si="7"/>
        <v>6</v>
      </c>
      <c r="T800" s="61" t="str">
        <f t="shared" si="8"/>
        <v>2024-Q2</v>
      </c>
      <c r="U800" s="63" t="str">
        <f t="shared" si="9"/>
        <v>2024-06</v>
      </c>
      <c r="V800" s="64" t="str">
        <f t="shared" si="10"/>
        <v>2024-H1</v>
      </c>
      <c r="W800" s="32"/>
      <c r="X800" s="32"/>
    </row>
    <row r="801">
      <c r="A801" s="77">
        <f>HYPERLINK("https://polkadot.subsquare.io/referenda/799", 799)</f>
        <v>799</v>
      </c>
      <c r="B801" s="40" t="s">
        <v>1293</v>
      </c>
      <c r="C801" s="40" t="s">
        <v>1851</v>
      </c>
      <c r="D801" s="78">
        <v>80.0</v>
      </c>
      <c r="E801" s="79">
        <v>579.5432662963867</v>
      </c>
      <c r="F801" s="40" t="s">
        <v>982</v>
      </c>
      <c r="G801" s="78">
        <v>6439928.768173273</v>
      </c>
      <c r="H801" s="78">
        <v>2123298.623768541</v>
      </c>
      <c r="I801" s="80">
        <v>45433.0</v>
      </c>
      <c r="J801" s="80">
        <v>45438.0</v>
      </c>
      <c r="K801" s="79">
        <v>589.3658447265625</v>
      </c>
      <c r="L801" s="70" t="s">
        <v>81</v>
      </c>
      <c r="M801" s="70" t="s">
        <v>87</v>
      </c>
      <c r="N801" s="61"/>
      <c r="O801" s="86"/>
      <c r="P801" s="86"/>
      <c r="Q801" s="86"/>
      <c r="R801" s="61" t="str">
        <f t="shared" si="6"/>
        <v>2024</v>
      </c>
      <c r="S801" s="62">
        <f t="shared" si="7"/>
        <v>5</v>
      </c>
      <c r="T801" s="61" t="str">
        <f t="shared" si="8"/>
        <v>2024-Q2</v>
      </c>
      <c r="U801" s="63" t="str">
        <f t="shared" si="9"/>
        <v>2024-05</v>
      </c>
      <c r="V801" s="64" t="str">
        <f t="shared" si="10"/>
        <v>2024-H1</v>
      </c>
      <c r="W801" s="32"/>
      <c r="X801" s="32"/>
    </row>
    <row r="802">
      <c r="A802" s="77">
        <f>HYPERLINK("https://polkadot.subsquare.io/referenda/800", 800)</f>
        <v>800</v>
      </c>
      <c r="B802" s="40" t="s">
        <v>2275</v>
      </c>
      <c r="C802" s="40" t="s">
        <v>1846</v>
      </c>
      <c r="D802" s="78">
        <v>8822.0</v>
      </c>
      <c r="E802" s="79">
        <v>63909.133690834045</v>
      </c>
      <c r="F802" s="40" t="s">
        <v>1848</v>
      </c>
      <c r="G802" s="78">
        <v>152076.357810075</v>
      </c>
      <c r="H802" s="78">
        <v>2.978150168888647E7</v>
      </c>
      <c r="I802" s="80">
        <v>45433.0</v>
      </c>
      <c r="J802" s="80">
        <v>45464.0</v>
      </c>
      <c r="K802" s="79">
        <v>49799.23912715912</v>
      </c>
      <c r="L802" s="81"/>
      <c r="M802" s="81"/>
      <c r="N802" s="86"/>
      <c r="O802" s="61"/>
      <c r="P802" s="61"/>
      <c r="Q802" s="61"/>
      <c r="R802" s="61" t="str">
        <f t="shared" si="6"/>
        <v>2024</v>
      </c>
      <c r="S802" s="62">
        <f t="shared" si="7"/>
        <v>6</v>
      </c>
      <c r="T802" s="61" t="str">
        <f t="shared" si="8"/>
        <v>2024-Q2</v>
      </c>
      <c r="U802" s="63" t="str">
        <f t="shared" si="9"/>
        <v>2024-06</v>
      </c>
      <c r="V802" s="64" t="str">
        <f t="shared" si="10"/>
        <v>2024-H1</v>
      </c>
      <c r="W802" s="32"/>
      <c r="X802" s="32"/>
    </row>
    <row r="803">
      <c r="A803" s="77">
        <f>HYPERLINK("https://polkadot.subsquare.io/referenda/801", 801)</f>
        <v>801</v>
      </c>
      <c r="B803" s="40" t="s">
        <v>2276</v>
      </c>
      <c r="C803" s="40" t="s">
        <v>1851</v>
      </c>
      <c r="D803" s="78">
        <v>0.0</v>
      </c>
      <c r="E803" s="79">
        <v>0.0</v>
      </c>
      <c r="F803" s="40" t="s">
        <v>2221</v>
      </c>
      <c r="G803" s="78">
        <v>4.638678910095427E7</v>
      </c>
      <c r="H803" s="78">
        <v>76010.101</v>
      </c>
      <c r="I803" s="80">
        <v>45433.0</v>
      </c>
      <c r="J803" s="80">
        <v>45462.0</v>
      </c>
      <c r="K803" s="79">
        <v>0.0</v>
      </c>
      <c r="L803" s="70"/>
      <c r="M803" s="70"/>
      <c r="N803" s="61"/>
      <c r="O803" s="86"/>
      <c r="P803" s="86"/>
      <c r="Q803" s="86"/>
      <c r="R803" s="61" t="str">
        <f t="shared" si="6"/>
        <v>2024</v>
      </c>
      <c r="S803" s="62">
        <f t="shared" si="7"/>
        <v>6</v>
      </c>
      <c r="T803" s="61" t="str">
        <f t="shared" si="8"/>
        <v>2024-Q2</v>
      </c>
      <c r="U803" s="63" t="str">
        <f t="shared" si="9"/>
        <v>2024-06</v>
      </c>
      <c r="V803" s="64" t="str">
        <f t="shared" si="10"/>
        <v>2024-H1</v>
      </c>
      <c r="W803" s="32"/>
      <c r="X803" s="32"/>
    </row>
    <row r="804">
      <c r="A804" s="77">
        <f>HYPERLINK("https://polkadot.subsquare.io/referenda/802", 802)</f>
        <v>802</v>
      </c>
      <c r="B804" s="40" t="s">
        <v>2277</v>
      </c>
      <c r="C804" s="40" t="s">
        <v>1851</v>
      </c>
      <c r="D804" s="78">
        <v>0.0</v>
      </c>
      <c r="E804" s="79">
        <v>0.0</v>
      </c>
      <c r="F804" s="40" t="s">
        <v>1853</v>
      </c>
      <c r="G804" s="78">
        <v>1.77674757830758E7</v>
      </c>
      <c r="H804" s="78">
        <v>4621720.852027668</v>
      </c>
      <c r="I804" s="80">
        <v>45433.0</v>
      </c>
      <c r="J804" s="80">
        <v>45463.0</v>
      </c>
      <c r="K804" s="79">
        <v>0.0</v>
      </c>
      <c r="L804" s="81"/>
      <c r="M804" s="81"/>
      <c r="N804" s="86"/>
      <c r="O804" s="61"/>
      <c r="P804" s="61"/>
      <c r="Q804" s="61"/>
      <c r="R804" s="61" t="str">
        <f t="shared" si="6"/>
        <v>2024</v>
      </c>
      <c r="S804" s="62">
        <f t="shared" si="7"/>
        <v>6</v>
      </c>
      <c r="T804" s="61" t="str">
        <f t="shared" si="8"/>
        <v>2024-Q2</v>
      </c>
      <c r="U804" s="63" t="str">
        <f t="shared" si="9"/>
        <v>2024-06</v>
      </c>
      <c r="V804" s="64" t="str">
        <f t="shared" si="10"/>
        <v>2024-H1</v>
      </c>
      <c r="W804" s="32"/>
      <c r="X804" s="32"/>
    </row>
    <row r="805">
      <c r="A805" s="77">
        <f>HYPERLINK("https://polkadot.subsquare.io/referenda/803", 803)</f>
        <v>803</v>
      </c>
      <c r="B805" s="40" t="s">
        <v>1294</v>
      </c>
      <c r="C805" s="40" t="s">
        <v>1851</v>
      </c>
      <c r="D805" s="78">
        <v>9461.0</v>
      </c>
      <c r="E805" s="79">
        <v>68538.23553037643</v>
      </c>
      <c r="F805" s="40" t="s">
        <v>1848</v>
      </c>
      <c r="G805" s="78">
        <v>1.0913055714323848E7</v>
      </c>
      <c r="H805" s="78">
        <v>168058.6270478275</v>
      </c>
      <c r="I805" s="80">
        <v>45433.0</v>
      </c>
      <c r="J805" s="80">
        <v>45460.0</v>
      </c>
      <c r="K805" s="79">
        <v>54819.03844976425</v>
      </c>
      <c r="L805" s="70" t="s">
        <v>81</v>
      </c>
      <c r="M805" s="70" t="s">
        <v>89</v>
      </c>
      <c r="N805" s="65"/>
      <c r="O805" s="86"/>
      <c r="P805" s="86"/>
      <c r="Q805" s="86"/>
      <c r="R805" s="61" t="str">
        <f t="shared" si="6"/>
        <v>2024</v>
      </c>
      <c r="S805" s="62">
        <f t="shared" si="7"/>
        <v>6</v>
      </c>
      <c r="T805" s="61" t="str">
        <f t="shared" si="8"/>
        <v>2024-Q2</v>
      </c>
      <c r="U805" s="63" t="str">
        <f t="shared" si="9"/>
        <v>2024-06</v>
      </c>
      <c r="V805" s="64" t="str">
        <f t="shared" si="10"/>
        <v>2024-H1</v>
      </c>
      <c r="W805" s="32"/>
      <c r="X805" s="32"/>
    </row>
    <row r="806">
      <c r="A806" s="77">
        <f>HYPERLINK("https://polkadot.subsquare.io/referenda/804", 804)</f>
        <v>804</v>
      </c>
      <c r="B806" s="40" t="s">
        <v>2278</v>
      </c>
      <c r="C806" s="40" t="s">
        <v>1851</v>
      </c>
      <c r="D806" s="78">
        <v>0.0</v>
      </c>
      <c r="E806" s="79">
        <v>0.0</v>
      </c>
      <c r="F806" s="40" t="s">
        <v>1853</v>
      </c>
      <c r="G806" s="78">
        <v>9906673.546190666</v>
      </c>
      <c r="H806" s="78">
        <v>19715.001</v>
      </c>
      <c r="I806" s="80">
        <v>45434.0</v>
      </c>
      <c r="J806" s="80">
        <v>45461.0</v>
      </c>
      <c r="K806" s="79">
        <v>0.0</v>
      </c>
      <c r="L806" s="81"/>
      <c r="M806" s="81"/>
      <c r="N806" s="86"/>
      <c r="O806" s="61" t="s">
        <v>1881</v>
      </c>
      <c r="P806" s="61" t="s">
        <v>1881</v>
      </c>
      <c r="Q806" s="61"/>
      <c r="R806" s="61" t="str">
        <f t="shared" si="6"/>
        <v>2024</v>
      </c>
      <c r="S806" s="62">
        <f t="shared" si="7"/>
        <v>6</v>
      </c>
      <c r="T806" s="61" t="str">
        <f t="shared" si="8"/>
        <v>2024-Q2</v>
      </c>
      <c r="U806" s="63" t="str">
        <f t="shared" si="9"/>
        <v>2024-06</v>
      </c>
      <c r="V806" s="64" t="str">
        <f t="shared" si="10"/>
        <v>2024-H1</v>
      </c>
      <c r="W806" s="32"/>
      <c r="X806" s="32"/>
    </row>
    <row r="807">
      <c r="A807" s="77">
        <f>HYPERLINK("https://polkadot.subsquare.io/referenda/805", 805)</f>
        <v>805</v>
      </c>
      <c r="B807" s="40" t="s">
        <v>2279</v>
      </c>
      <c r="C807" s="40" t="s">
        <v>1846</v>
      </c>
      <c r="D807" s="78">
        <v>3690.0</v>
      </c>
      <c r="E807" s="79">
        <v>27849.29367542267</v>
      </c>
      <c r="F807" s="40" t="s">
        <v>1848</v>
      </c>
      <c r="G807" s="78">
        <v>4287060.945655815</v>
      </c>
      <c r="H807" s="78">
        <v>3.1604780024466682E7</v>
      </c>
      <c r="I807" s="80">
        <v>45435.0</v>
      </c>
      <c r="J807" s="80">
        <v>45464.0</v>
      </c>
      <c r="K807" s="79">
        <v>20829.652276039124</v>
      </c>
      <c r="L807" s="70"/>
      <c r="M807" s="70"/>
      <c r="N807" s="61"/>
      <c r="O807" s="86"/>
      <c r="P807" s="86"/>
      <c r="Q807" s="86"/>
      <c r="R807" s="61" t="str">
        <f t="shared" si="6"/>
        <v>2024</v>
      </c>
      <c r="S807" s="62">
        <f t="shared" si="7"/>
        <v>6</v>
      </c>
      <c r="T807" s="61" t="str">
        <f t="shared" si="8"/>
        <v>2024-Q2</v>
      </c>
      <c r="U807" s="63" t="str">
        <f t="shared" si="9"/>
        <v>2024-06</v>
      </c>
      <c r="V807" s="64" t="str">
        <f t="shared" si="10"/>
        <v>2024-H1</v>
      </c>
      <c r="W807" s="32"/>
      <c r="X807" s="32"/>
    </row>
    <row r="808">
      <c r="A808" s="77">
        <f>HYPERLINK("https://polkadot.subsquare.io/referenda/806", 806)</f>
        <v>806</v>
      </c>
      <c r="B808" s="40" t="s">
        <v>2280</v>
      </c>
      <c r="C808" s="40" t="s">
        <v>1846</v>
      </c>
      <c r="D808" s="78">
        <v>891.0</v>
      </c>
      <c r="E808" s="79">
        <v>6724.585546016693</v>
      </c>
      <c r="F808" s="40" t="s">
        <v>1869</v>
      </c>
      <c r="G808" s="78">
        <v>0.0913564389</v>
      </c>
      <c r="H808" s="78">
        <v>3.4956384803095385E7</v>
      </c>
      <c r="I808" s="80">
        <v>45435.0</v>
      </c>
      <c r="J808" s="80">
        <v>45442.0</v>
      </c>
      <c r="K808" s="79">
        <v>6227.234549045563</v>
      </c>
      <c r="L808" s="81"/>
      <c r="M808" s="81"/>
      <c r="N808" s="86"/>
      <c r="O808" s="61"/>
      <c r="P808" s="61"/>
      <c r="Q808" s="61"/>
      <c r="R808" s="61" t="str">
        <f t="shared" si="6"/>
        <v>2024</v>
      </c>
      <c r="S808" s="62">
        <f t="shared" si="7"/>
        <v>5</v>
      </c>
      <c r="T808" s="61" t="str">
        <f t="shared" si="8"/>
        <v>2024-Q2</v>
      </c>
      <c r="U808" s="63" t="str">
        <f t="shared" si="9"/>
        <v>2024-05</v>
      </c>
      <c r="V808" s="64" t="str">
        <f t="shared" si="10"/>
        <v>2024-H1</v>
      </c>
      <c r="W808" s="32"/>
      <c r="X808" s="32"/>
    </row>
    <row r="809">
      <c r="A809" s="77">
        <f>HYPERLINK("https://polkadot.subsquare.io/referenda/807", 807)</f>
        <v>807</v>
      </c>
      <c r="B809" s="40" t="s">
        <v>2281</v>
      </c>
      <c r="C809" s="40" t="s">
        <v>1861</v>
      </c>
      <c r="D809" s="78">
        <v>1.45E10</v>
      </c>
      <c r="E809" s="79">
        <v>1.1061022138595581E11</v>
      </c>
      <c r="F809" s="40" t="s">
        <v>1853</v>
      </c>
      <c r="G809" s="78">
        <v>0.0</v>
      </c>
      <c r="H809" s="78">
        <v>3.2192816949837215E7</v>
      </c>
      <c r="I809" s="80">
        <v>45437.0</v>
      </c>
      <c r="J809" s="80">
        <v>45451.0</v>
      </c>
      <c r="K809" s="79">
        <v>9.435797810554504E10</v>
      </c>
      <c r="L809" s="70"/>
      <c r="M809" s="70"/>
      <c r="N809" s="61"/>
      <c r="O809" s="86"/>
      <c r="P809" s="86"/>
      <c r="Q809" s="86"/>
      <c r="R809" s="61" t="str">
        <f t="shared" si="6"/>
        <v>2024</v>
      </c>
      <c r="S809" s="62">
        <f t="shared" si="7"/>
        <v>6</v>
      </c>
      <c r="T809" s="61" t="str">
        <f t="shared" si="8"/>
        <v>2024-Q2</v>
      </c>
      <c r="U809" s="63" t="str">
        <f t="shared" si="9"/>
        <v>2024-06</v>
      </c>
      <c r="V809" s="64" t="str">
        <f t="shared" si="10"/>
        <v>2024-H1</v>
      </c>
      <c r="W809" s="32"/>
      <c r="X809" s="32"/>
    </row>
    <row r="810">
      <c r="A810" s="77">
        <f>HYPERLINK("https://polkadot.subsquare.io/referenda/808", 808)</f>
        <v>808</v>
      </c>
      <c r="B810" s="40" t="s">
        <v>2282</v>
      </c>
      <c r="C810" s="40" t="s">
        <v>1846</v>
      </c>
      <c r="D810" s="78">
        <v>14500.0</v>
      </c>
      <c r="E810" s="79">
        <v>110610.22138595581</v>
      </c>
      <c r="F810" s="40" t="s">
        <v>1853</v>
      </c>
      <c r="G810" s="78">
        <v>4396613.709590542</v>
      </c>
      <c r="H810" s="78">
        <v>2.2130882194698054E7</v>
      </c>
      <c r="I810" s="80">
        <v>45437.0</v>
      </c>
      <c r="J810" s="80">
        <v>45465.0</v>
      </c>
      <c r="K810" s="79">
        <v>84716.17698669434</v>
      </c>
      <c r="L810" s="81"/>
      <c r="M810" s="81"/>
      <c r="N810" s="86"/>
      <c r="O810" s="61"/>
      <c r="P810" s="61"/>
      <c r="Q810" s="61"/>
      <c r="R810" s="61" t="str">
        <f t="shared" si="6"/>
        <v>2024</v>
      </c>
      <c r="S810" s="62">
        <f t="shared" si="7"/>
        <v>6</v>
      </c>
      <c r="T810" s="61" t="str">
        <f t="shared" si="8"/>
        <v>2024-Q2</v>
      </c>
      <c r="U810" s="63" t="str">
        <f t="shared" si="9"/>
        <v>2024-06</v>
      </c>
      <c r="V810" s="64" t="str">
        <f t="shared" si="10"/>
        <v>2024-H1</v>
      </c>
      <c r="W810" s="32"/>
      <c r="X810" s="32"/>
    </row>
    <row r="811">
      <c r="A811" s="77">
        <f>HYPERLINK("https://polkadot.subsquare.io/referenda/809", 809)</f>
        <v>809</v>
      </c>
      <c r="B811" s="40" t="s">
        <v>1295</v>
      </c>
      <c r="C811" s="40" t="s">
        <v>1851</v>
      </c>
      <c r="D811" s="78">
        <v>2737.92</v>
      </c>
      <c r="E811" s="79">
        <v>20885.65085083008</v>
      </c>
      <c r="F811" s="40" t="s">
        <v>1848</v>
      </c>
      <c r="G811" s="78">
        <v>1.9150399945134796E7</v>
      </c>
      <c r="H811" s="78">
        <v>76838.1089106387</v>
      </c>
      <c r="I811" s="80">
        <v>45437.0</v>
      </c>
      <c r="J811" s="80">
        <v>45463.0</v>
      </c>
      <c r="K811" s="79">
        <v>15737.2081439209</v>
      </c>
      <c r="L811" s="70" t="s">
        <v>49</v>
      </c>
      <c r="M811" s="70" t="s">
        <v>108</v>
      </c>
      <c r="N811" s="61"/>
      <c r="O811" s="86"/>
      <c r="P811" s="86"/>
      <c r="Q811" s="86"/>
      <c r="R811" s="61" t="str">
        <f t="shared" si="6"/>
        <v>2024</v>
      </c>
      <c r="S811" s="62">
        <f t="shared" si="7"/>
        <v>6</v>
      </c>
      <c r="T811" s="61" t="str">
        <f t="shared" si="8"/>
        <v>2024-Q2</v>
      </c>
      <c r="U811" s="63" t="str">
        <f t="shared" si="9"/>
        <v>2024-06</v>
      </c>
      <c r="V811" s="64" t="str">
        <f t="shared" si="10"/>
        <v>2024-H1</v>
      </c>
      <c r="W811" s="32"/>
      <c r="X811" s="32"/>
    </row>
    <row r="812">
      <c r="A812" s="77">
        <f>HYPERLINK("https://polkadot.subsquare.io/referenda/810", 810)</f>
        <v>810</v>
      </c>
      <c r="B812" s="40" t="s">
        <v>2037</v>
      </c>
      <c r="C812" s="40" t="s">
        <v>1861</v>
      </c>
      <c r="D812" s="78">
        <v>0.0</v>
      </c>
      <c r="E812" s="79">
        <v>0.0</v>
      </c>
      <c r="F812" s="40" t="s">
        <v>1848</v>
      </c>
      <c r="G812" s="78">
        <v>1.0E-10</v>
      </c>
      <c r="H812" s="78">
        <v>3.991197932212979E7</v>
      </c>
      <c r="I812" s="80">
        <v>45437.0</v>
      </c>
      <c r="J812" s="80">
        <v>45451.0</v>
      </c>
      <c r="K812" s="79">
        <v>0.0</v>
      </c>
      <c r="L812" s="81"/>
      <c r="M812" s="81"/>
      <c r="N812" s="86"/>
      <c r="O812" s="61"/>
      <c r="P812" s="61"/>
      <c r="Q812" s="61"/>
      <c r="R812" s="61" t="str">
        <f t="shared" si="6"/>
        <v>2024</v>
      </c>
      <c r="S812" s="62">
        <f t="shared" si="7"/>
        <v>6</v>
      </c>
      <c r="T812" s="61" t="str">
        <f t="shared" si="8"/>
        <v>2024-Q2</v>
      </c>
      <c r="U812" s="63" t="str">
        <f t="shared" si="9"/>
        <v>2024-06</v>
      </c>
      <c r="V812" s="64" t="str">
        <f t="shared" si="10"/>
        <v>2024-H1</v>
      </c>
      <c r="W812" s="32"/>
      <c r="X812" s="32"/>
    </row>
    <row r="813">
      <c r="A813" s="77">
        <f>HYPERLINK("https://polkadot.subsquare.io/referenda/811", 811)</f>
        <v>811</v>
      </c>
      <c r="B813" s="40" t="s">
        <v>2283</v>
      </c>
      <c r="C813" s="40" t="s">
        <v>1861</v>
      </c>
      <c r="D813" s="78">
        <v>6.0E-7</v>
      </c>
      <c r="E813" s="79">
        <v>4.420243835449218E-6</v>
      </c>
      <c r="F813" s="40" t="s">
        <v>1848</v>
      </c>
      <c r="G813" s="78">
        <v>0.0</v>
      </c>
      <c r="H813" s="78">
        <v>4011038.3556390903</v>
      </c>
      <c r="I813" s="80">
        <v>45438.0</v>
      </c>
      <c r="J813" s="80">
        <v>45452.0</v>
      </c>
      <c r="K813" s="79">
        <v>3.827938270568847E-6</v>
      </c>
      <c r="L813" s="70"/>
      <c r="M813" s="70"/>
      <c r="N813" s="61"/>
      <c r="O813" s="86"/>
      <c r="P813" s="86"/>
      <c r="Q813" s="86"/>
      <c r="R813" s="61" t="str">
        <f t="shared" si="6"/>
        <v>2024</v>
      </c>
      <c r="S813" s="62">
        <f t="shared" si="7"/>
        <v>6</v>
      </c>
      <c r="T813" s="61" t="str">
        <f t="shared" si="8"/>
        <v>2024-Q2</v>
      </c>
      <c r="U813" s="63" t="str">
        <f t="shared" si="9"/>
        <v>2024-06</v>
      </c>
      <c r="V813" s="64" t="str">
        <f t="shared" si="10"/>
        <v>2024-H1</v>
      </c>
      <c r="W813" s="32"/>
      <c r="X813" s="32"/>
    </row>
    <row r="814">
      <c r="A814" s="77">
        <f>HYPERLINK("https://polkadot.subsquare.io/referenda/812", 812)</f>
        <v>812</v>
      </c>
      <c r="B814" s="40" t="s">
        <v>1296</v>
      </c>
      <c r="C814" s="40" t="s">
        <v>1851</v>
      </c>
      <c r="D814" s="78">
        <v>6000.0</v>
      </c>
      <c r="E814" s="79">
        <v>44202.43835449219</v>
      </c>
      <c r="F814" s="40" t="s">
        <v>1848</v>
      </c>
      <c r="G814" s="78">
        <v>1.6703818859296778E7</v>
      </c>
      <c r="H814" s="78">
        <v>20669.3329564742</v>
      </c>
      <c r="I814" s="80">
        <v>45438.0</v>
      </c>
      <c r="J814" s="80">
        <v>45459.0</v>
      </c>
      <c r="K814" s="79">
        <v>34765.27118682861</v>
      </c>
      <c r="L814" s="81" t="s">
        <v>46</v>
      </c>
      <c r="M814" s="81" t="s">
        <v>110</v>
      </c>
      <c r="N814" s="86"/>
      <c r="O814" s="61"/>
      <c r="P814" s="61"/>
      <c r="Q814" s="61"/>
      <c r="R814" s="61" t="str">
        <f t="shared" si="6"/>
        <v>2024</v>
      </c>
      <c r="S814" s="62">
        <f t="shared" si="7"/>
        <v>6</v>
      </c>
      <c r="T814" s="61" t="str">
        <f t="shared" si="8"/>
        <v>2024-Q2</v>
      </c>
      <c r="U814" s="63" t="str">
        <f t="shared" si="9"/>
        <v>2024-06</v>
      </c>
      <c r="V814" s="64" t="str">
        <f t="shared" si="10"/>
        <v>2024-H1</v>
      </c>
      <c r="W814" s="32"/>
      <c r="X814" s="32"/>
    </row>
    <row r="815">
      <c r="A815" s="77">
        <f>HYPERLINK("https://polkadot.subsquare.io/referenda/813", 813)</f>
        <v>813</v>
      </c>
      <c r="B815" s="40" t="s">
        <v>2284</v>
      </c>
      <c r="C815" s="40" t="s">
        <v>1861</v>
      </c>
      <c r="D815" s="78">
        <v>1.4048E-6</v>
      </c>
      <c r="E815" s="79">
        <v>1.00758183303833E-5</v>
      </c>
      <c r="F815" s="40" t="s">
        <v>1853</v>
      </c>
      <c r="G815" s="78">
        <v>0.0</v>
      </c>
      <c r="H815" s="78">
        <v>2321428.466079483</v>
      </c>
      <c r="I815" s="80">
        <v>45438.0</v>
      </c>
      <c r="J815" s="80">
        <v>45452.0</v>
      </c>
      <c r="K815" s="79">
        <v>9.470763847351076E-6</v>
      </c>
      <c r="L815" s="70"/>
      <c r="M815" s="70"/>
      <c r="N815" s="61"/>
      <c r="O815" s="86"/>
      <c r="P815" s="86"/>
      <c r="Q815" s="86"/>
      <c r="R815" s="61" t="str">
        <f t="shared" si="6"/>
        <v>2024</v>
      </c>
      <c r="S815" s="62">
        <f t="shared" si="7"/>
        <v>6</v>
      </c>
      <c r="T815" s="61" t="str">
        <f t="shared" si="8"/>
        <v>2024-Q2</v>
      </c>
      <c r="U815" s="63" t="str">
        <f t="shared" si="9"/>
        <v>2024-06</v>
      </c>
      <c r="V815" s="64" t="str">
        <f t="shared" si="10"/>
        <v>2024-H1</v>
      </c>
      <c r="W815" s="32"/>
      <c r="X815" s="32"/>
    </row>
    <row r="816">
      <c r="A816" s="77">
        <f>HYPERLINK("https://polkadot.subsquare.io/referenda/814", 814)</f>
        <v>814</v>
      </c>
      <c r="B816" s="40" t="s">
        <v>2285</v>
      </c>
      <c r="C816" s="40" t="s">
        <v>1851</v>
      </c>
      <c r="D816" s="78">
        <v>0.0</v>
      </c>
      <c r="E816" s="79">
        <v>0.0</v>
      </c>
      <c r="F816" s="40" t="s">
        <v>2059</v>
      </c>
      <c r="G816" s="78">
        <v>2.0983748858454604E7</v>
      </c>
      <c r="H816" s="78">
        <v>10.0</v>
      </c>
      <c r="I816" s="80">
        <v>45438.0</v>
      </c>
      <c r="J816" s="80">
        <v>45455.0</v>
      </c>
      <c r="K816" s="79">
        <v>0.0</v>
      </c>
      <c r="L816" s="81"/>
      <c r="M816" s="81"/>
      <c r="N816" s="86"/>
      <c r="O816" s="61"/>
      <c r="P816" s="61"/>
      <c r="Q816" s="61"/>
      <c r="R816" s="61" t="str">
        <f t="shared" si="6"/>
        <v>2024</v>
      </c>
      <c r="S816" s="62">
        <f t="shared" si="7"/>
        <v>6</v>
      </c>
      <c r="T816" s="61" t="str">
        <f t="shared" si="8"/>
        <v>2024-Q2</v>
      </c>
      <c r="U816" s="63" t="str">
        <f t="shared" si="9"/>
        <v>2024-06</v>
      </c>
      <c r="V816" s="64" t="str">
        <f t="shared" si="10"/>
        <v>2024-H1</v>
      </c>
      <c r="W816" s="87">
        <f>G816/(G816+H816)</f>
        <v>0.9999995234</v>
      </c>
      <c r="X816" s="32"/>
    </row>
    <row r="817">
      <c r="A817" s="77">
        <f>HYPERLINK("https://polkadot.subsquare.io/referenda/815", 815)</f>
        <v>815</v>
      </c>
      <c r="B817" s="40" t="s">
        <v>2286</v>
      </c>
      <c r="C817" s="40" t="s">
        <v>1846</v>
      </c>
      <c r="D817" s="78">
        <v>9286.0</v>
      </c>
      <c r="E817" s="79">
        <v>66603.11006259918</v>
      </c>
      <c r="F817" s="40" t="s">
        <v>1848</v>
      </c>
      <c r="G817" s="78">
        <v>4431.7090568882</v>
      </c>
      <c r="H817" s="78">
        <v>4.317161291187236E7</v>
      </c>
      <c r="I817" s="80">
        <v>45439.0</v>
      </c>
      <c r="J817" s="80">
        <v>45467.0</v>
      </c>
      <c r="K817" s="79">
        <v>53796.368242263794</v>
      </c>
      <c r="L817" s="70"/>
      <c r="M817" s="70"/>
      <c r="N817" s="61"/>
      <c r="O817" s="86"/>
      <c r="P817" s="86"/>
      <c r="Q817" s="86"/>
      <c r="R817" s="61" t="str">
        <f t="shared" si="6"/>
        <v>2024</v>
      </c>
      <c r="S817" s="62">
        <f t="shared" si="7"/>
        <v>6</v>
      </c>
      <c r="T817" s="61" t="str">
        <f t="shared" si="8"/>
        <v>2024-Q2</v>
      </c>
      <c r="U817" s="63" t="str">
        <f t="shared" si="9"/>
        <v>2024-06</v>
      </c>
      <c r="V817" s="64" t="str">
        <f t="shared" si="10"/>
        <v>2024-H1</v>
      </c>
      <c r="W817" s="32"/>
      <c r="X817" s="32"/>
    </row>
    <row r="818">
      <c r="A818" s="77">
        <f>HYPERLINK("https://polkadot.subsquare.io/referenda/816", 816)</f>
        <v>816</v>
      </c>
      <c r="B818" s="40" t="s">
        <v>982</v>
      </c>
      <c r="C818" s="40" t="s">
        <v>1851</v>
      </c>
      <c r="D818" s="78">
        <v>80.0</v>
      </c>
      <c r="E818" s="79">
        <v>573.7937545776367</v>
      </c>
      <c r="F818" s="40" t="s">
        <v>982</v>
      </c>
      <c r="G818" s="78">
        <v>9396264.12615785</v>
      </c>
      <c r="H818" s="78">
        <v>5.0</v>
      </c>
      <c r="I818" s="80">
        <v>45439.0</v>
      </c>
      <c r="J818" s="80">
        <v>45441.0</v>
      </c>
      <c r="K818" s="79">
        <v>564.6889495849609</v>
      </c>
      <c r="L818" s="81" t="s">
        <v>46</v>
      </c>
      <c r="M818" s="81" t="s">
        <v>102</v>
      </c>
      <c r="N818" s="86"/>
      <c r="O818" s="61"/>
      <c r="P818" s="61"/>
      <c r="Q818" s="61"/>
      <c r="R818" s="61" t="str">
        <f t="shared" si="6"/>
        <v>2024</v>
      </c>
      <c r="S818" s="62">
        <f t="shared" si="7"/>
        <v>5</v>
      </c>
      <c r="T818" s="61" t="str">
        <f t="shared" si="8"/>
        <v>2024-Q2</v>
      </c>
      <c r="U818" s="63" t="str">
        <f t="shared" si="9"/>
        <v>2024-05</v>
      </c>
      <c r="V818" s="64" t="str">
        <f t="shared" si="10"/>
        <v>2024-H1</v>
      </c>
      <c r="W818" s="32"/>
      <c r="X818" s="32"/>
    </row>
    <row r="819">
      <c r="A819" s="77">
        <f>HYPERLINK("https://polkadot.subsquare.io/referenda/817", 817)</f>
        <v>817</v>
      </c>
      <c r="B819" s="40" t="s">
        <v>2287</v>
      </c>
      <c r="C819" s="40" t="s">
        <v>1851</v>
      </c>
      <c r="D819" s="78">
        <v>0.0</v>
      </c>
      <c r="E819" s="79">
        <v>0.0</v>
      </c>
      <c r="F819" s="40" t="s">
        <v>1886</v>
      </c>
      <c r="G819" s="78">
        <v>8.618542929292434E7</v>
      </c>
      <c r="H819" s="78">
        <v>0.0</v>
      </c>
      <c r="I819" s="80">
        <v>45439.0</v>
      </c>
      <c r="J819" s="80">
        <v>45457.0</v>
      </c>
      <c r="K819" s="79">
        <v>0.0</v>
      </c>
      <c r="L819" s="70"/>
      <c r="M819" s="70"/>
      <c r="N819" s="61"/>
      <c r="O819" s="86"/>
      <c r="P819" s="86"/>
      <c r="Q819" s="86"/>
      <c r="R819" s="61" t="str">
        <f t="shared" si="6"/>
        <v>2024</v>
      </c>
      <c r="S819" s="62">
        <f t="shared" si="7"/>
        <v>6</v>
      </c>
      <c r="T819" s="61" t="str">
        <f t="shared" si="8"/>
        <v>2024-Q2</v>
      </c>
      <c r="U819" s="63" t="str">
        <f t="shared" si="9"/>
        <v>2024-06</v>
      </c>
      <c r="V819" s="64" t="str">
        <f t="shared" si="10"/>
        <v>2024-H1</v>
      </c>
      <c r="W819" s="32"/>
      <c r="X819" s="32"/>
    </row>
    <row r="820">
      <c r="A820" s="77">
        <f>HYPERLINK("https://polkadot.subsquare.io/referenda/818", 818)</f>
        <v>818</v>
      </c>
      <c r="B820" s="40" t="s">
        <v>1297</v>
      </c>
      <c r="C820" s="40" t="s">
        <v>1851</v>
      </c>
      <c r="D820" s="78">
        <v>53335.0</v>
      </c>
      <c r="E820" s="79">
        <v>373230.86069107056</v>
      </c>
      <c r="F820" s="40" t="s">
        <v>1853</v>
      </c>
      <c r="G820" s="78">
        <v>2.1738347371875145E7</v>
      </c>
      <c r="H820" s="78">
        <v>4761507.40152918</v>
      </c>
      <c r="I820" s="80">
        <v>45439.0</v>
      </c>
      <c r="J820" s="80">
        <v>45468.0</v>
      </c>
      <c r="K820" s="79">
        <v>335020.81961870193</v>
      </c>
      <c r="L820" s="81" t="s">
        <v>81</v>
      </c>
      <c r="M820" s="81" t="s">
        <v>88</v>
      </c>
      <c r="N820" s="86"/>
      <c r="O820" s="61"/>
      <c r="P820" s="61"/>
      <c r="Q820" s="61"/>
      <c r="R820" s="61" t="str">
        <f t="shared" si="6"/>
        <v>2024</v>
      </c>
      <c r="S820" s="62">
        <f t="shared" si="7"/>
        <v>6</v>
      </c>
      <c r="T820" s="61" t="str">
        <f t="shared" si="8"/>
        <v>2024-Q2</v>
      </c>
      <c r="U820" s="63" t="str">
        <f t="shared" si="9"/>
        <v>2024-06</v>
      </c>
      <c r="V820" s="64" t="str">
        <f t="shared" si="10"/>
        <v>2024-H1</v>
      </c>
      <c r="W820" s="32"/>
      <c r="X820" s="32"/>
    </row>
    <row r="821">
      <c r="A821" s="77">
        <f>HYPERLINK("https://polkadot.subsquare.io/referenda/819", 819)</f>
        <v>819</v>
      </c>
      <c r="B821" s="40" t="s">
        <v>2288</v>
      </c>
      <c r="C821" s="40" t="s">
        <v>1851</v>
      </c>
      <c r="D821" s="78">
        <v>0.0</v>
      </c>
      <c r="E821" s="79">
        <v>0.0</v>
      </c>
      <c r="F821" s="40" t="s">
        <v>1853</v>
      </c>
      <c r="G821" s="78">
        <v>6.323707081344256E7</v>
      </c>
      <c r="H821" s="78">
        <v>3.729975560359289E7</v>
      </c>
      <c r="I821" s="80">
        <v>45439.0</v>
      </c>
      <c r="J821" s="80">
        <v>45465.0</v>
      </c>
      <c r="K821" s="79">
        <v>0.0</v>
      </c>
      <c r="L821" s="70"/>
      <c r="M821" s="70"/>
      <c r="N821" s="61"/>
      <c r="O821" s="86" t="s">
        <v>1881</v>
      </c>
      <c r="P821" s="86" t="s">
        <v>1881</v>
      </c>
      <c r="Q821" s="86"/>
      <c r="R821" s="61" t="str">
        <f t="shared" si="6"/>
        <v>2024</v>
      </c>
      <c r="S821" s="62">
        <f t="shared" si="7"/>
        <v>6</v>
      </c>
      <c r="T821" s="61" t="str">
        <f t="shared" si="8"/>
        <v>2024-Q2</v>
      </c>
      <c r="U821" s="63" t="str">
        <f t="shared" si="9"/>
        <v>2024-06</v>
      </c>
      <c r="V821" s="64" t="str">
        <f t="shared" si="10"/>
        <v>2024-H1</v>
      </c>
      <c r="W821" s="32"/>
      <c r="X821" s="32"/>
    </row>
    <row r="822">
      <c r="A822" s="77">
        <f>HYPERLINK("https://polkadot.subsquare.io/referenda/820", 820)</f>
        <v>820</v>
      </c>
      <c r="B822" s="40" t="s">
        <v>2289</v>
      </c>
      <c r="C822" s="40" t="s">
        <v>1846</v>
      </c>
      <c r="D822" s="78">
        <v>10000.0</v>
      </c>
      <c r="E822" s="79">
        <v>69978.59954833984</v>
      </c>
      <c r="F822" s="40" t="s">
        <v>1848</v>
      </c>
      <c r="G822" s="78">
        <v>3896.6</v>
      </c>
      <c r="H822" s="78">
        <v>4.3315335471190214E7</v>
      </c>
      <c r="I822" s="80">
        <v>45439.0</v>
      </c>
      <c r="J822" s="80">
        <v>45467.0</v>
      </c>
      <c r="K822" s="79">
        <v>62814.44072723389</v>
      </c>
      <c r="L822" s="25"/>
      <c r="M822" s="25"/>
      <c r="N822" s="86"/>
      <c r="O822" s="61"/>
      <c r="P822" s="61"/>
      <c r="Q822" s="61"/>
      <c r="R822" s="61" t="str">
        <f t="shared" si="6"/>
        <v>2024</v>
      </c>
      <c r="S822" s="62">
        <f t="shared" si="7"/>
        <v>6</v>
      </c>
      <c r="T822" s="61" t="str">
        <f t="shared" si="8"/>
        <v>2024-Q2</v>
      </c>
      <c r="U822" s="63" t="str">
        <f t="shared" si="9"/>
        <v>2024-06</v>
      </c>
      <c r="V822" s="64" t="str">
        <f t="shared" si="10"/>
        <v>2024-H1</v>
      </c>
      <c r="W822" s="32"/>
      <c r="X822" s="32"/>
    </row>
    <row r="823">
      <c r="A823" s="77">
        <f>HYPERLINK("https://polkadot.subsquare.io/referenda/821", 821)</f>
        <v>821</v>
      </c>
      <c r="B823" s="40" t="s">
        <v>1298</v>
      </c>
      <c r="C823" s="40" t="s">
        <v>1851</v>
      </c>
      <c r="D823" s="78">
        <v>4504.0</v>
      </c>
      <c r="E823" s="79">
        <v>31470.10943222046</v>
      </c>
      <c r="F823" s="40" t="s">
        <v>1848</v>
      </c>
      <c r="G823" s="78">
        <v>3.366649862889355E7</v>
      </c>
      <c r="H823" s="78">
        <v>9107393.485401953</v>
      </c>
      <c r="I823" s="80">
        <v>45440.0</v>
      </c>
      <c r="J823" s="80">
        <v>45459.0</v>
      </c>
      <c r="K823" s="79">
        <v>26013.53200531006</v>
      </c>
      <c r="L823" s="25" t="s">
        <v>81</v>
      </c>
      <c r="M823" s="89" t="s">
        <v>86</v>
      </c>
      <c r="N823" s="61"/>
      <c r="O823" s="86"/>
      <c r="P823" s="86"/>
      <c r="Q823" s="86"/>
      <c r="R823" s="61" t="str">
        <f t="shared" si="6"/>
        <v>2024</v>
      </c>
      <c r="S823" s="62">
        <f t="shared" si="7"/>
        <v>6</v>
      </c>
      <c r="T823" s="61" t="str">
        <f t="shared" si="8"/>
        <v>2024-Q2</v>
      </c>
      <c r="U823" s="63" t="str">
        <f t="shared" si="9"/>
        <v>2024-06</v>
      </c>
      <c r="V823" s="64" t="str">
        <f t="shared" si="10"/>
        <v>2024-H1</v>
      </c>
      <c r="W823" s="32"/>
      <c r="X823" s="32"/>
    </row>
    <row r="824">
      <c r="A824" s="77">
        <f>HYPERLINK("https://polkadot.subsquare.io/referenda/822", 822)</f>
        <v>822</v>
      </c>
      <c r="B824" s="40" t="s">
        <v>2290</v>
      </c>
      <c r="C824" s="40" t="s">
        <v>2291</v>
      </c>
      <c r="D824" s="78">
        <v>9600000.0</v>
      </c>
      <c r="E824" s="79">
        <v>6.7076609802246094E7</v>
      </c>
      <c r="F824" s="40" t="s">
        <v>1866</v>
      </c>
      <c r="G824" s="78">
        <v>6.070405556605734E7</v>
      </c>
      <c r="H824" s="78">
        <v>8.338929337897599E7</v>
      </c>
      <c r="I824" s="80">
        <v>45440.0</v>
      </c>
      <c r="J824" s="80">
        <v>45469.0</v>
      </c>
      <c r="K824" s="79">
        <v>6.030186309814453E7</v>
      </c>
      <c r="L824" s="25"/>
      <c r="M824" s="25"/>
      <c r="N824" s="86"/>
      <c r="O824" s="61" t="s">
        <v>1881</v>
      </c>
      <c r="P824" s="61" t="s">
        <v>1881</v>
      </c>
      <c r="Q824" s="61"/>
      <c r="R824" s="61" t="str">
        <f t="shared" si="6"/>
        <v>2024</v>
      </c>
      <c r="S824" s="62">
        <f t="shared" si="7"/>
        <v>6</v>
      </c>
      <c r="T824" s="61" t="str">
        <f t="shared" si="8"/>
        <v>2024-Q2</v>
      </c>
      <c r="U824" s="63" t="str">
        <f t="shared" si="9"/>
        <v>2024-06</v>
      </c>
      <c r="V824" s="64" t="str">
        <f t="shared" si="10"/>
        <v>2024-H1</v>
      </c>
      <c r="W824" s="32"/>
      <c r="X824" s="32"/>
    </row>
    <row r="825">
      <c r="A825" s="77">
        <f>HYPERLINK("https://polkadot.subsquare.io/referenda/823", 823)</f>
        <v>823</v>
      </c>
      <c r="B825" s="40" t="s">
        <v>2292</v>
      </c>
      <c r="C825" s="40" t="s">
        <v>1846</v>
      </c>
      <c r="D825" s="78">
        <v>0.0</v>
      </c>
      <c r="E825" s="79">
        <v>0.0</v>
      </c>
      <c r="F825" s="40" t="s">
        <v>982</v>
      </c>
      <c r="G825" s="78">
        <v>101091.347091685</v>
      </c>
      <c r="H825" s="78">
        <v>2.756072715990166E7</v>
      </c>
      <c r="I825" s="80">
        <v>45441.0</v>
      </c>
      <c r="J825" s="80">
        <v>45448.0</v>
      </c>
      <c r="K825" s="79">
        <v>0.0</v>
      </c>
      <c r="L825" s="25"/>
      <c r="M825" s="25"/>
      <c r="N825" s="61"/>
      <c r="O825" s="86"/>
      <c r="P825" s="86"/>
      <c r="Q825" s="86"/>
      <c r="R825" s="61" t="str">
        <f t="shared" si="6"/>
        <v>2024</v>
      </c>
      <c r="S825" s="62">
        <f t="shared" si="7"/>
        <v>6</v>
      </c>
      <c r="T825" s="61" t="str">
        <f t="shared" si="8"/>
        <v>2024-Q2</v>
      </c>
      <c r="U825" s="63" t="str">
        <f t="shared" si="9"/>
        <v>2024-06</v>
      </c>
      <c r="V825" s="64" t="str">
        <f t="shared" si="10"/>
        <v>2024-H1</v>
      </c>
      <c r="W825" s="32"/>
      <c r="X825" s="32"/>
    </row>
    <row r="826">
      <c r="A826" s="77">
        <f>HYPERLINK("https://polkadot.subsquare.io/referenda/824", 824)</f>
        <v>824</v>
      </c>
      <c r="B826" s="40" t="s">
        <v>2293</v>
      </c>
      <c r="C826" s="40" t="s">
        <v>2291</v>
      </c>
      <c r="D826" s="78">
        <v>73323.210812</v>
      </c>
      <c r="E826" s="79">
        <v>514013.97538130055</v>
      </c>
      <c r="F826" s="40" t="s">
        <v>1853</v>
      </c>
      <c r="G826" s="78">
        <v>255711.5045491526</v>
      </c>
      <c r="H826" s="78">
        <v>6.544974774510386E7</v>
      </c>
      <c r="I826" s="80">
        <v>45443.0</v>
      </c>
      <c r="J826" s="80">
        <v>45469.0</v>
      </c>
      <c r="K826" s="79">
        <v>460575.6479480849</v>
      </c>
      <c r="L826" s="25"/>
      <c r="M826" s="25"/>
      <c r="N826" s="86"/>
      <c r="O826" s="61"/>
      <c r="P826" s="61"/>
      <c r="Q826" s="61"/>
      <c r="R826" s="61" t="str">
        <f t="shared" si="6"/>
        <v>2024</v>
      </c>
      <c r="S826" s="62">
        <f t="shared" si="7"/>
        <v>6</v>
      </c>
      <c r="T826" s="61" t="str">
        <f t="shared" si="8"/>
        <v>2024-Q2</v>
      </c>
      <c r="U826" s="63" t="str">
        <f t="shared" si="9"/>
        <v>2024-06</v>
      </c>
      <c r="V826" s="64" t="str">
        <f t="shared" si="10"/>
        <v>2024-H1</v>
      </c>
      <c r="W826" s="32"/>
      <c r="X826" s="32"/>
    </row>
    <row r="827">
      <c r="A827" s="77">
        <f>HYPERLINK("https://polkadot.subsquare.io/referenda/825", 825)</f>
        <v>825</v>
      </c>
      <c r="B827" s="40" t="s">
        <v>2294</v>
      </c>
      <c r="C827" s="40" t="s">
        <v>1861</v>
      </c>
      <c r="D827" s="78">
        <v>0.0</v>
      </c>
      <c r="E827" s="79">
        <v>0.0</v>
      </c>
      <c r="F827" s="40" t="s">
        <v>1970</v>
      </c>
      <c r="G827" s="78">
        <v>3950876.7834916604</v>
      </c>
      <c r="H827" s="78">
        <v>5641.2609611098</v>
      </c>
      <c r="I827" s="80">
        <v>45444.0</v>
      </c>
      <c r="J827" s="80">
        <v>45458.0</v>
      </c>
      <c r="K827" s="79">
        <v>0.0</v>
      </c>
      <c r="L827" s="25"/>
      <c r="M827" s="25"/>
      <c r="N827" s="61"/>
      <c r="O827" s="86"/>
      <c r="P827" s="86"/>
      <c r="Q827" s="86"/>
      <c r="R827" s="61" t="str">
        <f t="shared" si="6"/>
        <v>2024</v>
      </c>
      <c r="S827" s="62">
        <f t="shared" si="7"/>
        <v>6</v>
      </c>
      <c r="T827" s="61" t="str">
        <f t="shared" si="8"/>
        <v>2024-Q2</v>
      </c>
      <c r="U827" s="63" t="str">
        <f t="shared" si="9"/>
        <v>2024-06</v>
      </c>
      <c r="V827" s="64" t="str">
        <f t="shared" si="10"/>
        <v>2024-H1</v>
      </c>
      <c r="W827" s="32"/>
      <c r="X827" s="32"/>
    </row>
    <row r="828">
      <c r="A828" s="77">
        <f>HYPERLINK("https://polkadot.subsquare.io/referenda/826", 826)</f>
        <v>826</v>
      </c>
      <c r="B828" s="40" t="s">
        <v>2295</v>
      </c>
      <c r="C828" s="40" t="s">
        <v>2291</v>
      </c>
      <c r="D828" s="78">
        <v>23000.0</v>
      </c>
      <c r="E828" s="79">
        <v>165310.3175163269</v>
      </c>
      <c r="F828" s="40" t="s">
        <v>1853</v>
      </c>
      <c r="G828" s="78">
        <v>137490.2235026052</v>
      </c>
      <c r="H828" s="78">
        <v>4.733982984560557E7</v>
      </c>
      <c r="I828" s="80">
        <v>45444.0</v>
      </c>
      <c r="J828" s="80">
        <v>45469.0</v>
      </c>
      <c r="K828" s="79">
        <v>144473.21367263794</v>
      </c>
      <c r="L828" s="25"/>
      <c r="M828" s="25"/>
      <c r="N828" s="86"/>
      <c r="O828" s="61"/>
      <c r="P828" s="61"/>
      <c r="Q828" s="61"/>
      <c r="R828" s="61" t="str">
        <f t="shared" si="6"/>
        <v>2024</v>
      </c>
      <c r="S828" s="62">
        <f t="shared" si="7"/>
        <v>6</v>
      </c>
      <c r="T828" s="61" t="str">
        <f t="shared" si="8"/>
        <v>2024-Q2</v>
      </c>
      <c r="U828" s="63" t="str">
        <f t="shared" si="9"/>
        <v>2024-06</v>
      </c>
      <c r="V828" s="64" t="str">
        <f t="shared" si="10"/>
        <v>2024-H1</v>
      </c>
      <c r="W828" s="32"/>
      <c r="X828" s="32"/>
    </row>
    <row r="829">
      <c r="A829" s="77">
        <f>HYPERLINK("https://polkadot.subsquare.io/referenda/827", 827)</f>
        <v>827</v>
      </c>
      <c r="B829" s="40" t="s">
        <v>1299</v>
      </c>
      <c r="C829" s="40" t="s">
        <v>1851</v>
      </c>
      <c r="D829" s="78">
        <v>408.45</v>
      </c>
      <c r="E829" s="79">
        <v>2935.6956169366836</v>
      </c>
      <c r="F829" s="40" t="s">
        <v>1869</v>
      </c>
      <c r="G829" s="78">
        <v>1.3754766585765146E7</v>
      </c>
      <c r="H829" s="78">
        <v>958.0</v>
      </c>
      <c r="I829" s="80">
        <v>45444.0</v>
      </c>
      <c r="J829" s="80">
        <v>45448.0</v>
      </c>
      <c r="K829" s="79">
        <v>2609.3517499923705</v>
      </c>
      <c r="L829" s="25" t="s">
        <v>47</v>
      </c>
      <c r="M829" s="25" t="s">
        <v>119</v>
      </c>
      <c r="N829" s="61"/>
      <c r="O829" s="86"/>
      <c r="P829" s="86"/>
      <c r="Q829" s="86"/>
      <c r="R829" s="61" t="str">
        <f t="shared" si="6"/>
        <v>2024</v>
      </c>
      <c r="S829" s="62">
        <f t="shared" si="7"/>
        <v>6</v>
      </c>
      <c r="T829" s="61" t="str">
        <f t="shared" si="8"/>
        <v>2024-Q2</v>
      </c>
      <c r="U829" s="63" t="str">
        <f t="shared" si="9"/>
        <v>2024-06</v>
      </c>
      <c r="V829" s="64" t="str">
        <f t="shared" si="10"/>
        <v>2024-H1</v>
      </c>
      <c r="W829" s="32"/>
      <c r="X829" s="32"/>
    </row>
    <row r="830">
      <c r="A830" s="77">
        <f>HYPERLINK("https://polkadot.subsquare.io/referenda/828", 828)</f>
        <v>828</v>
      </c>
      <c r="B830" s="40" t="s">
        <v>2296</v>
      </c>
      <c r="C830" s="40" t="s">
        <v>1861</v>
      </c>
      <c r="D830" s="78">
        <v>0.0</v>
      </c>
      <c r="E830" s="79">
        <v>0.0</v>
      </c>
      <c r="F830" s="40" t="s">
        <v>1857</v>
      </c>
      <c r="G830" s="78">
        <v>0.0</v>
      </c>
      <c r="H830" s="78">
        <v>3062260.0462407796</v>
      </c>
      <c r="I830" s="80">
        <v>45444.0</v>
      </c>
      <c r="J830" s="80">
        <v>45458.0</v>
      </c>
      <c r="K830" s="79">
        <v>0.0</v>
      </c>
      <c r="L830" s="25"/>
      <c r="M830" s="25"/>
      <c r="N830" s="86"/>
      <c r="O830" s="61"/>
      <c r="P830" s="61"/>
      <c r="Q830" s="61"/>
      <c r="R830" s="61" t="str">
        <f t="shared" si="6"/>
        <v>2024</v>
      </c>
      <c r="S830" s="62">
        <f t="shared" si="7"/>
        <v>6</v>
      </c>
      <c r="T830" s="61" t="str">
        <f t="shared" si="8"/>
        <v>2024-Q2</v>
      </c>
      <c r="U830" s="63" t="str">
        <f t="shared" si="9"/>
        <v>2024-06</v>
      </c>
      <c r="V830" s="64" t="str">
        <f t="shared" si="10"/>
        <v>2024-H1</v>
      </c>
      <c r="W830" s="32"/>
      <c r="X830" s="32"/>
    </row>
    <row r="831">
      <c r="A831" s="77">
        <f>HYPERLINK("https://polkadot.subsquare.io/referenda/829", 829)</f>
        <v>829</v>
      </c>
      <c r="B831" s="40" t="s">
        <v>2296</v>
      </c>
      <c r="C831" s="40" t="s">
        <v>1861</v>
      </c>
      <c r="D831" s="78">
        <v>53701.995939383596</v>
      </c>
      <c r="E831" s="79">
        <v>385978.0</v>
      </c>
      <c r="F831" s="40" t="s">
        <v>1857</v>
      </c>
      <c r="G831" s="78">
        <v>0.0</v>
      </c>
      <c r="H831" s="78">
        <v>3171961.3933324646</v>
      </c>
      <c r="I831" s="80">
        <v>45444.0</v>
      </c>
      <c r="J831" s="80">
        <v>45458.0</v>
      </c>
      <c r="K831" s="79">
        <v>310163.98537259904</v>
      </c>
      <c r="L831" s="25"/>
      <c r="M831" s="25"/>
      <c r="N831" s="61"/>
      <c r="O831" s="86"/>
      <c r="P831" s="86"/>
      <c r="Q831" s="86"/>
      <c r="R831" s="61" t="str">
        <f t="shared" si="6"/>
        <v>2024</v>
      </c>
      <c r="S831" s="62">
        <f t="shared" si="7"/>
        <v>6</v>
      </c>
      <c r="T831" s="61" t="str">
        <f t="shared" si="8"/>
        <v>2024-Q2</v>
      </c>
      <c r="U831" s="63" t="str">
        <f t="shared" si="9"/>
        <v>2024-06</v>
      </c>
      <c r="V831" s="64" t="str">
        <f t="shared" si="10"/>
        <v>2024-H1</v>
      </c>
      <c r="W831" s="32"/>
      <c r="X831" s="32"/>
    </row>
    <row r="832">
      <c r="A832" s="77">
        <f>HYPERLINK("https://polkadot.subsquare.io/referenda/830", 830)</f>
        <v>830</v>
      </c>
      <c r="B832" s="40" t="s">
        <v>2297</v>
      </c>
      <c r="C832" s="40" t="s">
        <v>2298</v>
      </c>
      <c r="D832" s="78">
        <v>53701.995939383596</v>
      </c>
      <c r="E832" s="79">
        <v>385978.0</v>
      </c>
      <c r="F832" s="40" t="s">
        <v>1853</v>
      </c>
      <c r="G832" s="78">
        <v>2.8614972529792883E7</v>
      </c>
      <c r="H832" s="78">
        <v>2.704780007374724E7</v>
      </c>
      <c r="I832" s="80">
        <v>45444.0</v>
      </c>
      <c r="J832" s="80">
        <v>45469.0</v>
      </c>
      <c r="K832" s="79">
        <v>337326.0840868566</v>
      </c>
      <c r="L832" s="25"/>
      <c r="M832" s="25"/>
      <c r="N832" s="86"/>
      <c r="O832" s="61"/>
      <c r="P832" s="61"/>
      <c r="Q832" s="61"/>
      <c r="R832" s="61" t="str">
        <f t="shared" si="6"/>
        <v>2024</v>
      </c>
      <c r="S832" s="62">
        <f t="shared" si="7"/>
        <v>6</v>
      </c>
      <c r="T832" s="61" t="str">
        <f t="shared" si="8"/>
        <v>2024-Q2</v>
      </c>
      <c r="U832" s="63" t="str">
        <f t="shared" si="9"/>
        <v>2024-06</v>
      </c>
      <c r="V832" s="64" t="str">
        <f t="shared" si="10"/>
        <v>2024-H1</v>
      </c>
      <c r="W832" s="32"/>
      <c r="X832" s="32"/>
    </row>
    <row r="833">
      <c r="A833" s="77">
        <f>HYPERLINK("https://polkadot.subsquare.io/referenda/831", 831)</f>
        <v>831</v>
      </c>
      <c r="B833" s="40" t="s">
        <v>2299</v>
      </c>
      <c r="C833" s="40" t="s">
        <v>2298</v>
      </c>
      <c r="D833" s="78">
        <v>6220.882129141348</v>
      </c>
      <c r="E833" s="79">
        <v>44712.0</v>
      </c>
      <c r="F833" s="40" t="s">
        <v>1848</v>
      </c>
      <c r="G833" s="78">
        <v>1.942837050608435E7</v>
      </c>
      <c r="H833" s="78">
        <v>5817232.455273741</v>
      </c>
      <c r="I833" s="80">
        <v>45445.0</v>
      </c>
      <c r="J833" s="80">
        <v>45469.0</v>
      </c>
      <c r="K833" s="79">
        <v>39076.12317720577</v>
      </c>
      <c r="L833" s="25" t="s">
        <v>46</v>
      </c>
      <c r="M833" s="25" t="s">
        <v>108</v>
      </c>
      <c r="N833" s="61"/>
      <c r="O833" s="86"/>
      <c r="P833" s="86"/>
      <c r="Q833" s="86"/>
      <c r="R833" s="61" t="str">
        <f t="shared" si="6"/>
        <v>2024</v>
      </c>
      <c r="S833" s="62">
        <f t="shared" si="7"/>
        <v>6</v>
      </c>
      <c r="T833" s="61" t="str">
        <f t="shared" si="8"/>
        <v>2024-Q2</v>
      </c>
      <c r="U833" s="63" t="str">
        <f t="shared" si="9"/>
        <v>2024-06</v>
      </c>
      <c r="V833" s="64" t="str">
        <f t="shared" si="10"/>
        <v>2024-H1</v>
      </c>
      <c r="W833" s="32"/>
      <c r="X833" s="32"/>
    </row>
    <row r="834">
      <c r="A834" s="77">
        <f>HYPERLINK("https://polkadot.subsquare.io/referenda/832", 832)</f>
        <v>832</v>
      </c>
      <c r="B834" s="40" t="s">
        <v>2300</v>
      </c>
      <c r="C834" s="40" t="s">
        <v>2291</v>
      </c>
      <c r="D834" s="78">
        <v>0.0</v>
      </c>
      <c r="E834" s="79">
        <v>0.0</v>
      </c>
      <c r="F834" s="40" t="s">
        <v>1857</v>
      </c>
      <c r="G834" s="78">
        <v>4.7435370260943696E7</v>
      </c>
      <c r="H834" s="78">
        <v>5.0</v>
      </c>
      <c r="I834" s="80">
        <v>45445.0</v>
      </c>
      <c r="J834" s="80">
        <v>45469.0</v>
      </c>
      <c r="K834" s="79">
        <v>0.0</v>
      </c>
      <c r="L834" s="25"/>
      <c r="M834" s="25"/>
      <c r="N834" s="86"/>
      <c r="O834" s="61"/>
      <c r="P834" s="61"/>
      <c r="Q834" s="61"/>
      <c r="R834" s="61" t="str">
        <f t="shared" si="6"/>
        <v>2024</v>
      </c>
      <c r="S834" s="62">
        <f t="shared" si="7"/>
        <v>6</v>
      </c>
      <c r="T834" s="61" t="str">
        <f t="shared" si="8"/>
        <v>2024-Q2</v>
      </c>
      <c r="U834" s="63" t="str">
        <f t="shared" si="9"/>
        <v>2024-06</v>
      </c>
      <c r="V834" s="64" t="str">
        <f t="shared" si="10"/>
        <v>2024-H1</v>
      </c>
      <c r="W834" s="32"/>
      <c r="X834" s="32"/>
    </row>
    <row r="835">
      <c r="A835" s="77">
        <f>HYPERLINK("https://polkadot.subsquare.io/referenda/833", 833)</f>
        <v>833</v>
      </c>
      <c r="B835" s="40" t="s">
        <v>2301</v>
      </c>
      <c r="C835" s="40" t="s">
        <v>2298</v>
      </c>
      <c r="D835" s="78">
        <v>89945.0</v>
      </c>
      <c r="E835" s="79">
        <v>651986.8218326569</v>
      </c>
      <c r="F835" s="40" t="s">
        <v>1853</v>
      </c>
      <c r="G835" s="78">
        <v>4.932535530294791E7</v>
      </c>
      <c r="H835" s="78">
        <v>4777767.424863747</v>
      </c>
      <c r="I835" s="80">
        <v>45445.0</v>
      </c>
      <c r="J835" s="80">
        <v>45469.0</v>
      </c>
      <c r="K835" s="79">
        <v>564984.4871211052</v>
      </c>
      <c r="L835" s="25"/>
      <c r="M835" s="25"/>
      <c r="N835" s="61"/>
      <c r="O835" s="86"/>
      <c r="P835" s="86"/>
      <c r="Q835" s="86"/>
      <c r="R835" s="61" t="str">
        <f t="shared" si="6"/>
        <v>2024</v>
      </c>
      <c r="S835" s="62">
        <f t="shared" si="7"/>
        <v>6</v>
      </c>
      <c r="T835" s="61" t="str">
        <f t="shared" si="8"/>
        <v>2024-Q2</v>
      </c>
      <c r="U835" s="63" t="str">
        <f t="shared" si="9"/>
        <v>2024-06</v>
      </c>
      <c r="V835" s="64" t="str">
        <f t="shared" si="10"/>
        <v>2024-H1</v>
      </c>
      <c r="W835" s="32"/>
      <c r="X835" s="32"/>
    </row>
    <row r="836">
      <c r="A836" s="77">
        <f>HYPERLINK("https://polkadot.subsquare.io/referenda/834", 834)</f>
        <v>834</v>
      </c>
      <c r="B836" s="40" t="s">
        <v>2302</v>
      </c>
      <c r="C836" s="40" t="s">
        <v>2291</v>
      </c>
      <c r="D836" s="78">
        <v>0.0</v>
      </c>
      <c r="E836" s="79">
        <v>0.0</v>
      </c>
      <c r="F836" s="40" t="s">
        <v>2221</v>
      </c>
      <c r="G836" s="78">
        <v>6.49088293E7</v>
      </c>
      <c r="H836" s="78">
        <v>8.239303723302038E7</v>
      </c>
      <c r="I836" s="80">
        <v>45446.0</v>
      </c>
      <c r="J836" s="80">
        <v>45469.0</v>
      </c>
      <c r="K836" s="79">
        <v>0.0</v>
      </c>
      <c r="L836" s="25"/>
      <c r="M836" s="25"/>
      <c r="N836" s="86"/>
      <c r="O836" s="61"/>
      <c r="P836" s="61"/>
      <c r="Q836" s="61"/>
      <c r="R836" s="61" t="str">
        <f t="shared" si="6"/>
        <v>2024</v>
      </c>
      <c r="S836" s="62">
        <f t="shared" si="7"/>
        <v>6</v>
      </c>
      <c r="T836" s="61" t="str">
        <f t="shared" si="8"/>
        <v>2024-Q2</v>
      </c>
      <c r="U836" s="63" t="str">
        <f t="shared" si="9"/>
        <v>2024-06</v>
      </c>
      <c r="V836" s="64" t="str">
        <f t="shared" si="10"/>
        <v>2024-H1</v>
      </c>
      <c r="W836" s="32"/>
      <c r="X836" s="32"/>
    </row>
    <row r="837">
      <c r="A837" s="77">
        <f>HYPERLINK("https://polkadot.subsquare.io/referenda/835", 835)</f>
        <v>835</v>
      </c>
      <c r="B837" s="40" t="s">
        <v>2303</v>
      </c>
      <c r="C837" s="40" t="s">
        <v>2298</v>
      </c>
      <c r="D837" s="78">
        <v>4178.0</v>
      </c>
      <c r="E837" s="79">
        <v>29839.33460330963</v>
      </c>
      <c r="F837" s="40" t="s">
        <v>1848</v>
      </c>
      <c r="G837" s="78">
        <v>1.5145910207192047E7</v>
      </c>
      <c r="H837" s="78">
        <v>1.3046086144728048E7</v>
      </c>
      <c r="I837" s="80">
        <v>45446.0</v>
      </c>
      <c r="J837" s="80">
        <v>45469.0</v>
      </c>
      <c r="K837" s="79">
        <v>26243.873335838318</v>
      </c>
      <c r="L837" s="25" t="s">
        <v>81</v>
      </c>
      <c r="M837" s="40" t="s">
        <v>86</v>
      </c>
      <c r="N837" s="61"/>
      <c r="O837" s="86"/>
      <c r="P837" s="86"/>
      <c r="Q837" s="86"/>
      <c r="R837" s="61" t="str">
        <f t="shared" si="6"/>
        <v>2024</v>
      </c>
      <c r="S837" s="62">
        <f t="shared" si="7"/>
        <v>6</v>
      </c>
      <c r="T837" s="61" t="str">
        <f t="shared" si="8"/>
        <v>2024-Q2</v>
      </c>
      <c r="U837" s="63" t="str">
        <f t="shared" si="9"/>
        <v>2024-06</v>
      </c>
      <c r="V837" s="64" t="str">
        <f t="shared" si="10"/>
        <v>2024-H1</v>
      </c>
      <c r="W837" s="32"/>
      <c r="X837" s="32"/>
    </row>
    <row r="838">
      <c r="A838" s="77">
        <f>HYPERLINK("https://polkadot.subsquare.io/referenda/836", 836)</f>
        <v>836</v>
      </c>
      <c r="B838" s="40" t="s">
        <v>2304</v>
      </c>
      <c r="C838" s="40" t="s">
        <v>2291</v>
      </c>
      <c r="D838" s="78">
        <v>6.702E-7</v>
      </c>
      <c r="E838" s="79">
        <v>4.786577800655365E-6</v>
      </c>
      <c r="F838" s="40" t="s">
        <v>1848</v>
      </c>
      <c r="G838" s="78">
        <v>0.0</v>
      </c>
      <c r="H838" s="78">
        <v>2.530529746748424E7</v>
      </c>
      <c r="I838" s="80">
        <v>45446.0</v>
      </c>
      <c r="J838" s="80">
        <v>45469.0</v>
      </c>
      <c r="K838" s="79">
        <v>4.209823817539215E-6</v>
      </c>
      <c r="L838" s="25"/>
      <c r="M838" s="25"/>
      <c r="N838" s="86"/>
      <c r="O838" s="61"/>
      <c r="P838" s="61"/>
      <c r="Q838" s="61"/>
      <c r="R838" s="61" t="str">
        <f t="shared" si="6"/>
        <v>2024</v>
      </c>
      <c r="S838" s="62">
        <f t="shared" si="7"/>
        <v>6</v>
      </c>
      <c r="T838" s="61" t="str">
        <f t="shared" si="8"/>
        <v>2024-Q2</v>
      </c>
      <c r="U838" s="63" t="str">
        <f t="shared" si="9"/>
        <v>2024-06</v>
      </c>
      <c r="V838" s="64" t="str">
        <f t="shared" si="10"/>
        <v>2024-H1</v>
      </c>
      <c r="W838" s="32"/>
      <c r="X838" s="32"/>
    </row>
    <row r="839">
      <c r="A839" s="77">
        <f>HYPERLINK("https://polkadot.subsquare.io/referenda/837", 837)</f>
        <v>837</v>
      </c>
      <c r="B839" s="40" t="s">
        <v>2305</v>
      </c>
      <c r="C839" s="40" t="s">
        <v>2291</v>
      </c>
      <c r="D839" s="78">
        <v>12604.0</v>
      </c>
      <c r="E839" s="79">
        <v>90017.94479179382</v>
      </c>
      <c r="F839" s="40" t="s">
        <v>1853</v>
      </c>
      <c r="G839" s="78">
        <v>4325310.85172637</v>
      </c>
      <c r="H839" s="78">
        <v>2.01584452603091E7</v>
      </c>
      <c r="I839" s="80">
        <v>45447.0</v>
      </c>
      <c r="J839" s="80">
        <v>45469.0</v>
      </c>
      <c r="K839" s="79">
        <v>79171.32109260559</v>
      </c>
      <c r="L839" s="25"/>
      <c r="M839" s="25"/>
      <c r="N839" s="61"/>
      <c r="O839" s="86"/>
      <c r="P839" s="86"/>
      <c r="Q839" s="86"/>
      <c r="R839" s="61" t="str">
        <f t="shared" si="6"/>
        <v>2024</v>
      </c>
      <c r="S839" s="62">
        <f t="shared" si="7"/>
        <v>6</v>
      </c>
      <c r="T839" s="61" t="str">
        <f t="shared" si="8"/>
        <v>2024-Q2</v>
      </c>
      <c r="U839" s="63" t="str">
        <f t="shared" si="9"/>
        <v>2024-06</v>
      </c>
      <c r="V839" s="64" t="str">
        <f t="shared" si="10"/>
        <v>2024-H1</v>
      </c>
      <c r="W839" s="32"/>
      <c r="X839" s="32"/>
    </row>
    <row r="840">
      <c r="A840" s="77">
        <f>HYPERLINK("https://polkadot.subsquare.io/referenda/838", 838)</f>
        <v>838</v>
      </c>
      <c r="B840" s="40" t="s">
        <v>2306</v>
      </c>
      <c r="C840" s="40" t="s">
        <v>2291</v>
      </c>
      <c r="D840" s="78">
        <v>24800.0</v>
      </c>
      <c r="E840" s="79">
        <v>165112.61711120605</v>
      </c>
      <c r="F840" s="40" t="s">
        <v>1853</v>
      </c>
      <c r="G840" s="78">
        <v>1.768917172096417E7</v>
      </c>
      <c r="H840" s="78">
        <v>8938734.984350838</v>
      </c>
      <c r="I840" s="80">
        <v>45447.0</v>
      </c>
      <c r="J840" s="80">
        <v>45469.0</v>
      </c>
      <c r="K840" s="79">
        <v>155779.81300354004</v>
      </c>
      <c r="L840" s="25"/>
      <c r="M840" s="25"/>
      <c r="N840" s="86"/>
      <c r="O840" s="61"/>
      <c r="P840" s="61"/>
      <c r="Q840" s="61"/>
      <c r="R840" s="61" t="str">
        <f t="shared" si="6"/>
        <v>2024</v>
      </c>
      <c r="S840" s="62">
        <f t="shared" si="7"/>
        <v>6</v>
      </c>
      <c r="T840" s="61" t="str">
        <f t="shared" si="8"/>
        <v>2024-Q2</v>
      </c>
      <c r="U840" s="63" t="str">
        <f t="shared" si="9"/>
        <v>2024-06</v>
      </c>
      <c r="V840" s="64" t="str">
        <f t="shared" si="10"/>
        <v>2024-H1</v>
      </c>
      <c r="W840" s="32"/>
      <c r="X840" s="32"/>
    </row>
    <row r="841">
      <c r="A841" s="77">
        <f>HYPERLINK("https://polkadot.subsquare.io/referenda/839", 839)</f>
        <v>839</v>
      </c>
      <c r="B841" s="40" t="s">
        <v>2307</v>
      </c>
      <c r="C841" s="40" t="s">
        <v>2291</v>
      </c>
      <c r="D841" s="78">
        <v>6702.0</v>
      </c>
      <c r="E841" s="79">
        <v>44620.353220939636</v>
      </c>
      <c r="F841" s="40" t="s">
        <v>1848</v>
      </c>
      <c r="G841" s="78">
        <v>2.359389874185622E7</v>
      </c>
      <c r="H841" s="78">
        <v>5668301.134370961</v>
      </c>
      <c r="I841" s="80">
        <v>45447.0</v>
      </c>
      <c r="J841" s="80">
        <v>45469.0</v>
      </c>
      <c r="K841" s="79">
        <v>42098.23817539215</v>
      </c>
      <c r="L841" s="25"/>
      <c r="M841" s="25"/>
      <c r="N841" s="61"/>
      <c r="O841" s="86"/>
      <c r="P841" s="86"/>
      <c r="Q841" s="86"/>
      <c r="R841" s="61" t="str">
        <f t="shared" si="6"/>
        <v>2024</v>
      </c>
      <c r="S841" s="62">
        <f t="shared" si="7"/>
        <v>6</v>
      </c>
      <c r="T841" s="61" t="str">
        <f t="shared" si="8"/>
        <v>2024-Q2</v>
      </c>
      <c r="U841" s="63" t="str">
        <f t="shared" si="9"/>
        <v>2024-06</v>
      </c>
      <c r="V841" s="64" t="str">
        <f t="shared" si="10"/>
        <v>2024-H1</v>
      </c>
      <c r="W841" s="32"/>
      <c r="X841" s="32"/>
    </row>
    <row r="842">
      <c r="A842" s="77">
        <f>HYPERLINK("https://polkadot.subsquare.io/referenda/840", 840)</f>
        <v>840</v>
      </c>
      <c r="B842" s="40" t="s">
        <v>2308</v>
      </c>
      <c r="C842" s="40" t="s">
        <v>2291</v>
      </c>
      <c r="D842" s="78">
        <v>26265.0</v>
      </c>
      <c r="E842" s="79">
        <v>174866.2455010414</v>
      </c>
      <c r="F842" s="40" t="s">
        <v>1853</v>
      </c>
      <c r="G842" s="78">
        <v>341749.851087096</v>
      </c>
      <c r="H842" s="78">
        <v>5.0825194798495874E7</v>
      </c>
      <c r="I842" s="80">
        <v>45447.0</v>
      </c>
      <c r="J842" s="80">
        <v>45469.0</v>
      </c>
      <c r="K842" s="79">
        <v>164982.1285700798</v>
      </c>
      <c r="L842" s="25"/>
      <c r="M842" s="25"/>
      <c r="N842" s="86"/>
      <c r="O842" s="61"/>
      <c r="P842" s="61"/>
      <c r="Q842" s="61"/>
      <c r="R842" s="61" t="str">
        <f t="shared" si="6"/>
        <v>2024</v>
      </c>
      <c r="S842" s="62">
        <f t="shared" si="7"/>
        <v>6</v>
      </c>
      <c r="T842" s="61" t="str">
        <f t="shared" si="8"/>
        <v>2024-Q2</v>
      </c>
      <c r="U842" s="63" t="str">
        <f t="shared" si="9"/>
        <v>2024-06</v>
      </c>
      <c r="V842" s="64" t="str">
        <f t="shared" si="10"/>
        <v>2024-H1</v>
      </c>
      <c r="W842" s="32"/>
      <c r="X842" s="32"/>
    </row>
    <row r="843">
      <c r="A843" s="77">
        <f>HYPERLINK("https://polkadot.subsquare.io/referenda/841", 841)</f>
        <v>841</v>
      </c>
      <c r="B843" s="40" t="s">
        <v>2309</v>
      </c>
      <c r="C843" s="40" t="s">
        <v>2119</v>
      </c>
      <c r="D843" s="78">
        <v>0.0</v>
      </c>
      <c r="E843" s="79">
        <v>0.0</v>
      </c>
      <c r="F843" s="40" t="s">
        <v>1852</v>
      </c>
      <c r="G843" s="78">
        <v>1.329316836791525E8</v>
      </c>
      <c r="H843" s="78">
        <v>10.0</v>
      </c>
      <c r="I843" s="80">
        <v>45448.0</v>
      </c>
      <c r="J843" s="80">
        <v>45459.0</v>
      </c>
      <c r="K843" s="79">
        <v>0.0</v>
      </c>
      <c r="L843" s="25"/>
      <c r="M843" s="25"/>
      <c r="N843" s="61"/>
      <c r="O843" s="86"/>
      <c r="P843" s="86"/>
      <c r="Q843" s="86"/>
      <c r="R843" s="61" t="str">
        <f t="shared" si="6"/>
        <v>2024</v>
      </c>
      <c r="S843" s="62">
        <f t="shared" si="7"/>
        <v>6</v>
      </c>
      <c r="T843" s="61" t="str">
        <f t="shared" si="8"/>
        <v>2024-Q2</v>
      </c>
      <c r="U843" s="63" t="str">
        <f t="shared" si="9"/>
        <v>2024-06</v>
      </c>
      <c r="V843" s="64" t="str">
        <f t="shared" si="10"/>
        <v>2024-H1</v>
      </c>
      <c r="W843" s="32"/>
      <c r="X843" s="32"/>
    </row>
    <row r="844">
      <c r="A844" s="77">
        <f>HYPERLINK("https://polkadot.subsquare.io/referenda/842", 842)</f>
        <v>842</v>
      </c>
      <c r="B844" s="40" t="s">
        <v>1300</v>
      </c>
      <c r="C844" s="40" t="s">
        <v>1851</v>
      </c>
      <c r="D844" s="78">
        <v>440.0</v>
      </c>
      <c r="E844" s="79">
        <v>2810.906524658203</v>
      </c>
      <c r="F844" s="40" t="s">
        <v>1869</v>
      </c>
      <c r="G844" s="78">
        <v>1.2980898190504821E7</v>
      </c>
      <c r="H844" s="78">
        <v>5828006.166197433</v>
      </c>
      <c r="I844" s="80">
        <v>45448.0</v>
      </c>
      <c r="J844" s="80">
        <v>45453.0</v>
      </c>
      <c r="K844" s="79">
        <v>2798.431739807129</v>
      </c>
      <c r="L844" s="25" t="s">
        <v>81</v>
      </c>
      <c r="M844" s="25" t="s">
        <v>89</v>
      </c>
      <c r="N844" s="86"/>
      <c r="O844" s="61"/>
      <c r="P844" s="61"/>
      <c r="Q844" s="61"/>
      <c r="R844" s="61" t="str">
        <f t="shared" si="6"/>
        <v>2024</v>
      </c>
      <c r="S844" s="62">
        <f t="shared" si="7"/>
        <v>6</v>
      </c>
      <c r="T844" s="61" t="str">
        <f t="shared" si="8"/>
        <v>2024-Q2</v>
      </c>
      <c r="U844" s="63" t="str">
        <f t="shared" si="9"/>
        <v>2024-06</v>
      </c>
      <c r="V844" s="64" t="str">
        <f t="shared" si="10"/>
        <v>2024-H1</v>
      </c>
      <c r="W844" s="32"/>
      <c r="X844" s="32"/>
    </row>
    <row r="845">
      <c r="A845" s="77">
        <f>HYPERLINK("https://polkadot.subsquare.io/referenda/843", 843)</f>
        <v>843</v>
      </c>
      <c r="B845" s="40" t="s">
        <v>2310</v>
      </c>
      <c r="C845" s="40" t="s">
        <v>2291</v>
      </c>
      <c r="D845" s="78">
        <v>8265.0</v>
      </c>
      <c r="E845" s="79">
        <v>52800.323696136475</v>
      </c>
      <c r="F845" s="40" t="s">
        <v>1848</v>
      </c>
      <c r="G845" s="78">
        <v>1.941925958081955E7</v>
      </c>
      <c r="H845" s="78">
        <v>94170.1596156803</v>
      </c>
      <c r="I845" s="80">
        <v>45448.0</v>
      </c>
      <c r="J845" s="80">
        <v>45469.0</v>
      </c>
      <c r="K845" s="79">
        <v>51916.13526105881</v>
      </c>
      <c r="L845" s="25" t="s">
        <v>81</v>
      </c>
      <c r="M845" s="25" t="s">
        <v>92</v>
      </c>
      <c r="N845" s="61"/>
      <c r="O845" s="86"/>
      <c r="P845" s="86"/>
      <c r="Q845" s="86"/>
      <c r="R845" s="61" t="str">
        <f t="shared" si="6"/>
        <v>2024</v>
      </c>
      <c r="S845" s="62">
        <f t="shared" si="7"/>
        <v>6</v>
      </c>
      <c r="T845" s="61" t="str">
        <f t="shared" si="8"/>
        <v>2024-Q2</v>
      </c>
      <c r="U845" s="63" t="str">
        <f t="shared" si="9"/>
        <v>2024-06</v>
      </c>
      <c r="V845" s="64" t="str">
        <f t="shared" si="10"/>
        <v>2024-H1</v>
      </c>
      <c r="W845" s="32"/>
      <c r="X845" s="32"/>
    </row>
    <row r="846">
      <c r="A846" s="77">
        <f>HYPERLINK("https://polkadot.subsquare.io/referenda/844", 844)</f>
        <v>844</v>
      </c>
      <c r="B846" s="40" t="s">
        <v>2311</v>
      </c>
      <c r="C846" s="40" t="s">
        <v>2298</v>
      </c>
      <c r="D846" s="78">
        <v>2150.3914</v>
      </c>
      <c r="E846" s="79">
        <v>13737.61185642929</v>
      </c>
      <c r="F846" s="40" t="s">
        <v>1848</v>
      </c>
      <c r="G846" s="78">
        <v>2.8126382884544637E7</v>
      </c>
      <c r="H846" s="78">
        <v>5650098.6042949995</v>
      </c>
      <c r="I846" s="80">
        <v>45448.0</v>
      </c>
      <c r="J846" s="80">
        <v>45469.0</v>
      </c>
      <c r="K846" s="79">
        <v>13507.56331356535</v>
      </c>
      <c r="L846" s="25"/>
      <c r="M846" s="25"/>
      <c r="N846" s="86"/>
      <c r="O846" s="61"/>
      <c r="P846" s="61"/>
      <c r="Q846" s="61"/>
      <c r="R846" s="61" t="str">
        <f t="shared" si="6"/>
        <v>2024</v>
      </c>
      <c r="S846" s="62">
        <f t="shared" si="7"/>
        <v>6</v>
      </c>
      <c r="T846" s="61" t="str">
        <f t="shared" si="8"/>
        <v>2024-Q2</v>
      </c>
      <c r="U846" s="63" t="str">
        <f t="shared" si="9"/>
        <v>2024-06</v>
      </c>
      <c r="V846" s="64" t="str">
        <f t="shared" si="10"/>
        <v>2024-H1</v>
      </c>
      <c r="W846" s="32"/>
      <c r="X846" s="32"/>
    </row>
    <row r="847">
      <c r="A847" s="77">
        <f>HYPERLINK("https://polkadot.subsquare.io/referenda/845", 845)</f>
        <v>845</v>
      </c>
      <c r="B847" s="40" t="s">
        <v>2312</v>
      </c>
      <c r="C847" s="40" t="s">
        <v>1846</v>
      </c>
      <c r="D847" s="78">
        <v>0.0</v>
      </c>
      <c r="E847" s="79">
        <v>0.0</v>
      </c>
      <c r="F847" s="40" t="s">
        <v>1869</v>
      </c>
      <c r="G847" s="78">
        <v>26441.2873962073</v>
      </c>
      <c r="H847" s="78">
        <v>2.309169407134122E7</v>
      </c>
      <c r="I847" s="80">
        <v>45448.0</v>
      </c>
      <c r="J847" s="80">
        <v>45456.0</v>
      </c>
      <c r="K847" s="79">
        <v>0.0</v>
      </c>
      <c r="L847" s="25"/>
      <c r="M847" s="25"/>
      <c r="N847" s="61"/>
      <c r="O847" s="86"/>
      <c r="P847" s="86"/>
      <c r="Q847" s="86"/>
      <c r="R847" s="61" t="str">
        <f t="shared" si="6"/>
        <v>2024</v>
      </c>
      <c r="S847" s="62">
        <f t="shared" si="7"/>
        <v>6</v>
      </c>
      <c r="T847" s="61" t="str">
        <f t="shared" si="8"/>
        <v>2024-Q2</v>
      </c>
      <c r="U847" s="63" t="str">
        <f t="shared" si="9"/>
        <v>2024-06</v>
      </c>
      <c r="V847" s="64" t="str">
        <f t="shared" si="10"/>
        <v>2024-H1</v>
      </c>
      <c r="W847" s="32"/>
      <c r="X847" s="32"/>
    </row>
    <row r="848">
      <c r="A848" s="77">
        <f>HYPERLINK("https://polkadot.subsquare.io/referenda/846", 846)</f>
        <v>846</v>
      </c>
      <c r="B848" s="40" t="s">
        <v>2313</v>
      </c>
      <c r="C848" s="40" t="s">
        <v>2291</v>
      </c>
      <c r="D848" s="78">
        <v>13855.6</v>
      </c>
      <c r="E848" s="79">
        <v>88515.44646148682</v>
      </c>
      <c r="F848" s="40" t="s">
        <v>1853</v>
      </c>
      <c r="G848" s="78">
        <v>8920946.21300163</v>
      </c>
      <c r="H848" s="78">
        <v>2.695695890845646E7</v>
      </c>
      <c r="I848" s="80">
        <v>45449.0</v>
      </c>
      <c r="J848" s="80">
        <v>45469.0</v>
      </c>
      <c r="K848" s="79">
        <v>87033.1764940262</v>
      </c>
      <c r="L848" s="25"/>
      <c r="M848" s="25"/>
      <c r="N848" s="86"/>
      <c r="O848" s="61"/>
      <c r="P848" s="61"/>
      <c r="Q848" s="61"/>
      <c r="R848" s="61" t="str">
        <f t="shared" si="6"/>
        <v>2024</v>
      </c>
      <c r="S848" s="62">
        <f t="shared" si="7"/>
        <v>6</v>
      </c>
      <c r="T848" s="61" t="str">
        <f t="shared" si="8"/>
        <v>2024-Q2</v>
      </c>
      <c r="U848" s="63" t="str">
        <f t="shared" si="9"/>
        <v>2024-06</v>
      </c>
      <c r="V848" s="64" t="str">
        <f t="shared" si="10"/>
        <v>2024-H1</v>
      </c>
      <c r="W848" s="32"/>
      <c r="X848" s="32"/>
    </row>
    <row r="849">
      <c r="A849" s="77">
        <f>HYPERLINK("https://polkadot.subsquare.io/referenda/847", 847)</f>
        <v>847</v>
      </c>
      <c r="B849" s="40" t="s">
        <v>2314</v>
      </c>
      <c r="C849" s="40" t="s">
        <v>2291</v>
      </c>
      <c r="D849" s="78">
        <v>17822.33</v>
      </c>
      <c r="E849" s="79">
        <v>116250.8306952715</v>
      </c>
      <c r="F849" s="40" t="s">
        <v>1853</v>
      </c>
      <c r="G849" s="78">
        <v>2.6260067339094143E7</v>
      </c>
      <c r="H849" s="78">
        <v>37956.8366592061</v>
      </c>
      <c r="I849" s="80">
        <v>45449.0</v>
      </c>
      <c r="J849" s="80">
        <v>45469.0</v>
      </c>
      <c r="K849" s="79">
        <v>111949.96914062025</v>
      </c>
      <c r="L849" s="25"/>
      <c r="M849" s="25"/>
      <c r="N849" s="61"/>
      <c r="O849" s="86"/>
      <c r="P849" s="86"/>
      <c r="Q849" s="86"/>
      <c r="R849" s="61" t="str">
        <f t="shared" si="6"/>
        <v>2024</v>
      </c>
      <c r="S849" s="62">
        <f t="shared" si="7"/>
        <v>6</v>
      </c>
      <c r="T849" s="61" t="str">
        <f t="shared" si="8"/>
        <v>2024-Q2</v>
      </c>
      <c r="U849" s="63" t="str">
        <f t="shared" si="9"/>
        <v>2024-06</v>
      </c>
      <c r="V849" s="64" t="str">
        <f t="shared" si="10"/>
        <v>2024-H1</v>
      </c>
      <c r="W849" s="32"/>
      <c r="X849" s="32"/>
    </row>
    <row r="850">
      <c r="A850" s="77">
        <f>HYPERLINK("https://polkadot.subsquare.io/referenda/848", 848)</f>
        <v>848</v>
      </c>
      <c r="B850" s="40" t="s">
        <v>1301</v>
      </c>
      <c r="C850" s="40" t="s">
        <v>1851</v>
      </c>
      <c r="D850" s="78">
        <v>348.7</v>
      </c>
      <c r="E850" s="79">
        <v>2274.4873797893524</v>
      </c>
      <c r="F850" s="40" t="s">
        <v>1869</v>
      </c>
      <c r="G850" s="78">
        <v>1.319405825608982E7</v>
      </c>
      <c r="H850" s="78">
        <v>35376.7366592061</v>
      </c>
      <c r="I850" s="80">
        <v>45450.0</v>
      </c>
      <c r="J850" s="80">
        <v>45455.0</v>
      </c>
      <c r="K850" s="79">
        <v>2148.9548344135283</v>
      </c>
      <c r="L850" s="25" t="s">
        <v>81</v>
      </c>
      <c r="M850" s="89" t="s">
        <v>86</v>
      </c>
      <c r="N850" s="86"/>
      <c r="O850" s="61"/>
      <c r="P850" s="61"/>
      <c r="Q850" s="61"/>
      <c r="R850" s="61" t="str">
        <f t="shared" si="6"/>
        <v>2024</v>
      </c>
      <c r="S850" s="62">
        <f t="shared" si="7"/>
        <v>6</v>
      </c>
      <c r="T850" s="61" t="str">
        <f t="shared" si="8"/>
        <v>2024-Q2</v>
      </c>
      <c r="U850" s="63" t="str">
        <f t="shared" si="9"/>
        <v>2024-06</v>
      </c>
      <c r="V850" s="64" t="str">
        <f t="shared" si="10"/>
        <v>2024-H1</v>
      </c>
      <c r="W850" s="32"/>
      <c r="X850" s="32"/>
    </row>
    <row r="851">
      <c r="A851" s="77">
        <f>HYPERLINK("https://polkadot.subsquare.io/referenda/849", 849)</f>
        <v>849</v>
      </c>
      <c r="B851" s="40" t="s">
        <v>2315</v>
      </c>
      <c r="C851" s="40" t="s">
        <v>2298</v>
      </c>
      <c r="D851" s="78">
        <v>46194.0</v>
      </c>
      <c r="E851" s="79">
        <v>300604.9959039688</v>
      </c>
      <c r="F851" s="40" t="s">
        <v>1853</v>
      </c>
      <c r="G851" s="78">
        <v>7.304618611055021E7</v>
      </c>
      <c r="H851" s="78">
        <v>18783.3334236112</v>
      </c>
      <c r="I851" s="80">
        <v>45451.0</v>
      </c>
      <c r="J851" s="80">
        <v>45469.0</v>
      </c>
      <c r="K851" s="79">
        <v>290165.0274953842</v>
      </c>
      <c r="L851" s="25"/>
      <c r="M851" s="25"/>
      <c r="N851" s="61"/>
      <c r="O851" s="86"/>
      <c r="P851" s="86"/>
      <c r="Q851" s="86"/>
      <c r="R851" s="61" t="str">
        <f t="shared" si="6"/>
        <v>2024</v>
      </c>
      <c r="S851" s="62">
        <f t="shared" si="7"/>
        <v>6</v>
      </c>
      <c r="T851" s="61" t="str">
        <f t="shared" si="8"/>
        <v>2024-Q2</v>
      </c>
      <c r="U851" s="63" t="str">
        <f t="shared" si="9"/>
        <v>2024-06</v>
      </c>
      <c r="V851" s="64" t="str">
        <f t="shared" si="10"/>
        <v>2024-H1</v>
      </c>
      <c r="W851" s="32"/>
      <c r="X851" s="32"/>
    </row>
    <row r="852">
      <c r="A852" s="77">
        <f>HYPERLINK("https://polkadot.subsquare.io/referenda/850", 850)</f>
        <v>850</v>
      </c>
      <c r="B852" s="40" t="s">
        <v>2316</v>
      </c>
      <c r="C852" s="40" t="s">
        <v>1861</v>
      </c>
      <c r="D852" s="78">
        <v>0.0</v>
      </c>
      <c r="E852" s="79">
        <v>0.0</v>
      </c>
      <c r="F852" s="40" t="s">
        <v>2221</v>
      </c>
      <c r="G852" s="78">
        <v>0.0</v>
      </c>
      <c r="H852" s="78">
        <v>2.9885998678728335E7</v>
      </c>
      <c r="I852" s="80">
        <v>45451.0</v>
      </c>
      <c r="J852" s="80">
        <v>45465.0</v>
      </c>
      <c r="K852" s="79">
        <v>0.0</v>
      </c>
      <c r="L852" s="25"/>
      <c r="M852" s="25"/>
      <c r="N852" s="86"/>
      <c r="O852" s="61"/>
      <c r="P852" s="61"/>
      <c r="Q852" s="61"/>
      <c r="R852" s="61" t="str">
        <f t="shared" si="6"/>
        <v>2024</v>
      </c>
      <c r="S852" s="62">
        <f t="shared" si="7"/>
        <v>6</v>
      </c>
      <c r="T852" s="61" t="str">
        <f t="shared" si="8"/>
        <v>2024-Q2</v>
      </c>
      <c r="U852" s="63" t="str">
        <f t="shared" si="9"/>
        <v>2024-06</v>
      </c>
      <c r="V852" s="64" t="str">
        <f t="shared" si="10"/>
        <v>2024-H1</v>
      </c>
      <c r="W852" s="32"/>
      <c r="X852" s="32"/>
    </row>
    <row r="853">
      <c r="A853" s="77">
        <f>HYPERLINK("https://polkadot.subsquare.io/referenda/851", 851)</f>
        <v>851</v>
      </c>
      <c r="B853" s="40" t="s">
        <v>2317</v>
      </c>
      <c r="C853" s="40" t="s">
        <v>2291</v>
      </c>
      <c r="D853" s="78">
        <v>0.0</v>
      </c>
      <c r="E853" s="79">
        <v>0.0</v>
      </c>
      <c r="F853" s="40" t="s">
        <v>2221</v>
      </c>
      <c r="G853" s="78">
        <v>5856471.01498141</v>
      </c>
      <c r="H853" s="78">
        <v>4.7741468977023736E7</v>
      </c>
      <c r="I853" s="80">
        <v>45451.0</v>
      </c>
      <c r="J853" s="80">
        <v>45469.0</v>
      </c>
      <c r="K853" s="79">
        <v>0.0</v>
      </c>
      <c r="L853" s="25"/>
      <c r="M853" s="25"/>
      <c r="N853" s="61"/>
      <c r="O853" s="86"/>
      <c r="P853" s="86"/>
      <c r="Q853" s="86"/>
      <c r="R853" s="61" t="str">
        <f t="shared" si="6"/>
        <v>2024</v>
      </c>
      <c r="S853" s="62">
        <f t="shared" si="7"/>
        <v>6</v>
      </c>
      <c r="T853" s="61" t="str">
        <f t="shared" si="8"/>
        <v>2024-Q2</v>
      </c>
      <c r="U853" s="63" t="str">
        <f t="shared" si="9"/>
        <v>2024-06</v>
      </c>
      <c r="V853" s="64" t="str">
        <f t="shared" si="10"/>
        <v>2024-H1</v>
      </c>
      <c r="W853" s="32"/>
      <c r="X853" s="32"/>
    </row>
    <row r="854">
      <c r="A854" s="77">
        <f>HYPERLINK("https://polkadot.subsquare.io/referenda/852", 852)</f>
        <v>852</v>
      </c>
      <c r="B854" s="40" t="s">
        <v>2318</v>
      </c>
      <c r="C854" s="40" t="s">
        <v>1861</v>
      </c>
      <c r="D854" s="78">
        <v>0.0</v>
      </c>
      <c r="E854" s="79">
        <v>0.0</v>
      </c>
      <c r="F854" s="40" t="s">
        <v>1857</v>
      </c>
      <c r="G854" s="78">
        <v>0.0</v>
      </c>
      <c r="H854" s="78">
        <v>3327035.609488497</v>
      </c>
      <c r="I854" s="80">
        <v>45451.0</v>
      </c>
      <c r="J854" s="80">
        <v>45465.0</v>
      </c>
      <c r="K854" s="79">
        <v>0.0</v>
      </c>
      <c r="L854" s="25"/>
      <c r="M854" s="25"/>
      <c r="N854" s="86"/>
      <c r="O854" s="61"/>
      <c r="P854" s="61"/>
      <c r="Q854" s="61"/>
      <c r="R854" s="61" t="str">
        <f t="shared" si="6"/>
        <v>2024</v>
      </c>
      <c r="S854" s="62">
        <f t="shared" si="7"/>
        <v>6</v>
      </c>
      <c r="T854" s="61" t="str">
        <f t="shared" si="8"/>
        <v>2024-Q2</v>
      </c>
      <c r="U854" s="63" t="str">
        <f t="shared" si="9"/>
        <v>2024-06</v>
      </c>
      <c r="V854" s="64" t="str">
        <f t="shared" si="10"/>
        <v>2024-H1</v>
      </c>
      <c r="W854" s="32"/>
      <c r="X854" s="32"/>
    </row>
    <row r="855">
      <c r="A855" s="77">
        <f>HYPERLINK("https://polkadot.subsquare.io/referenda/853", 853)</f>
        <v>853</v>
      </c>
      <c r="B855" s="40" t="s">
        <v>2319</v>
      </c>
      <c r="C855" s="40" t="s">
        <v>2291</v>
      </c>
      <c r="D855" s="78">
        <v>7935.0</v>
      </c>
      <c r="E855" s="79">
        <v>50624.48362827301</v>
      </c>
      <c r="F855" s="40" t="s">
        <v>1848</v>
      </c>
      <c r="G855" s="78">
        <v>0.0</v>
      </c>
      <c r="H855" s="78">
        <v>2.5049974697954863E7</v>
      </c>
      <c r="I855" s="80">
        <v>45451.0</v>
      </c>
      <c r="J855" s="80">
        <v>45469.0</v>
      </c>
      <c r="K855" s="79">
        <v>49843.25871706009</v>
      </c>
      <c r="L855" s="25"/>
      <c r="M855" s="25"/>
      <c r="N855" s="61"/>
      <c r="O855" s="86"/>
      <c r="P855" s="86"/>
      <c r="Q855" s="86"/>
      <c r="R855" s="61" t="str">
        <f t="shared" si="6"/>
        <v>2024</v>
      </c>
      <c r="S855" s="62">
        <f t="shared" si="7"/>
        <v>6</v>
      </c>
      <c r="T855" s="61" t="str">
        <f t="shared" si="8"/>
        <v>2024-Q2</v>
      </c>
      <c r="U855" s="63" t="str">
        <f t="shared" si="9"/>
        <v>2024-06</v>
      </c>
      <c r="V855" s="64" t="str">
        <f t="shared" si="10"/>
        <v>2024-H1</v>
      </c>
      <c r="W855" s="32"/>
      <c r="X855" s="32"/>
    </row>
    <row r="856">
      <c r="A856" s="77">
        <f>HYPERLINK("https://polkadot.subsquare.io/referenda/854", 854)</f>
        <v>854</v>
      </c>
      <c r="B856" s="40" t="s">
        <v>2320</v>
      </c>
      <c r="C856" s="40" t="s">
        <v>2291</v>
      </c>
      <c r="D856" s="78">
        <v>0.0</v>
      </c>
      <c r="E856" s="79">
        <v>0.0</v>
      </c>
      <c r="F856" s="40" t="s">
        <v>2221</v>
      </c>
      <c r="G856" s="78">
        <v>2.1449377337148007E7</v>
      </c>
      <c r="H856" s="78">
        <v>26351.8366592061</v>
      </c>
      <c r="I856" s="80">
        <v>45451.0</v>
      </c>
      <c r="J856" s="80">
        <v>45469.0</v>
      </c>
      <c r="K856" s="79">
        <v>0.0</v>
      </c>
      <c r="L856" s="25"/>
      <c r="M856" s="25"/>
      <c r="N856" s="86"/>
      <c r="O856" s="61"/>
      <c r="P856" s="61"/>
      <c r="Q856" s="61"/>
      <c r="R856" s="61" t="str">
        <f t="shared" si="6"/>
        <v>2024</v>
      </c>
      <c r="S856" s="62">
        <f t="shared" si="7"/>
        <v>6</v>
      </c>
      <c r="T856" s="61" t="str">
        <f t="shared" si="8"/>
        <v>2024-Q2</v>
      </c>
      <c r="U856" s="63" t="str">
        <f t="shared" si="9"/>
        <v>2024-06</v>
      </c>
      <c r="V856" s="64" t="str">
        <f t="shared" si="10"/>
        <v>2024-H1</v>
      </c>
      <c r="W856" s="32"/>
      <c r="X856" s="32"/>
    </row>
    <row r="857">
      <c r="A857" s="77">
        <f>HYPERLINK("https://polkadot.subsquare.io/referenda/855", 855)</f>
        <v>855</v>
      </c>
      <c r="B857" s="40" t="s">
        <v>2321</v>
      </c>
      <c r="C857" s="40" t="s">
        <v>2119</v>
      </c>
      <c r="D857" s="78">
        <v>1519.0</v>
      </c>
      <c r="E857" s="79">
        <v>9691.0637216568</v>
      </c>
      <c r="F857" s="40" t="s">
        <v>1848</v>
      </c>
      <c r="G857" s="78">
        <v>4.169707124053409E7</v>
      </c>
      <c r="H857" s="78">
        <v>798430.3637472384</v>
      </c>
      <c r="I857" s="80">
        <v>45452.0</v>
      </c>
      <c r="J857" s="80">
        <v>45468.0</v>
      </c>
      <c r="K857" s="79">
        <v>9541.513546466827</v>
      </c>
      <c r="L857" s="25"/>
      <c r="M857" s="25"/>
      <c r="N857" s="61"/>
      <c r="O857" s="86"/>
      <c r="P857" s="86"/>
      <c r="Q857" s="86"/>
      <c r="R857" s="61" t="str">
        <f t="shared" si="6"/>
        <v>2024</v>
      </c>
      <c r="S857" s="62">
        <f t="shared" si="7"/>
        <v>6</v>
      </c>
      <c r="T857" s="61" t="str">
        <f t="shared" si="8"/>
        <v>2024-Q2</v>
      </c>
      <c r="U857" s="63" t="str">
        <f t="shared" si="9"/>
        <v>2024-06</v>
      </c>
      <c r="V857" s="64" t="str">
        <f t="shared" si="10"/>
        <v>2024-H1</v>
      </c>
      <c r="W857" s="32"/>
      <c r="X857" s="32"/>
    </row>
    <row r="858">
      <c r="A858" s="77">
        <f>HYPERLINK("https://polkadot.subsquare.io/referenda/856", 856)</f>
        <v>856</v>
      </c>
      <c r="B858" s="40" t="s">
        <v>1302</v>
      </c>
      <c r="C858" s="40" t="s">
        <v>1851</v>
      </c>
      <c r="D858" s="78">
        <v>7496.0</v>
      </c>
      <c r="E858" s="79">
        <v>50535.9095954895</v>
      </c>
      <c r="F858" s="40" t="s">
        <v>1848</v>
      </c>
      <c r="G858" s="78">
        <v>5.208743713188946E7</v>
      </c>
      <c r="H858" s="78">
        <v>16746.8366592061</v>
      </c>
      <c r="I858" s="80">
        <v>45452.0</v>
      </c>
      <c r="J858" s="80">
        <v>45467.0</v>
      </c>
      <c r="K858" s="79">
        <v>47085.70476913452</v>
      </c>
      <c r="L858" s="25" t="s">
        <v>81</v>
      </c>
      <c r="M858" s="25" t="s">
        <v>98</v>
      </c>
      <c r="N858" s="86"/>
      <c r="O858" s="61"/>
      <c r="P858" s="61"/>
      <c r="Q858" s="61"/>
      <c r="R858" s="61" t="str">
        <f t="shared" si="6"/>
        <v>2024</v>
      </c>
      <c r="S858" s="62">
        <f t="shared" si="7"/>
        <v>6</v>
      </c>
      <c r="T858" s="61" t="str">
        <f t="shared" si="8"/>
        <v>2024-Q2</v>
      </c>
      <c r="U858" s="63" t="str">
        <f t="shared" si="9"/>
        <v>2024-06</v>
      </c>
      <c r="V858" s="64" t="str">
        <f t="shared" si="10"/>
        <v>2024-H1</v>
      </c>
      <c r="W858" s="32"/>
      <c r="X858" s="32"/>
    </row>
    <row r="859">
      <c r="A859" s="77">
        <f>HYPERLINK("https://polkadot.subsquare.io/referenda/857", 857)</f>
        <v>857</v>
      </c>
      <c r="B859" s="40" t="s">
        <v>2322</v>
      </c>
      <c r="C859" s="40" t="s">
        <v>2323</v>
      </c>
      <c r="D859" s="78">
        <v>0.0</v>
      </c>
      <c r="E859" s="79">
        <v>0.0</v>
      </c>
      <c r="F859" s="40" t="s">
        <v>1857</v>
      </c>
      <c r="G859" s="78">
        <v>5.235930689288504E7</v>
      </c>
      <c r="H859" s="78">
        <v>5.0</v>
      </c>
      <c r="I859" s="80">
        <v>45452.0</v>
      </c>
      <c r="J859" s="80">
        <v>45469.0</v>
      </c>
      <c r="K859" s="79">
        <v>0.0</v>
      </c>
      <c r="L859" s="25"/>
      <c r="M859" s="25"/>
      <c r="N859" s="61"/>
      <c r="O859" s="86"/>
      <c r="P859" s="86"/>
      <c r="Q859" s="86"/>
      <c r="R859" s="61" t="str">
        <f t="shared" si="6"/>
        <v>2024</v>
      </c>
      <c r="S859" s="62">
        <f t="shared" si="7"/>
        <v>6</v>
      </c>
      <c r="T859" s="61" t="str">
        <f t="shared" si="8"/>
        <v>2024-Q2</v>
      </c>
      <c r="U859" s="63" t="str">
        <f t="shared" si="9"/>
        <v>2024-06</v>
      </c>
      <c r="V859" s="64" t="str">
        <f t="shared" si="10"/>
        <v>2024-H1</v>
      </c>
      <c r="W859" s="32"/>
      <c r="X859" s="32"/>
    </row>
    <row r="860">
      <c r="A860" s="77">
        <f>HYPERLINK("https://polkadot.subsquare.io/referenda/858", 858)</f>
        <v>858</v>
      </c>
      <c r="B860" s="40" t="s">
        <v>2324</v>
      </c>
      <c r="C860" s="40" t="s">
        <v>1851</v>
      </c>
      <c r="D860" s="78">
        <v>0.0</v>
      </c>
      <c r="E860" s="79">
        <v>0.0</v>
      </c>
      <c r="F860" s="40" t="s">
        <v>2059</v>
      </c>
      <c r="G860" s="78">
        <v>5.2841564359386615E7</v>
      </c>
      <c r="H860" s="78">
        <v>69981.395132878</v>
      </c>
      <c r="I860" s="80">
        <v>45452.0</v>
      </c>
      <c r="J860" s="80">
        <v>45463.0</v>
      </c>
      <c r="K860" s="79">
        <v>0.0</v>
      </c>
      <c r="L860" s="25"/>
      <c r="M860" s="25"/>
      <c r="N860" s="86"/>
      <c r="O860" s="61"/>
      <c r="P860" s="61"/>
      <c r="Q860" s="61"/>
      <c r="R860" s="61" t="str">
        <f t="shared" si="6"/>
        <v>2024</v>
      </c>
      <c r="S860" s="62">
        <f t="shared" si="7"/>
        <v>6</v>
      </c>
      <c r="T860" s="61" t="str">
        <f t="shared" si="8"/>
        <v>2024-Q2</v>
      </c>
      <c r="U860" s="63" t="str">
        <f t="shared" si="9"/>
        <v>2024-06</v>
      </c>
      <c r="V860" s="64" t="str">
        <f t="shared" si="10"/>
        <v>2024-H1</v>
      </c>
      <c r="W860" s="90">
        <f t="shared" ref="W860:W863" si="11">G860/(G860+H860)</f>
        <v>0.9986773889</v>
      </c>
      <c r="X860" s="76" t="s">
        <v>2325</v>
      </c>
    </row>
    <row r="861">
      <c r="A861" s="77">
        <f>HYPERLINK("https://polkadot.subsquare.io/referenda/859", 859)</f>
        <v>859</v>
      </c>
      <c r="B861" s="40" t="s">
        <v>2326</v>
      </c>
      <c r="C861" s="40" t="s">
        <v>1851</v>
      </c>
      <c r="D861" s="78">
        <v>0.0</v>
      </c>
      <c r="E861" s="79">
        <v>0.0</v>
      </c>
      <c r="F861" s="40" t="s">
        <v>2059</v>
      </c>
      <c r="G861" s="78">
        <v>5.369510900747268E7</v>
      </c>
      <c r="H861" s="78">
        <v>525973.7454940305</v>
      </c>
      <c r="I861" s="80">
        <v>45452.0</v>
      </c>
      <c r="J861" s="80">
        <v>45462.0</v>
      </c>
      <c r="K861" s="79">
        <v>0.0</v>
      </c>
      <c r="L861" s="25"/>
      <c r="M861" s="25"/>
      <c r="N861" s="61"/>
      <c r="O861" s="86"/>
      <c r="P861" s="86"/>
      <c r="Q861" s="86"/>
      <c r="R861" s="61" t="str">
        <f t="shared" si="6"/>
        <v>2024</v>
      </c>
      <c r="S861" s="62">
        <f t="shared" si="7"/>
        <v>6</v>
      </c>
      <c r="T861" s="61" t="str">
        <f t="shared" si="8"/>
        <v>2024-Q2</v>
      </c>
      <c r="U861" s="63" t="str">
        <f t="shared" si="9"/>
        <v>2024-06</v>
      </c>
      <c r="V861" s="64" t="str">
        <f t="shared" si="10"/>
        <v>2024-H1</v>
      </c>
      <c r="W861" s="90">
        <f t="shared" si="11"/>
        <v>0.9902994607</v>
      </c>
      <c r="X861" s="76" t="s">
        <v>2327</v>
      </c>
    </row>
    <row r="862">
      <c r="A862" s="77">
        <f>HYPERLINK("https://polkadot.subsquare.io/referenda/860", 860)</f>
        <v>860</v>
      </c>
      <c r="B862" s="40" t="s">
        <v>2328</v>
      </c>
      <c r="C862" s="40" t="s">
        <v>2291</v>
      </c>
      <c r="D862" s="78">
        <v>0.0</v>
      </c>
      <c r="E862" s="79">
        <v>0.0</v>
      </c>
      <c r="F862" s="40" t="s">
        <v>2059</v>
      </c>
      <c r="G862" s="78">
        <v>1001716.1463541639</v>
      </c>
      <c r="H862" s="78">
        <v>2.1900001403332155E7</v>
      </c>
      <c r="I862" s="80">
        <v>45452.0</v>
      </c>
      <c r="J862" s="80">
        <v>45469.0</v>
      </c>
      <c r="K862" s="79">
        <v>0.0</v>
      </c>
      <c r="L862" s="25"/>
      <c r="M862" s="25"/>
      <c r="N862" s="86"/>
      <c r="O862" s="61"/>
      <c r="P862" s="61"/>
      <c r="Q862" s="61"/>
      <c r="R862" s="61" t="str">
        <f t="shared" si="6"/>
        <v>2024</v>
      </c>
      <c r="S862" s="62">
        <f t="shared" si="7"/>
        <v>6</v>
      </c>
      <c r="T862" s="61" t="str">
        <f t="shared" si="8"/>
        <v>2024-Q2</v>
      </c>
      <c r="U862" s="63" t="str">
        <f t="shared" si="9"/>
        <v>2024-06</v>
      </c>
      <c r="V862" s="64" t="str">
        <f t="shared" si="10"/>
        <v>2024-H1</v>
      </c>
      <c r="W862" s="90">
        <f t="shared" si="11"/>
        <v>0.04373978258</v>
      </c>
      <c r="X862" s="76" t="s">
        <v>2329</v>
      </c>
    </row>
    <row r="863">
      <c r="A863" s="77">
        <f>HYPERLINK("https://polkadot.subsquare.io/referenda/861", 861)</f>
        <v>861</v>
      </c>
      <c r="B863" s="40" t="s">
        <v>2330</v>
      </c>
      <c r="C863" s="40" t="s">
        <v>2291</v>
      </c>
      <c r="D863" s="78">
        <v>0.0</v>
      </c>
      <c r="E863" s="79">
        <v>0.0</v>
      </c>
      <c r="F863" s="40" t="s">
        <v>2059</v>
      </c>
      <c r="G863" s="78">
        <v>4296511.344585252</v>
      </c>
      <c r="H863" s="78">
        <v>2.1680304604756862E7</v>
      </c>
      <c r="I863" s="80">
        <v>45453.0</v>
      </c>
      <c r="J863" s="80">
        <v>45469.0</v>
      </c>
      <c r="K863" s="79">
        <v>0.0</v>
      </c>
      <c r="L863" s="25"/>
      <c r="M863" s="25"/>
      <c r="N863" s="61"/>
      <c r="O863" s="86"/>
      <c r="P863" s="86"/>
      <c r="Q863" s="86"/>
      <c r="R863" s="61" t="str">
        <f t="shared" si="6"/>
        <v>2024</v>
      </c>
      <c r="S863" s="62">
        <f t="shared" si="7"/>
        <v>6</v>
      </c>
      <c r="T863" s="61" t="str">
        <f t="shared" si="8"/>
        <v>2024-Q2</v>
      </c>
      <c r="U863" s="63" t="str">
        <f t="shared" si="9"/>
        <v>2024-06</v>
      </c>
      <c r="V863" s="64" t="str">
        <f t="shared" si="10"/>
        <v>2024-H1</v>
      </c>
      <c r="W863" s="90">
        <f t="shared" si="11"/>
        <v>0.1653979207</v>
      </c>
      <c r="X863" s="76" t="s">
        <v>2331</v>
      </c>
    </row>
    <row r="864">
      <c r="A864" s="77">
        <f>HYPERLINK("https://polkadot.subsquare.io/referenda/862", 862)</f>
        <v>862</v>
      </c>
      <c r="B864" s="40" t="s">
        <v>2332</v>
      </c>
      <c r="C864" s="40" t="s">
        <v>2291</v>
      </c>
      <c r="D864" s="78">
        <v>0.0</v>
      </c>
      <c r="E864" s="79">
        <v>0.0</v>
      </c>
      <c r="F864" s="40" t="s">
        <v>2221</v>
      </c>
      <c r="G864" s="78">
        <v>2.54603019907643E7</v>
      </c>
      <c r="H864" s="78">
        <v>10155.1</v>
      </c>
      <c r="I864" s="80">
        <v>45453.0</v>
      </c>
      <c r="J864" s="80">
        <v>45469.0</v>
      </c>
      <c r="K864" s="79">
        <v>0.0</v>
      </c>
      <c r="L864" s="25"/>
      <c r="M864" s="25"/>
      <c r="N864" s="86"/>
      <c r="O864" s="61"/>
      <c r="P864" s="61"/>
      <c r="Q864" s="61"/>
      <c r="R864" s="61" t="str">
        <f t="shared" si="6"/>
        <v>2024</v>
      </c>
      <c r="S864" s="62">
        <f t="shared" si="7"/>
        <v>6</v>
      </c>
      <c r="T864" s="61" t="str">
        <f t="shared" si="8"/>
        <v>2024-Q2</v>
      </c>
      <c r="U864" s="63" t="str">
        <f t="shared" si="9"/>
        <v>2024-06</v>
      </c>
      <c r="V864" s="64" t="str">
        <f t="shared" si="10"/>
        <v>2024-H1</v>
      </c>
      <c r="W864" s="32"/>
      <c r="X864" s="32"/>
    </row>
    <row r="865">
      <c r="A865" s="77">
        <f>HYPERLINK("https://polkadot.subsquare.io/referenda/863", 863)</f>
        <v>863</v>
      </c>
      <c r="B865" s="40" t="s">
        <v>2333</v>
      </c>
      <c r="C865" s="40" t="s">
        <v>2291</v>
      </c>
      <c r="D865" s="78">
        <v>0.0</v>
      </c>
      <c r="E865" s="79">
        <v>0.0</v>
      </c>
      <c r="F865" s="40" t="s">
        <v>2059</v>
      </c>
      <c r="G865" s="78">
        <v>4230650.440340989</v>
      </c>
      <c r="H865" s="78">
        <v>2.144184971438903E7</v>
      </c>
      <c r="I865" s="80">
        <v>45453.0</v>
      </c>
      <c r="J865" s="80">
        <v>45469.0</v>
      </c>
      <c r="K865" s="79">
        <v>0.0</v>
      </c>
      <c r="L865" s="25"/>
      <c r="M865" s="25"/>
      <c r="N865" s="61"/>
      <c r="O865" s="86"/>
      <c r="P865" s="86"/>
      <c r="Q865" s="86"/>
      <c r="R865" s="61" t="str">
        <f t="shared" si="6"/>
        <v>2024</v>
      </c>
      <c r="S865" s="62">
        <f t="shared" si="7"/>
        <v>6</v>
      </c>
      <c r="T865" s="61" t="str">
        <f t="shared" si="8"/>
        <v>2024-Q2</v>
      </c>
      <c r="U865" s="63" t="str">
        <f t="shared" si="9"/>
        <v>2024-06</v>
      </c>
      <c r="V865" s="64" t="str">
        <f t="shared" si="10"/>
        <v>2024-H1</v>
      </c>
      <c r="W865" s="90">
        <f t="shared" ref="W865:W866" si="12">G865/(G865+H865)</f>
        <v>0.1647930827</v>
      </c>
      <c r="X865" s="76" t="s">
        <v>2334</v>
      </c>
    </row>
    <row r="866">
      <c r="A866" s="77">
        <f>HYPERLINK("https://polkadot.subsquare.io/referenda/864", 864)</f>
        <v>864</v>
      </c>
      <c r="B866" s="40" t="s">
        <v>2335</v>
      </c>
      <c r="C866" s="40" t="s">
        <v>1851</v>
      </c>
      <c r="D866" s="78">
        <v>0.0</v>
      </c>
      <c r="E866" s="79">
        <v>0.0</v>
      </c>
      <c r="F866" s="40" t="s">
        <v>2059</v>
      </c>
      <c r="G866" s="78">
        <v>5.342226577575157E7</v>
      </c>
      <c r="H866" s="78">
        <v>537924.3172470513</v>
      </c>
      <c r="I866" s="80">
        <v>45453.0</v>
      </c>
      <c r="J866" s="80">
        <v>45464.0</v>
      </c>
      <c r="K866" s="79">
        <v>0.0</v>
      </c>
      <c r="L866" s="25"/>
      <c r="M866" s="25"/>
      <c r="N866" s="86"/>
      <c r="O866" s="61"/>
      <c r="P866" s="61"/>
      <c r="Q866" s="61"/>
      <c r="R866" s="61" t="str">
        <f t="shared" si="6"/>
        <v>2024</v>
      </c>
      <c r="S866" s="62">
        <f t="shared" si="7"/>
        <v>6</v>
      </c>
      <c r="T866" s="61" t="str">
        <f t="shared" si="8"/>
        <v>2024-Q2</v>
      </c>
      <c r="U866" s="63" t="str">
        <f t="shared" si="9"/>
        <v>2024-06</v>
      </c>
      <c r="V866" s="64" t="str">
        <f t="shared" si="10"/>
        <v>2024-H1</v>
      </c>
      <c r="W866" s="90">
        <f t="shared" si="12"/>
        <v>0.9900310893</v>
      </c>
      <c r="X866" s="76" t="s">
        <v>2336</v>
      </c>
    </row>
    <row r="867">
      <c r="A867" s="77">
        <f>HYPERLINK("https://polkadot.subsquare.io/referenda/865", 865)</f>
        <v>865</v>
      </c>
      <c r="B867" s="40" t="s">
        <v>982</v>
      </c>
      <c r="C867" s="40" t="s">
        <v>1851</v>
      </c>
      <c r="D867" s="78">
        <v>80.0</v>
      </c>
      <c r="E867" s="79">
        <v>508.80577087402344</v>
      </c>
      <c r="F867" s="40" t="s">
        <v>982</v>
      </c>
      <c r="G867" s="78">
        <v>7698865.058179578</v>
      </c>
      <c r="H867" s="78">
        <v>10.0</v>
      </c>
      <c r="I867" s="80">
        <v>45454.0</v>
      </c>
      <c r="J867" s="80">
        <v>45457.0</v>
      </c>
      <c r="K867" s="79">
        <v>485.91320037841797</v>
      </c>
      <c r="L867" s="25" t="s">
        <v>46</v>
      </c>
      <c r="M867" s="25" t="s">
        <v>102</v>
      </c>
      <c r="N867" s="61"/>
      <c r="O867" s="86"/>
      <c r="P867" s="86"/>
      <c r="Q867" s="86"/>
      <c r="R867" s="61" t="str">
        <f t="shared" si="6"/>
        <v>2024</v>
      </c>
      <c r="S867" s="62">
        <f t="shared" si="7"/>
        <v>6</v>
      </c>
      <c r="T867" s="61" t="str">
        <f t="shared" si="8"/>
        <v>2024-Q2</v>
      </c>
      <c r="U867" s="63" t="str">
        <f t="shared" si="9"/>
        <v>2024-06</v>
      </c>
      <c r="V867" s="64" t="str">
        <f t="shared" si="10"/>
        <v>2024-H1</v>
      </c>
      <c r="W867" s="32"/>
      <c r="X867" s="32"/>
    </row>
    <row r="868">
      <c r="A868" s="77">
        <f>HYPERLINK("https://polkadot.subsquare.io/referenda/866", 866)</f>
        <v>866</v>
      </c>
      <c r="B868" s="40" t="s">
        <v>2337</v>
      </c>
      <c r="C868" s="40" t="s">
        <v>2291</v>
      </c>
      <c r="D868" s="78">
        <v>1324503.0</v>
      </c>
      <c r="E868" s="79">
        <v>8423934.624249458</v>
      </c>
      <c r="F868" s="40" t="s">
        <v>1866</v>
      </c>
      <c r="G868" s="78">
        <v>14705.0</v>
      </c>
      <c r="H868" s="78">
        <v>3.9126865756825656E7</v>
      </c>
      <c r="I868" s="80">
        <v>45454.0</v>
      </c>
      <c r="J868" s="80">
        <v>45469.0</v>
      </c>
      <c r="K868" s="79">
        <v>8319791.5186543465</v>
      </c>
      <c r="L868" s="25"/>
      <c r="M868" s="25"/>
      <c r="N868" s="86"/>
      <c r="O868" s="61"/>
      <c r="P868" s="61"/>
      <c r="Q868" s="61"/>
      <c r="R868" s="61" t="str">
        <f t="shared" si="6"/>
        <v>2024</v>
      </c>
      <c r="S868" s="62">
        <f t="shared" si="7"/>
        <v>6</v>
      </c>
      <c r="T868" s="61" t="str">
        <f t="shared" si="8"/>
        <v>2024-Q2</v>
      </c>
      <c r="U868" s="63" t="str">
        <f t="shared" si="9"/>
        <v>2024-06</v>
      </c>
      <c r="V868" s="64" t="str">
        <f t="shared" si="10"/>
        <v>2024-H1</v>
      </c>
      <c r="W868" s="32"/>
      <c r="X868" s="32"/>
    </row>
    <row r="869">
      <c r="A869" s="77">
        <f>HYPERLINK("https://polkadot.subsquare.io/referenda/867", 867)</f>
        <v>867</v>
      </c>
      <c r="B869" s="40" t="s">
        <v>2338</v>
      </c>
      <c r="C869" s="40" t="s">
        <v>1968</v>
      </c>
      <c r="D869" s="78">
        <v>0.0</v>
      </c>
      <c r="E869" s="79">
        <v>0.0</v>
      </c>
      <c r="F869" s="40" t="s">
        <v>2221</v>
      </c>
      <c r="G869" s="78">
        <v>1500.0</v>
      </c>
      <c r="H869" s="78">
        <v>2.0508056846722465E7</v>
      </c>
      <c r="I869" s="80">
        <v>45454.0</v>
      </c>
      <c r="J869" s="80">
        <v>45458.0</v>
      </c>
      <c r="K869" s="79">
        <v>0.0</v>
      </c>
      <c r="L869" s="25"/>
      <c r="M869" s="25"/>
      <c r="N869" s="61"/>
      <c r="O869" s="86"/>
      <c r="P869" s="86"/>
      <c r="Q869" s="86"/>
      <c r="R869" s="61" t="str">
        <f t="shared" si="6"/>
        <v>2024</v>
      </c>
      <c r="S869" s="62">
        <f t="shared" si="7"/>
        <v>6</v>
      </c>
      <c r="T869" s="61" t="str">
        <f t="shared" si="8"/>
        <v>2024-Q2</v>
      </c>
      <c r="U869" s="63" t="str">
        <f t="shared" si="9"/>
        <v>2024-06</v>
      </c>
      <c r="V869" s="64" t="str">
        <f t="shared" si="10"/>
        <v>2024-H1</v>
      </c>
      <c r="W869" s="32"/>
      <c r="X869" s="32"/>
    </row>
    <row r="870">
      <c r="A870" s="77">
        <f>HYPERLINK("https://polkadot.subsquare.io/referenda/868", 868)</f>
        <v>868</v>
      </c>
      <c r="B870" s="40" t="s">
        <v>2339</v>
      </c>
      <c r="C870" s="40" t="s">
        <v>2291</v>
      </c>
      <c r="D870" s="78">
        <v>135527.0</v>
      </c>
      <c r="E870" s="79">
        <v>835220.5386967659</v>
      </c>
      <c r="F870" s="40" t="s">
        <v>1855</v>
      </c>
      <c r="G870" s="78">
        <v>553654.1271781533</v>
      </c>
      <c r="H870" s="78">
        <v>3.122001571609492E7</v>
      </c>
      <c r="I870" s="80">
        <v>45454.0</v>
      </c>
      <c r="J870" s="80">
        <v>45469.0</v>
      </c>
      <c r="K870" s="79">
        <v>851305.2708439827</v>
      </c>
      <c r="L870" s="25"/>
      <c r="M870" s="25"/>
      <c r="N870" s="86"/>
      <c r="O870" s="61"/>
      <c r="P870" s="61"/>
      <c r="Q870" s="61"/>
      <c r="R870" s="61" t="str">
        <f t="shared" si="6"/>
        <v>2024</v>
      </c>
      <c r="S870" s="62">
        <f t="shared" si="7"/>
        <v>6</v>
      </c>
      <c r="T870" s="61" t="str">
        <f t="shared" si="8"/>
        <v>2024-Q2</v>
      </c>
      <c r="U870" s="63" t="str">
        <f t="shared" si="9"/>
        <v>2024-06</v>
      </c>
      <c r="V870" s="64" t="str">
        <f t="shared" si="10"/>
        <v>2024-H1</v>
      </c>
      <c r="W870" s="32"/>
      <c r="X870" s="32"/>
    </row>
    <row r="871">
      <c r="A871" s="77">
        <f>HYPERLINK("https://polkadot.subsquare.io/referenda/869", 869)</f>
        <v>869</v>
      </c>
      <c r="B871" s="40" t="s">
        <v>2340</v>
      </c>
      <c r="C871" s="40" t="s">
        <v>1851</v>
      </c>
      <c r="D871" s="78">
        <v>0.0</v>
      </c>
      <c r="E871" s="79">
        <v>0.0</v>
      </c>
      <c r="F871" s="40" t="s">
        <v>2059</v>
      </c>
      <c r="G871" s="78">
        <v>3.444482280267985E7</v>
      </c>
      <c r="H871" s="78">
        <v>2886290.2186717577</v>
      </c>
      <c r="I871" s="80">
        <v>45454.0</v>
      </c>
      <c r="J871" s="80">
        <v>45467.0</v>
      </c>
      <c r="K871" s="79">
        <v>0.0</v>
      </c>
      <c r="L871" s="25"/>
      <c r="M871" s="25"/>
      <c r="N871" s="61"/>
      <c r="O871" s="86"/>
      <c r="P871" s="86"/>
      <c r="Q871" s="86"/>
      <c r="R871" s="61" t="str">
        <f t="shared" si="6"/>
        <v>2024</v>
      </c>
      <c r="S871" s="62">
        <f t="shared" si="7"/>
        <v>6</v>
      </c>
      <c r="T871" s="61" t="str">
        <f t="shared" si="8"/>
        <v>2024-Q2</v>
      </c>
      <c r="U871" s="63" t="str">
        <f t="shared" si="9"/>
        <v>2024-06</v>
      </c>
      <c r="V871" s="64" t="str">
        <f t="shared" si="10"/>
        <v>2024-H1</v>
      </c>
      <c r="W871" s="90">
        <f>G871/(G871+H871)</f>
        <v>0.9226840567</v>
      </c>
      <c r="X871" s="76" t="s">
        <v>2341</v>
      </c>
    </row>
    <row r="872">
      <c r="A872" s="77">
        <f>HYPERLINK("https://polkadot.subsquare.io/referenda/870", 870)</f>
        <v>870</v>
      </c>
      <c r="B872" s="40"/>
      <c r="C872" s="40" t="s">
        <v>1851</v>
      </c>
      <c r="D872" s="78">
        <v>0.0</v>
      </c>
      <c r="E872" s="79">
        <v>0.0</v>
      </c>
      <c r="F872" s="40" t="s">
        <v>1970</v>
      </c>
      <c r="G872" s="78">
        <v>2.1342302071591366E7</v>
      </c>
      <c r="H872" s="78">
        <v>10.0</v>
      </c>
      <c r="I872" s="80">
        <v>45454.0</v>
      </c>
      <c r="J872" s="80">
        <v>45458.0</v>
      </c>
      <c r="K872" s="79">
        <v>0.0</v>
      </c>
      <c r="L872" s="25"/>
      <c r="M872" s="25"/>
      <c r="N872" s="86"/>
      <c r="O872" s="61"/>
      <c r="P872" s="61"/>
      <c r="Q872" s="61"/>
      <c r="R872" s="61" t="str">
        <f t="shared" si="6"/>
        <v>2024</v>
      </c>
      <c r="S872" s="62">
        <f t="shared" si="7"/>
        <v>6</v>
      </c>
      <c r="T872" s="61" t="str">
        <f t="shared" si="8"/>
        <v>2024-Q2</v>
      </c>
      <c r="U872" s="63" t="str">
        <f t="shared" si="9"/>
        <v>2024-06</v>
      </c>
      <c r="V872" s="64" t="str">
        <f t="shared" si="10"/>
        <v>2024-H1</v>
      </c>
      <c r="W872" s="32"/>
      <c r="X872" s="32"/>
    </row>
    <row r="873">
      <c r="A873" s="77">
        <f>HYPERLINK("https://polkadot.subsquare.io/referenda/871", 871)</f>
        <v>871</v>
      </c>
      <c r="B873" s="40" t="s">
        <v>2342</v>
      </c>
      <c r="C873" s="40" t="s">
        <v>2291</v>
      </c>
      <c r="D873" s="78">
        <v>0.0</v>
      </c>
      <c r="E873" s="79">
        <v>0.0</v>
      </c>
      <c r="F873" s="40" t="s">
        <v>2059</v>
      </c>
      <c r="G873" s="78">
        <v>3.0732960823749024E7</v>
      </c>
      <c r="H873" s="78">
        <v>2.3484779307955507E7</v>
      </c>
      <c r="I873" s="80">
        <v>45455.0</v>
      </c>
      <c r="J873" s="80">
        <v>45469.0</v>
      </c>
      <c r="K873" s="79">
        <v>0.0</v>
      </c>
      <c r="L873" s="25"/>
      <c r="M873" s="25"/>
      <c r="N873" s="61"/>
      <c r="O873" s="86"/>
      <c r="P873" s="86"/>
      <c r="Q873" s="86"/>
      <c r="R873" s="61" t="str">
        <f t="shared" si="6"/>
        <v>2024</v>
      </c>
      <c r="S873" s="62">
        <f t="shared" si="7"/>
        <v>6</v>
      </c>
      <c r="T873" s="61" t="str">
        <f t="shared" si="8"/>
        <v>2024-Q2</v>
      </c>
      <c r="U873" s="63" t="str">
        <f t="shared" si="9"/>
        <v>2024-06</v>
      </c>
      <c r="V873" s="64" t="str">
        <f t="shared" si="10"/>
        <v>2024-H1</v>
      </c>
      <c r="W873" s="90">
        <f>G873/(G873+H873)</f>
        <v>0.5668432648</v>
      </c>
      <c r="X873" s="76" t="s">
        <v>2343</v>
      </c>
    </row>
    <row r="874">
      <c r="A874" s="77">
        <f>HYPERLINK("https://polkadot.subsquare.io/referenda/872", 872)</f>
        <v>872</v>
      </c>
      <c r="B874" s="40" t="s">
        <v>2344</v>
      </c>
      <c r="C874" s="40" t="s">
        <v>2119</v>
      </c>
      <c r="D874" s="78">
        <v>0.0</v>
      </c>
      <c r="E874" s="79">
        <v>0.0</v>
      </c>
      <c r="F874" s="40" t="s">
        <v>1852</v>
      </c>
      <c r="G874" s="78">
        <v>1.125431398822826E8</v>
      </c>
      <c r="H874" s="78">
        <v>10.0</v>
      </c>
      <c r="I874" s="80">
        <v>45455.0</v>
      </c>
      <c r="J874" s="80">
        <v>45467.0</v>
      </c>
      <c r="K874" s="79">
        <v>0.0</v>
      </c>
      <c r="L874" s="25"/>
      <c r="M874" s="25"/>
      <c r="N874" s="86"/>
      <c r="O874" s="61"/>
      <c r="P874" s="61"/>
      <c r="Q874" s="61"/>
      <c r="R874" s="61" t="str">
        <f t="shared" si="6"/>
        <v>2024</v>
      </c>
      <c r="S874" s="62">
        <f t="shared" si="7"/>
        <v>6</v>
      </c>
      <c r="T874" s="61" t="str">
        <f t="shared" si="8"/>
        <v>2024-Q2</v>
      </c>
      <c r="U874" s="63" t="str">
        <f t="shared" si="9"/>
        <v>2024-06</v>
      </c>
      <c r="V874" s="64" t="str">
        <f t="shared" si="10"/>
        <v>2024-H1</v>
      </c>
      <c r="W874" s="32"/>
      <c r="X874" s="32"/>
    </row>
    <row r="875">
      <c r="A875" s="77">
        <f>HYPERLINK("https://polkadot.subsquare.io/referenda/873", 873)</f>
        <v>873</v>
      </c>
      <c r="B875" s="40" t="s">
        <v>2345</v>
      </c>
      <c r="C875" s="40" t="s">
        <v>2291</v>
      </c>
      <c r="D875" s="78">
        <v>0.0</v>
      </c>
      <c r="E875" s="79">
        <v>0.0</v>
      </c>
      <c r="F875" s="40" t="s">
        <v>2059</v>
      </c>
      <c r="G875" s="78">
        <v>840527.6920139628</v>
      </c>
      <c r="H875" s="78">
        <v>2.1507913493711624E7</v>
      </c>
      <c r="I875" s="80">
        <v>45455.0</v>
      </c>
      <c r="J875" s="80">
        <v>45469.0</v>
      </c>
      <c r="K875" s="79">
        <v>0.0</v>
      </c>
      <c r="L875" s="25"/>
      <c r="M875" s="25"/>
      <c r="N875" s="61"/>
      <c r="O875" s="86"/>
      <c r="P875" s="86"/>
      <c r="Q875" s="86"/>
      <c r="R875" s="61" t="str">
        <f t="shared" si="6"/>
        <v>2024</v>
      </c>
      <c r="S875" s="62">
        <f t="shared" si="7"/>
        <v>6</v>
      </c>
      <c r="T875" s="61" t="str">
        <f t="shared" si="8"/>
        <v>2024-Q2</v>
      </c>
      <c r="U875" s="63" t="str">
        <f t="shared" si="9"/>
        <v>2024-06</v>
      </c>
      <c r="V875" s="64" t="str">
        <f t="shared" si="10"/>
        <v>2024-H1</v>
      </c>
      <c r="W875" s="90">
        <f t="shared" ref="W875:W876" si="13">G875/(G875+H875)</f>
        <v>0.03761012614</v>
      </c>
      <c r="X875" s="76" t="s">
        <v>2346</v>
      </c>
    </row>
    <row r="876">
      <c r="A876" s="77">
        <f>HYPERLINK("https://polkadot.subsquare.io/referenda/874", 874)</f>
        <v>874</v>
      </c>
      <c r="B876" s="40" t="s">
        <v>2347</v>
      </c>
      <c r="C876" s="40" t="s">
        <v>2291</v>
      </c>
      <c r="D876" s="78">
        <v>0.0</v>
      </c>
      <c r="E876" s="79">
        <v>0.0</v>
      </c>
      <c r="F876" s="40" t="s">
        <v>2059</v>
      </c>
      <c r="G876" s="78">
        <v>5.2479875605968155E7</v>
      </c>
      <c r="H876" s="78">
        <v>455814.9086820306</v>
      </c>
      <c r="I876" s="80">
        <v>45455.0</v>
      </c>
      <c r="J876" s="80">
        <v>45469.0</v>
      </c>
      <c r="K876" s="79">
        <v>0.0</v>
      </c>
      <c r="L876" s="25"/>
      <c r="M876" s="25"/>
      <c r="N876" s="86"/>
      <c r="O876" s="61"/>
      <c r="P876" s="61"/>
      <c r="Q876" s="61"/>
      <c r="R876" s="61" t="str">
        <f t="shared" si="6"/>
        <v>2024</v>
      </c>
      <c r="S876" s="62">
        <f t="shared" si="7"/>
        <v>6</v>
      </c>
      <c r="T876" s="61" t="str">
        <f t="shared" si="8"/>
        <v>2024-Q2</v>
      </c>
      <c r="U876" s="63" t="str">
        <f t="shared" si="9"/>
        <v>2024-06</v>
      </c>
      <c r="V876" s="64" t="str">
        <f t="shared" si="10"/>
        <v>2024-H1</v>
      </c>
      <c r="W876" s="90">
        <f t="shared" si="13"/>
        <v>0.9913892706</v>
      </c>
      <c r="X876" s="76" t="s">
        <v>2348</v>
      </c>
    </row>
    <row r="877">
      <c r="A877" s="77">
        <f>HYPERLINK("https://polkadot.subsquare.io/referenda/875", 875)</f>
        <v>875</v>
      </c>
      <c r="B877" s="40" t="s">
        <v>2349</v>
      </c>
      <c r="C877" s="40" t="s">
        <v>2291</v>
      </c>
      <c r="D877" s="78">
        <v>18677.58</v>
      </c>
      <c r="E877" s="79">
        <v>116193.46928014756</v>
      </c>
      <c r="F877" s="40" t="s">
        <v>1853</v>
      </c>
      <c r="G877" s="78">
        <v>1.2863495003549153E7</v>
      </c>
      <c r="H877" s="78">
        <v>4.625265826863649E7</v>
      </c>
      <c r="I877" s="80">
        <v>45455.0</v>
      </c>
      <c r="J877" s="80">
        <v>45469.0</v>
      </c>
      <c r="K877" s="79">
        <v>117322.17418381693</v>
      </c>
      <c r="L877" s="25"/>
      <c r="M877" s="25"/>
      <c r="N877" s="61"/>
      <c r="O877" s="86"/>
      <c r="P877" s="86"/>
      <c r="Q877" s="86"/>
      <c r="R877" s="61" t="str">
        <f t="shared" si="6"/>
        <v>2024</v>
      </c>
      <c r="S877" s="62">
        <f t="shared" si="7"/>
        <v>6</v>
      </c>
      <c r="T877" s="61" t="str">
        <f t="shared" si="8"/>
        <v>2024-Q2</v>
      </c>
      <c r="U877" s="63" t="str">
        <f t="shared" si="9"/>
        <v>2024-06</v>
      </c>
      <c r="V877" s="64" t="str">
        <f t="shared" si="10"/>
        <v>2024-H1</v>
      </c>
      <c r="W877" s="32"/>
      <c r="X877" s="32"/>
    </row>
    <row r="878">
      <c r="A878" s="77">
        <f>HYPERLINK("https://polkadot.subsquare.io/referenda/876", 876)</f>
        <v>876</v>
      </c>
      <c r="B878" s="40" t="s">
        <v>2350</v>
      </c>
      <c r="C878" s="40" t="s">
        <v>2291</v>
      </c>
      <c r="D878" s="78">
        <v>0.0</v>
      </c>
      <c r="E878" s="79">
        <v>0.0</v>
      </c>
      <c r="F878" s="40" t="s">
        <v>2059</v>
      </c>
      <c r="G878" s="78">
        <v>2054737.0138999878</v>
      </c>
      <c r="H878" s="78">
        <v>2.1552725663711626E7</v>
      </c>
      <c r="I878" s="80">
        <v>45455.0</v>
      </c>
      <c r="J878" s="80">
        <v>45469.0</v>
      </c>
      <c r="K878" s="79">
        <v>0.0</v>
      </c>
      <c r="L878" s="25"/>
      <c r="M878" s="25"/>
      <c r="N878" s="86"/>
      <c r="O878" s="61"/>
      <c r="P878" s="61"/>
      <c r="Q878" s="61"/>
      <c r="R878" s="61" t="str">
        <f t="shared" si="6"/>
        <v>2024</v>
      </c>
      <c r="S878" s="62">
        <f t="shared" si="7"/>
        <v>6</v>
      </c>
      <c r="T878" s="61" t="str">
        <f t="shared" si="8"/>
        <v>2024-Q2</v>
      </c>
      <c r="U878" s="63" t="str">
        <f t="shared" si="9"/>
        <v>2024-06</v>
      </c>
      <c r="V878" s="64" t="str">
        <f t="shared" si="10"/>
        <v>2024-H1</v>
      </c>
      <c r="W878" s="90">
        <f>G878/(G878+H878)</f>
        <v>0.0870376051</v>
      </c>
      <c r="X878" s="76" t="s">
        <v>2351</v>
      </c>
    </row>
    <row r="879">
      <c r="A879" s="77">
        <f>HYPERLINK("https://polkadot.subsquare.io/referenda/877", 877)</f>
        <v>877</v>
      </c>
      <c r="B879" s="40" t="s">
        <v>2352</v>
      </c>
      <c r="C879" s="40" t="s">
        <v>2291</v>
      </c>
      <c r="D879" s="78">
        <v>6429.820923917001</v>
      </c>
      <c r="E879" s="79">
        <v>40000.0</v>
      </c>
      <c r="F879" s="40" t="s">
        <v>1848</v>
      </c>
      <c r="G879" s="78">
        <v>53032.6675154096</v>
      </c>
      <c r="H879" s="78">
        <v>4.86538419719516E7</v>
      </c>
      <c r="I879" s="80">
        <v>45456.0</v>
      </c>
      <c r="J879" s="80">
        <v>45469.0</v>
      </c>
      <c r="K879" s="79">
        <v>40388.56053121127</v>
      </c>
      <c r="L879" s="25"/>
      <c r="M879" s="25"/>
      <c r="N879" s="61"/>
      <c r="O879" s="86"/>
      <c r="P879" s="86"/>
      <c r="Q879" s="86"/>
      <c r="R879" s="61" t="str">
        <f t="shared" si="6"/>
        <v>2024</v>
      </c>
      <c r="S879" s="62">
        <f t="shared" si="7"/>
        <v>6</v>
      </c>
      <c r="T879" s="61" t="str">
        <f t="shared" si="8"/>
        <v>2024-Q2</v>
      </c>
      <c r="U879" s="63" t="str">
        <f t="shared" si="9"/>
        <v>2024-06</v>
      </c>
      <c r="V879" s="64" t="str">
        <f t="shared" si="10"/>
        <v>2024-H1</v>
      </c>
      <c r="W879" s="32"/>
      <c r="X879" s="32"/>
    </row>
    <row r="880">
      <c r="A880" s="77">
        <f>HYPERLINK("https://polkadot.subsquare.io/referenda/878", 878)</f>
        <v>878</v>
      </c>
      <c r="B880" s="40" t="s">
        <v>2353</v>
      </c>
      <c r="C880" s="40" t="s">
        <v>2354</v>
      </c>
      <c r="D880" s="78">
        <v>0.0</v>
      </c>
      <c r="E880" s="79">
        <v>0.0</v>
      </c>
      <c r="F880" s="40" t="s">
        <v>2059</v>
      </c>
      <c r="G880" s="78">
        <v>96029.5035491526</v>
      </c>
      <c r="H880" s="78">
        <v>5947977.160152549</v>
      </c>
      <c r="I880" s="80">
        <v>45456.0</v>
      </c>
      <c r="J880" s="80">
        <v>45456.0</v>
      </c>
      <c r="K880" s="79">
        <v>0.0</v>
      </c>
      <c r="L880" s="25"/>
      <c r="M880" s="25"/>
      <c r="N880" s="86"/>
      <c r="O880" s="61"/>
      <c r="P880" s="61"/>
      <c r="Q880" s="61"/>
      <c r="R880" s="61" t="str">
        <f t="shared" si="6"/>
        <v>2024</v>
      </c>
      <c r="S880" s="62">
        <f t="shared" si="7"/>
        <v>6</v>
      </c>
      <c r="T880" s="61" t="str">
        <f t="shared" si="8"/>
        <v>2024-Q2</v>
      </c>
      <c r="U880" s="63" t="str">
        <f t="shared" si="9"/>
        <v>2024-06</v>
      </c>
      <c r="V880" s="64" t="str">
        <f t="shared" si="10"/>
        <v>2024-H1</v>
      </c>
      <c r="W880" s="87"/>
      <c r="X880" s="32"/>
    </row>
    <row r="881">
      <c r="A881" s="77">
        <f>HYPERLINK("https://polkadot.subsquare.io/referenda/879", 879)</f>
        <v>879</v>
      </c>
      <c r="B881" s="40" t="s">
        <v>2355</v>
      </c>
      <c r="C881" s="40" t="s">
        <v>2323</v>
      </c>
      <c r="D881" s="78">
        <v>0.0</v>
      </c>
      <c r="E881" s="79">
        <v>0.0</v>
      </c>
      <c r="F881" s="40" t="s">
        <v>2059</v>
      </c>
      <c r="G881" s="78">
        <v>1361287.8305774522</v>
      </c>
      <c r="H881" s="78">
        <v>2.3708005530749638E7</v>
      </c>
      <c r="I881" s="80">
        <v>45456.0</v>
      </c>
      <c r="J881" s="80">
        <v>45469.0</v>
      </c>
      <c r="K881" s="79">
        <v>0.0</v>
      </c>
      <c r="L881" s="25"/>
      <c r="M881" s="25"/>
      <c r="N881" s="61"/>
      <c r="O881" s="86"/>
      <c r="P881" s="86"/>
      <c r="Q881" s="86"/>
      <c r="R881" s="61" t="str">
        <f t="shared" si="6"/>
        <v>2024</v>
      </c>
      <c r="S881" s="62">
        <f t="shared" si="7"/>
        <v>6</v>
      </c>
      <c r="T881" s="61" t="str">
        <f t="shared" si="8"/>
        <v>2024-Q2</v>
      </c>
      <c r="U881" s="63" t="str">
        <f t="shared" si="9"/>
        <v>2024-06</v>
      </c>
      <c r="V881" s="64" t="str">
        <f t="shared" si="10"/>
        <v>2024-H1</v>
      </c>
      <c r="W881" s="90">
        <f t="shared" ref="W881:W884" si="14">G881/(G881+H881)</f>
        <v>0.05430100526</v>
      </c>
      <c r="X881" s="76" t="s">
        <v>2356</v>
      </c>
    </row>
    <row r="882">
      <c r="A882" s="77">
        <f>HYPERLINK("https://polkadot.subsquare.io/referenda/880", 880)</f>
        <v>880</v>
      </c>
      <c r="B882" s="40" t="s">
        <v>2357</v>
      </c>
      <c r="C882" s="40" t="s">
        <v>2291</v>
      </c>
      <c r="D882" s="78">
        <v>0.0</v>
      </c>
      <c r="E882" s="79">
        <v>0.0</v>
      </c>
      <c r="F882" s="40" t="s">
        <v>2059</v>
      </c>
      <c r="G882" s="78">
        <v>2181514.5518546794</v>
      </c>
      <c r="H882" s="78">
        <v>2.346536910097999E7</v>
      </c>
      <c r="I882" s="80">
        <v>45457.0</v>
      </c>
      <c r="J882" s="80">
        <v>45469.0</v>
      </c>
      <c r="K882" s="79">
        <v>0.0</v>
      </c>
      <c r="L882" s="25"/>
      <c r="M882" s="25"/>
      <c r="N882" s="86"/>
      <c r="O882" s="61"/>
      <c r="P882" s="61"/>
      <c r="Q882" s="61"/>
      <c r="R882" s="61" t="str">
        <f t="shared" si="6"/>
        <v>2024</v>
      </c>
      <c r="S882" s="62">
        <f t="shared" si="7"/>
        <v>6</v>
      </c>
      <c r="T882" s="61" t="str">
        <f t="shared" si="8"/>
        <v>2024-Q2</v>
      </c>
      <c r="U882" s="63" t="str">
        <f t="shared" si="9"/>
        <v>2024-06</v>
      </c>
      <c r="V882" s="64" t="str">
        <f t="shared" si="10"/>
        <v>2024-H1</v>
      </c>
      <c r="W882" s="90">
        <f t="shared" si="14"/>
        <v>0.08505963459</v>
      </c>
      <c r="X882" s="76" t="s">
        <v>2358</v>
      </c>
    </row>
    <row r="883">
      <c r="A883" s="77">
        <f>HYPERLINK("https://polkadot.subsquare.io/referenda/881", 881)</f>
        <v>881</v>
      </c>
      <c r="B883" s="40" t="s">
        <v>2139</v>
      </c>
      <c r="C883" s="40" t="s">
        <v>2354</v>
      </c>
      <c r="D883" s="78">
        <v>0.0</v>
      </c>
      <c r="E883" s="79">
        <v>0.0</v>
      </c>
      <c r="F883" s="40" t="s">
        <v>2059</v>
      </c>
      <c r="G883" s="78">
        <v>16802.1</v>
      </c>
      <c r="H883" s="78">
        <v>2.3564667583882526E7</v>
      </c>
      <c r="I883" s="80">
        <v>45457.0</v>
      </c>
      <c r="J883" s="80">
        <v>45457.0</v>
      </c>
      <c r="K883" s="79">
        <v>0.0</v>
      </c>
      <c r="L883" s="25"/>
      <c r="M883" s="25"/>
      <c r="N883" s="61"/>
      <c r="O883" s="86"/>
      <c r="P883" s="86"/>
      <c r="Q883" s="86"/>
      <c r="R883" s="61" t="str">
        <f t="shared" si="6"/>
        <v>2024</v>
      </c>
      <c r="S883" s="62">
        <f t="shared" si="7"/>
        <v>6</v>
      </c>
      <c r="T883" s="61" t="str">
        <f t="shared" si="8"/>
        <v>2024-Q2</v>
      </c>
      <c r="U883" s="63" t="str">
        <f t="shared" si="9"/>
        <v>2024-06</v>
      </c>
      <c r="V883" s="64" t="str">
        <f t="shared" si="10"/>
        <v>2024-H1</v>
      </c>
      <c r="W883" s="90">
        <f t="shared" si="14"/>
        <v>0.0007125128427</v>
      </c>
      <c r="X883" s="76" t="s">
        <v>2359</v>
      </c>
    </row>
    <row r="884">
      <c r="A884" s="77">
        <f>HYPERLINK("https://polkadot.subsquare.io/referenda/882", 882)</f>
        <v>882</v>
      </c>
      <c r="B884" s="40" t="s">
        <v>2360</v>
      </c>
      <c r="C884" s="40" t="s">
        <v>2354</v>
      </c>
      <c r="D884" s="78">
        <v>0.0</v>
      </c>
      <c r="E884" s="79">
        <v>0.0</v>
      </c>
      <c r="F884" s="40" t="s">
        <v>2059</v>
      </c>
      <c r="G884" s="78">
        <v>10250.0</v>
      </c>
      <c r="H884" s="78">
        <v>2.3491766763470814E7</v>
      </c>
      <c r="I884" s="80">
        <v>45458.0</v>
      </c>
      <c r="J884" s="80">
        <v>45458.0</v>
      </c>
      <c r="K884" s="79">
        <v>0.0</v>
      </c>
      <c r="L884" s="25"/>
      <c r="M884" s="25"/>
      <c r="N884" s="86"/>
      <c r="O884" s="61"/>
      <c r="P884" s="61"/>
      <c r="Q884" s="61"/>
      <c r="R884" s="61" t="str">
        <f t="shared" si="6"/>
        <v>2024</v>
      </c>
      <c r="S884" s="62">
        <f t="shared" si="7"/>
        <v>6</v>
      </c>
      <c r="T884" s="61" t="str">
        <f t="shared" si="8"/>
        <v>2024-Q2</v>
      </c>
      <c r="U884" s="63" t="str">
        <f t="shared" si="9"/>
        <v>2024-06</v>
      </c>
      <c r="V884" s="64" t="str">
        <f t="shared" si="10"/>
        <v>2024-H1</v>
      </c>
      <c r="W884" s="90">
        <f t="shared" si="14"/>
        <v>0.000436132784</v>
      </c>
      <c r="X884" s="76" t="s">
        <v>2361</v>
      </c>
    </row>
    <row r="885">
      <c r="A885" s="77">
        <f>HYPERLINK("https://polkadot.subsquare.io/referenda/883", 883)</f>
        <v>883</v>
      </c>
      <c r="B885" s="40" t="s">
        <v>2362</v>
      </c>
      <c r="C885" s="40" t="s">
        <v>2291</v>
      </c>
      <c r="D885" s="78">
        <v>25000.0</v>
      </c>
      <c r="E885" s="79">
        <v>151847.87511825562</v>
      </c>
      <c r="F885" s="40" t="s">
        <v>1853</v>
      </c>
      <c r="G885" s="78">
        <v>2.3062078460262343E7</v>
      </c>
      <c r="H885" s="78">
        <v>1.4049439682086198E7</v>
      </c>
      <c r="I885" s="80">
        <v>45458.0</v>
      </c>
      <c r="J885" s="80">
        <v>45469.0</v>
      </c>
      <c r="K885" s="79">
        <v>157036.10181808472</v>
      </c>
      <c r="L885" s="25"/>
      <c r="M885" s="25"/>
      <c r="N885" s="61"/>
      <c r="O885" s="86"/>
      <c r="P885" s="86"/>
      <c r="Q885" s="86"/>
      <c r="R885" s="61" t="str">
        <f t="shared" si="6"/>
        <v>2024</v>
      </c>
      <c r="S885" s="62">
        <f t="shared" si="7"/>
        <v>6</v>
      </c>
      <c r="T885" s="61" t="str">
        <f t="shared" si="8"/>
        <v>2024-Q2</v>
      </c>
      <c r="U885" s="63" t="str">
        <f t="shared" si="9"/>
        <v>2024-06</v>
      </c>
      <c r="V885" s="64" t="str">
        <f t="shared" si="10"/>
        <v>2024-H1</v>
      </c>
      <c r="W885" s="32"/>
      <c r="X885" s="32"/>
    </row>
    <row r="886">
      <c r="A886" s="77">
        <f>HYPERLINK("https://polkadot.subsquare.io/referenda/884", 884)</f>
        <v>884</v>
      </c>
      <c r="B886" s="40" t="s">
        <v>2363</v>
      </c>
      <c r="C886" s="40" t="s">
        <v>2323</v>
      </c>
      <c r="D886" s="78">
        <v>0.0</v>
      </c>
      <c r="E886" s="79">
        <v>0.0</v>
      </c>
      <c r="F886" s="40" t="s">
        <v>2059</v>
      </c>
      <c r="G886" s="78">
        <v>426626.6181879694</v>
      </c>
      <c r="H886" s="78">
        <v>2.350133237611622E7</v>
      </c>
      <c r="I886" s="80">
        <v>45458.0</v>
      </c>
      <c r="J886" s="80">
        <v>45469.0</v>
      </c>
      <c r="K886" s="79">
        <v>0.0</v>
      </c>
      <c r="L886" s="25"/>
      <c r="M886" s="25"/>
      <c r="N886" s="86"/>
      <c r="O886" s="61"/>
      <c r="P886" s="61"/>
      <c r="Q886" s="61"/>
      <c r="R886" s="61" t="str">
        <f t="shared" si="6"/>
        <v>2024</v>
      </c>
      <c r="S886" s="62">
        <f t="shared" si="7"/>
        <v>6</v>
      </c>
      <c r="T886" s="61" t="str">
        <f t="shared" si="8"/>
        <v>2024-Q2</v>
      </c>
      <c r="U886" s="63" t="str">
        <f t="shared" si="9"/>
        <v>2024-06</v>
      </c>
      <c r="V886" s="64" t="str">
        <f t="shared" si="10"/>
        <v>2024-H1</v>
      </c>
      <c r="W886" s="32"/>
      <c r="X886" s="32"/>
    </row>
    <row r="887">
      <c r="A887" s="77">
        <f>HYPERLINK("https://polkadot.subsquare.io/referenda/885", 885)</f>
        <v>885</v>
      </c>
      <c r="B887" s="40" t="s">
        <v>2364</v>
      </c>
      <c r="C887" s="40" t="s">
        <v>2291</v>
      </c>
      <c r="D887" s="78">
        <v>0.0</v>
      </c>
      <c r="E887" s="79">
        <v>0.0</v>
      </c>
      <c r="F887" s="40" t="s">
        <v>2221</v>
      </c>
      <c r="G887" s="78">
        <v>1.708520749290078E7</v>
      </c>
      <c r="H887" s="78">
        <v>5373637.864954605</v>
      </c>
      <c r="I887" s="80">
        <v>45458.0</v>
      </c>
      <c r="J887" s="80">
        <v>45469.0</v>
      </c>
      <c r="K887" s="79">
        <v>0.0</v>
      </c>
      <c r="L887" s="25"/>
      <c r="M887" s="25"/>
      <c r="N887" s="61"/>
      <c r="O887" s="86"/>
      <c r="P887" s="86"/>
      <c r="Q887" s="86"/>
      <c r="R887" s="61" t="str">
        <f t="shared" si="6"/>
        <v>2024</v>
      </c>
      <c r="S887" s="62">
        <f t="shared" si="7"/>
        <v>6</v>
      </c>
      <c r="T887" s="61" t="str">
        <f t="shared" si="8"/>
        <v>2024-Q2</v>
      </c>
      <c r="U887" s="63" t="str">
        <f t="shared" si="9"/>
        <v>2024-06</v>
      </c>
      <c r="V887" s="64" t="str">
        <f t="shared" si="10"/>
        <v>2024-H1</v>
      </c>
      <c r="W887" s="32"/>
      <c r="X887" s="32"/>
    </row>
    <row r="888">
      <c r="A888" s="77">
        <f>HYPERLINK("https://polkadot.subsquare.io/referenda/886", 886)</f>
        <v>886</v>
      </c>
      <c r="B888" s="40" t="s">
        <v>2365</v>
      </c>
      <c r="C888" s="40" t="s">
        <v>2291</v>
      </c>
      <c r="D888" s="78">
        <v>97920.28</v>
      </c>
      <c r="E888" s="79">
        <v>565553.360956688</v>
      </c>
      <c r="F888" s="40" t="s">
        <v>1853</v>
      </c>
      <c r="G888" s="78">
        <v>1.3529577332268534E7</v>
      </c>
      <c r="H888" s="78">
        <v>1.805335499468225E7</v>
      </c>
      <c r="I888" s="80">
        <v>45458.0</v>
      </c>
      <c r="J888" s="80">
        <v>45469.0</v>
      </c>
      <c r="K888" s="79">
        <v>615080.7624054146</v>
      </c>
      <c r="L888" s="25"/>
      <c r="M888" s="25"/>
      <c r="N888" s="86"/>
      <c r="O888" s="61"/>
      <c r="P888" s="61"/>
      <c r="Q888" s="61"/>
      <c r="R888" s="61" t="str">
        <f t="shared" si="6"/>
        <v>2024</v>
      </c>
      <c r="S888" s="62">
        <f t="shared" si="7"/>
        <v>6</v>
      </c>
      <c r="T888" s="61" t="str">
        <f t="shared" si="8"/>
        <v>2024-Q2</v>
      </c>
      <c r="U888" s="63" t="str">
        <f t="shared" si="9"/>
        <v>2024-06</v>
      </c>
      <c r="V888" s="64" t="str">
        <f t="shared" si="10"/>
        <v>2024-H1</v>
      </c>
      <c r="W888" s="87"/>
      <c r="X888" s="32"/>
    </row>
    <row r="889">
      <c r="A889" s="77">
        <f>HYPERLINK("https://polkadot.subsquare.io/referenda/887", 887)</f>
        <v>887</v>
      </c>
      <c r="B889" s="40" t="s">
        <v>2366</v>
      </c>
      <c r="C889" s="40" t="s">
        <v>2291</v>
      </c>
      <c r="D889" s="78">
        <v>0.0</v>
      </c>
      <c r="E889" s="79">
        <v>0.0</v>
      </c>
      <c r="F889" s="40" t="s">
        <v>2059</v>
      </c>
      <c r="G889" s="78">
        <v>5.217283833542938E7</v>
      </c>
      <c r="H889" s="78">
        <v>0.0</v>
      </c>
      <c r="I889" s="80">
        <v>45459.0</v>
      </c>
      <c r="J889" s="80">
        <v>45469.0</v>
      </c>
      <c r="K889" s="79">
        <v>0.0</v>
      </c>
      <c r="L889" s="25"/>
      <c r="M889" s="25"/>
      <c r="N889" s="61"/>
      <c r="O889" s="86"/>
      <c r="P889" s="86"/>
      <c r="Q889" s="86"/>
      <c r="R889" s="61" t="str">
        <f t="shared" si="6"/>
        <v>2024</v>
      </c>
      <c r="S889" s="62">
        <f t="shared" si="7"/>
        <v>6</v>
      </c>
      <c r="T889" s="61" t="str">
        <f t="shared" si="8"/>
        <v>2024-Q2</v>
      </c>
      <c r="U889" s="63" t="str">
        <f t="shared" si="9"/>
        <v>2024-06</v>
      </c>
      <c r="V889" s="64" t="str">
        <f t="shared" si="10"/>
        <v>2024-H1</v>
      </c>
      <c r="W889" s="32"/>
      <c r="X889" s="32"/>
    </row>
    <row r="890">
      <c r="A890" s="77">
        <f>HYPERLINK("https://polkadot.subsquare.io/referenda/888", 888)</f>
        <v>888</v>
      </c>
      <c r="B890" s="40" t="s">
        <v>2367</v>
      </c>
      <c r="C890" s="40" t="s">
        <v>2291</v>
      </c>
      <c r="D890" s="78">
        <v>0.0</v>
      </c>
      <c r="E890" s="79">
        <v>0.0</v>
      </c>
      <c r="F890" s="40" t="s">
        <v>1852</v>
      </c>
      <c r="G890" s="78">
        <v>1.1270362373251139E8</v>
      </c>
      <c r="H890" s="78">
        <v>41.483746953</v>
      </c>
      <c r="I890" s="80">
        <v>45459.0</v>
      </c>
      <c r="J890" s="80">
        <v>45469.0</v>
      </c>
      <c r="K890" s="79">
        <v>0.0</v>
      </c>
      <c r="L890" s="25"/>
      <c r="M890" s="25"/>
      <c r="N890" s="86"/>
      <c r="O890" s="61"/>
      <c r="P890" s="61"/>
      <c r="Q890" s="61"/>
      <c r="R890" s="61" t="str">
        <f t="shared" si="6"/>
        <v>2024</v>
      </c>
      <c r="S890" s="62">
        <f t="shared" si="7"/>
        <v>6</v>
      </c>
      <c r="T890" s="61" t="str">
        <f t="shared" si="8"/>
        <v>2024-Q2</v>
      </c>
      <c r="U890" s="63" t="str">
        <f t="shared" si="9"/>
        <v>2024-06</v>
      </c>
      <c r="V890" s="64" t="str">
        <f t="shared" si="10"/>
        <v>2024-H1</v>
      </c>
      <c r="W890" s="87"/>
      <c r="X890" s="32"/>
    </row>
    <row r="891">
      <c r="A891" s="77">
        <f>HYPERLINK("https://polkadot.subsquare.io/referenda/889", 889)</f>
        <v>889</v>
      </c>
      <c r="B891" s="40" t="s">
        <v>2368</v>
      </c>
      <c r="C891" s="40" t="s">
        <v>2323</v>
      </c>
      <c r="D891" s="78">
        <v>0.0</v>
      </c>
      <c r="E891" s="79">
        <v>0.0</v>
      </c>
      <c r="F891" s="40" t="s">
        <v>2059</v>
      </c>
      <c r="G891" s="78">
        <v>128143.847091685</v>
      </c>
      <c r="H891" s="78">
        <v>2.357345084350053E7</v>
      </c>
      <c r="I891" s="80">
        <v>45459.0</v>
      </c>
      <c r="J891" s="80">
        <v>45469.0</v>
      </c>
      <c r="K891" s="79">
        <v>0.0</v>
      </c>
      <c r="L891" s="25"/>
      <c r="M891" s="25"/>
      <c r="N891" s="61"/>
      <c r="O891" s="86"/>
      <c r="P891" s="86"/>
      <c r="Q891" s="86"/>
      <c r="R891" s="61" t="str">
        <f t="shared" si="6"/>
        <v>2024</v>
      </c>
      <c r="S891" s="62">
        <f t="shared" si="7"/>
        <v>6</v>
      </c>
      <c r="T891" s="61" t="str">
        <f t="shared" si="8"/>
        <v>2024-Q2</v>
      </c>
      <c r="U891" s="63" t="str">
        <f t="shared" si="9"/>
        <v>2024-06</v>
      </c>
      <c r="V891" s="64" t="str">
        <f t="shared" si="10"/>
        <v>2024-H1</v>
      </c>
      <c r="W891" s="90">
        <f>G891/(G891+H891)</f>
        <v>0.005406549591</v>
      </c>
      <c r="X891" s="91" t="s">
        <v>2369</v>
      </c>
    </row>
    <row r="892">
      <c r="A892" s="77">
        <f>HYPERLINK("https://polkadot.subsquare.io/referenda/890", 890)</f>
        <v>890</v>
      </c>
      <c r="B892" s="40" t="s">
        <v>2370</v>
      </c>
      <c r="C892" s="40" t="s">
        <v>1851</v>
      </c>
      <c r="D892" s="78">
        <v>0.0</v>
      </c>
      <c r="E892" s="79">
        <v>0.0</v>
      </c>
      <c r="F892" s="40" t="s">
        <v>1852</v>
      </c>
      <c r="G892" s="78">
        <v>1.770066171190921E8</v>
      </c>
      <c r="H892" s="78">
        <v>10.0</v>
      </c>
      <c r="I892" s="80">
        <v>45459.0</v>
      </c>
      <c r="J892" s="80">
        <v>45468.0</v>
      </c>
      <c r="K892" s="79">
        <v>0.0</v>
      </c>
      <c r="L892" s="25"/>
      <c r="M892" s="25"/>
      <c r="N892" s="86"/>
      <c r="O892" s="61"/>
      <c r="P892" s="61"/>
      <c r="Q892" s="61"/>
      <c r="R892" s="61" t="str">
        <f t="shared" si="6"/>
        <v>2024</v>
      </c>
      <c r="S892" s="62">
        <f t="shared" si="7"/>
        <v>6</v>
      </c>
      <c r="T892" s="61" t="str">
        <f t="shared" si="8"/>
        <v>2024-Q2</v>
      </c>
      <c r="U892" s="63" t="str">
        <f t="shared" si="9"/>
        <v>2024-06</v>
      </c>
      <c r="V892" s="64" t="str">
        <f t="shared" si="10"/>
        <v>2024-H1</v>
      </c>
      <c r="W892" s="32"/>
    </row>
    <row r="893">
      <c r="A893" s="77">
        <f>HYPERLINK("https://polkadot.subsquare.io/referenda/891", 891)</f>
        <v>891</v>
      </c>
      <c r="B893" s="40" t="s">
        <v>2371</v>
      </c>
      <c r="C893" s="40" t="s">
        <v>2354</v>
      </c>
      <c r="D893" s="78">
        <v>0.0</v>
      </c>
      <c r="E893" s="79">
        <v>0.0</v>
      </c>
      <c r="F893" s="40" t="s">
        <v>2059</v>
      </c>
      <c r="G893" s="78">
        <v>712115.5404656086</v>
      </c>
      <c r="H893" s="78">
        <v>2.360333295690565E7</v>
      </c>
      <c r="I893" s="80">
        <v>45459.0</v>
      </c>
      <c r="J893" s="80">
        <v>45459.0</v>
      </c>
      <c r="K893" s="79">
        <v>0.0</v>
      </c>
      <c r="L893" s="25"/>
      <c r="M893" s="25"/>
      <c r="N893" s="61"/>
      <c r="O893" s="86"/>
      <c r="P893" s="86"/>
      <c r="Q893" s="86"/>
      <c r="R893" s="61" t="str">
        <f t="shared" si="6"/>
        <v>2024</v>
      </c>
      <c r="S893" s="62">
        <f t="shared" si="7"/>
        <v>6</v>
      </c>
      <c r="T893" s="61" t="str">
        <f t="shared" si="8"/>
        <v>2024-Q2</v>
      </c>
      <c r="U893" s="63" t="str">
        <f t="shared" si="9"/>
        <v>2024-06</v>
      </c>
      <c r="V893" s="64" t="str">
        <f t="shared" si="10"/>
        <v>2024-H1</v>
      </c>
      <c r="W893" s="90">
        <f>G893/(G893+H893)</f>
        <v>0.02928654763</v>
      </c>
      <c r="X893" s="92" t="s">
        <v>2372</v>
      </c>
    </row>
    <row r="894">
      <c r="A894" s="77">
        <f>HYPERLINK("https://polkadot.subsquare.io/referenda/892", 892)</f>
        <v>892</v>
      </c>
      <c r="B894" s="40" t="s">
        <v>2373</v>
      </c>
      <c r="C894" s="40" t="s">
        <v>2291</v>
      </c>
      <c r="D894" s="78">
        <v>39139.0</v>
      </c>
      <c r="E894" s="79">
        <v>220774.05807971954</v>
      </c>
      <c r="F894" s="40" t="s">
        <v>1853</v>
      </c>
      <c r="G894" s="78">
        <v>4520145.849381444</v>
      </c>
      <c r="H894" s="78">
        <v>188967.634890608</v>
      </c>
      <c r="I894" s="80">
        <v>45460.0</v>
      </c>
      <c r="J894" s="80">
        <v>45469.0</v>
      </c>
      <c r="K894" s="79">
        <v>245849.4395623207</v>
      </c>
      <c r="L894" s="25"/>
      <c r="M894" s="25"/>
      <c r="N894" s="86"/>
      <c r="O894" s="61"/>
      <c r="P894" s="61"/>
      <c r="Q894" s="61"/>
      <c r="R894" s="61" t="str">
        <f t="shared" si="6"/>
        <v>2024</v>
      </c>
      <c r="S894" s="62">
        <f t="shared" si="7"/>
        <v>6</v>
      </c>
      <c r="T894" s="61" t="str">
        <f t="shared" si="8"/>
        <v>2024-Q2</v>
      </c>
      <c r="U894" s="63" t="str">
        <f t="shared" si="9"/>
        <v>2024-06</v>
      </c>
      <c r="V894" s="64" t="str">
        <f t="shared" si="10"/>
        <v>2024-H1</v>
      </c>
      <c r="W894" s="32"/>
      <c r="X894" s="32"/>
    </row>
    <row r="895">
      <c r="A895" s="77">
        <f>HYPERLINK("https://polkadot.subsquare.io/referenda/893", 893)</f>
        <v>893</v>
      </c>
      <c r="B895" s="40" t="s">
        <v>2374</v>
      </c>
      <c r="C895" s="40" t="s">
        <v>2291</v>
      </c>
      <c r="D895" s="78">
        <v>16741.2753</v>
      </c>
      <c r="E895" s="79">
        <v>94433.66681342841</v>
      </c>
      <c r="F895" s="40" t="s">
        <v>1853</v>
      </c>
      <c r="G895" s="78">
        <v>1.775105841406512E7</v>
      </c>
      <c r="H895" s="78">
        <v>9749050.931685256</v>
      </c>
      <c r="I895" s="80">
        <v>45460.0</v>
      </c>
      <c r="J895" s="80">
        <v>45469.0</v>
      </c>
      <c r="K895" s="79">
        <v>105159.38450301548</v>
      </c>
      <c r="L895" s="25"/>
      <c r="M895" s="25"/>
      <c r="N895" s="61"/>
      <c r="O895" s="86"/>
      <c r="P895" s="86"/>
      <c r="Q895" s="86"/>
      <c r="R895" s="61" t="str">
        <f t="shared" si="6"/>
        <v>2024</v>
      </c>
      <c r="S895" s="62">
        <f t="shared" si="7"/>
        <v>6</v>
      </c>
      <c r="T895" s="61" t="str">
        <f t="shared" si="8"/>
        <v>2024-Q2</v>
      </c>
      <c r="U895" s="63" t="str">
        <f t="shared" si="9"/>
        <v>2024-06</v>
      </c>
      <c r="V895" s="64" t="str">
        <f t="shared" si="10"/>
        <v>2024-H1</v>
      </c>
      <c r="W895" s="32"/>
      <c r="X895" s="32"/>
    </row>
    <row r="896">
      <c r="A896" s="77">
        <f>HYPERLINK("https://polkadot.subsquare.io/referenda/894", 894)</f>
        <v>894</v>
      </c>
      <c r="B896" s="40" t="s">
        <v>2375</v>
      </c>
      <c r="C896" s="40" t="s">
        <v>2354</v>
      </c>
      <c r="D896" s="78">
        <v>0.0</v>
      </c>
      <c r="E896" s="79">
        <v>0.0</v>
      </c>
      <c r="F896" s="40" t="s">
        <v>2221</v>
      </c>
      <c r="G896" s="78">
        <v>1.2819849330637237E7</v>
      </c>
      <c r="H896" s="78">
        <v>10640.1</v>
      </c>
      <c r="I896" s="80">
        <v>45460.0</v>
      </c>
      <c r="J896" s="80">
        <v>45460.0</v>
      </c>
      <c r="K896" s="79">
        <v>0.0</v>
      </c>
      <c r="L896" s="25"/>
      <c r="M896" s="25"/>
      <c r="N896" s="86"/>
      <c r="O896" s="61"/>
      <c r="P896" s="61"/>
      <c r="Q896" s="61"/>
      <c r="R896" s="61" t="str">
        <f t="shared" si="6"/>
        <v>2024</v>
      </c>
      <c r="S896" s="62">
        <f t="shared" si="7"/>
        <v>6</v>
      </c>
      <c r="T896" s="61" t="str">
        <f t="shared" si="8"/>
        <v>2024-Q2</v>
      </c>
      <c r="U896" s="63" t="str">
        <f t="shared" si="9"/>
        <v>2024-06</v>
      </c>
      <c r="V896" s="64" t="str">
        <f t="shared" si="10"/>
        <v>2024-H1</v>
      </c>
      <c r="W896" s="32"/>
      <c r="X896" s="32"/>
    </row>
    <row r="897">
      <c r="A897" s="77">
        <f>HYPERLINK("https://polkadot.subsquare.io/referenda/895", 895)</f>
        <v>895</v>
      </c>
      <c r="B897" s="40" t="s">
        <v>2376</v>
      </c>
      <c r="C897" s="40" t="s">
        <v>2291</v>
      </c>
      <c r="D897" s="78">
        <v>598000.0</v>
      </c>
      <c r="E897" s="79">
        <v>3373179.864883423</v>
      </c>
      <c r="F897" s="40" t="s">
        <v>1855</v>
      </c>
      <c r="G897" s="78">
        <v>3.930751408049156E7</v>
      </c>
      <c r="H897" s="78">
        <v>3.636317620750731E7</v>
      </c>
      <c r="I897" s="80">
        <v>45460.0</v>
      </c>
      <c r="J897" s="80">
        <v>45469.0</v>
      </c>
      <c r="K897" s="79">
        <v>3756303.5554885864</v>
      </c>
      <c r="L897" s="25"/>
      <c r="M897" s="25"/>
      <c r="N897" s="61"/>
      <c r="O897" s="86"/>
      <c r="P897" s="86"/>
      <c r="Q897" s="86"/>
      <c r="R897" s="61" t="str">
        <f t="shared" si="6"/>
        <v>2024</v>
      </c>
      <c r="S897" s="62">
        <f t="shared" si="7"/>
        <v>6</v>
      </c>
      <c r="T897" s="61" t="str">
        <f t="shared" si="8"/>
        <v>2024-Q2</v>
      </c>
      <c r="U897" s="63" t="str">
        <f t="shared" si="9"/>
        <v>2024-06</v>
      </c>
      <c r="V897" s="64" t="str">
        <f t="shared" si="10"/>
        <v>2024-H1</v>
      </c>
      <c r="W897" s="32"/>
      <c r="X897" s="32"/>
    </row>
    <row r="898">
      <c r="A898" s="77">
        <f>HYPERLINK("https://polkadot.subsquare.io/referenda/896", 896)</f>
        <v>896</v>
      </c>
      <c r="B898" s="40" t="s">
        <v>2377</v>
      </c>
      <c r="C898" s="40" t="s">
        <v>2291</v>
      </c>
      <c r="D898" s="78">
        <v>0.0</v>
      </c>
      <c r="E898" s="79">
        <v>0.0</v>
      </c>
      <c r="F898" s="40" t="s">
        <v>1852</v>
      </c>
      <c r="G898" s="78">
        <v>2.2486116171625115E7</v>
      </c>
      <c r="H898" s="78">
        <v>10.0</v>
      </c>
      <c r="I898" s="80">
        <v>45461.0</v>
      </c>
      <c r="J898" s="80">
        <v>45469.0</v>
      </c>
      <c r="K898" s="79">
        <v>0.0</v>
      </c>
      <c r="L898" s="25"/>
      <c r="M898" s="25"/>
      <c r="N898" s="86"/>
      <c r="O898" s="61"/>
      <c r="P898" s="61"/>
      <c r="Q898" s="61"/>
      <c r="R898" s="61" t="str">
        <f t="shared" si="6"/>
        <v>2024</v>
      </c>
      <c r="S898" s="62">
        <f t="shared" si="7"/>
        <v>6</v>
      </c>
      <c r="T898" s="61" t="str">
        <f t="shared" si="8"/>
        <v>2024-Q2</v>
      </c>
      <c r="U898" s="63" t="str">
        <f t="shared" si="9"/>
        <v>2024-06</v>
      </c>
      <c r="V898" s="64" t="str">
        <f t="shared" si="10"/>
        <v>2024-H1</v>
      </c>
      <c r="W898" s="32"/>
      <c r="X898" s="32"/>
    </row>
    <row r="899">
      <c r="A899" s="77">
        <f>HYPERLINK("https://polkadot.subsquare.io/referenda/897", 897)</f>
        <v>897</v>
      </c>
      <c r="B899" s="40" t="s">
        <v>2378</v>
      </c>
      <c r="C899" s="40" t="s">
        <v>2291</v>
      </c>
      <c r="D899" s="78">
        <v>134899.0</v>
      </c>
      <c r="E899" s="79">
        <v>760934.097981453</v>
      </c>
      <c r="F899" s="40" t="s">
        <v>1855</v>
      </c>
      <c r="G899" s="78">
        <v>9374020.835346866</v>
      </c>
      <c r="H899" s="78">
        <v>3.328478645664481E7</v>
      </c>
      <c r="I899" s="80">
        <v>45461.0</v>
      </c>
      <c r="J899" s="80">
        <v>45469.0</v>
      </c>
      <c r="K899" s="79">
        <v>847360.5239663124</v>
      </c>
      <c r="L899" s="25"/>
      <c r="M899" s="25"/>
      <c r="N899" s="61"/>
      <c r="O899" s="86"/>
      <c r="P899" s="86"/>
      <c r="Q899" s="86"/>
      <c r="R899" s="61" t="str">
        <f t="shared" si="6"/>
        <v>2024</v>
      </c>
      <c r="S899" s="62">
        <f t="shared" si="7"/>
        <v>6</v>
      </c>
      <c r="T899" s="61" t="str">
        <f t="shared" si="8"/>
        <v>2024-Q2</v>
      </c>
      <c r="U899" s="63" t="str">
        <f t="shared" si="9"/>
        <v>2024-06</v>
      </c>
      <c r="V899" s="64" t="str">
        <f t="shared" si="10"/>
        <v>2024-H1</v>
      </c>
      <c r="W899" s="32"/>
      <c r="X899" s="32"/>
    </row>
    <row r="900">
      <c r="A900" s="77">
        <f>HYPERLINK("https://polkadot.subsquare.io/referenda/898", 898)</f>
        <v>898</v>
      </c>
      <c r="B900" s="40" t="s">
        <v>2379</v>
      </c>
      <c r="C900" s="40" t="s">
        <v>2291</v>
      </c>
      <c r="D900" s="78">
        <v>34000.0</v>
      </c>
      <c r="E900" s="79">
        <v>191786.14616394043</v>
      </c>
      <c r="F900" s="40" t="s">
        <v>1853</v>
      </c>
      <c r="G900" s="78">
        <v>4406773.960592074</v>
      </c>
      <c r="H900" s="78">
        <v>4.492946938580218E7</v>
      </c>
      <c r="I900" s="80">
        <v>45461.0</v>
      </c>
      <c r="J900" s="80">
        <v>45469.0</v>
      </c>
      <c r="K900" s="79">
        <v>213569.09847259521</v>
      </c>
      <c r="L900" s="25"/>
      <c r="M900" s="25"/>
      <c r="N900" s="86"/>
      <c r="O900" s="61"/>
      <c r="P900" s="61"/>
      <c r="Q900" s="61"/>
      <c r="R900" s="61" t="str">
        <f t="shared" si="6"/>
        <v>2024</v>
      </c>
      <c r="S900" s="62">
        <f t="shared" si="7"/>
        <v>6</v>
      </c>
      <c r="T900" s="61" t="str">
        <f t="shared" si="8"/>
        <v>2024-Q2</v>
      </c>
      <c r="U900" s="63" t="str">
        <f t="shared" si="9"/>
        <v>2024-06</v>
      </c>
      <c r="V900" s="64" t="str">
        <f t="shared" si="10"/>
        <v>2024-H1</v>
      </c>
      <c r="W900" s="32"/>
      <c r="X900" s="32"/>
    </row>
    <row r="901">
      <c r="A901" s="77">
        <f>HYPERLINK("https://polkadot.subsquare.io/referenda/899", 899)</f>
        <v>899</v>
      </c>
      <c r="B901" s="40" t="s">
        <v>2380</v>
      </c>
      <c r="C901" s="40" t="s">
        <v>2291</v>
      </c>
      <c r="D901" s="78">
        <v>164989.27</v>
      </c>
      <c r="E901" s="79">
        <v>925765.0315320491</v>
      </c>
      <c r="F901" s="40" t="s">
        <v>1855</v>
      </c>
      <c r="G901" s="78">
        <v>1.9065683793081976E7</v>
      </c>
      <c r="H901" s="78">
        <v>2.9060735194073994E7</v>
      </c>
      <c r="I901" s="80">
        <v>45461.0</v>
      </c>
      <c r="J901" s="80">
        <v>45469.0</v>
      </c>
      <c r="K901" s="79">
        <v>1036370.8721044587</v>
      </c>
      <c r="L901" s="25"/>
      <c r="M901" s="25"/>
      <c r="N901" s="61"/>
      <c r="O901" s="86"/>
      <c r="P901" s="86"/>
      <c r="Q901" s="86"/>
      <c r="R901" s="61" t="str">
        <f t="shared" si="6"/>
        <v>2024</v>
      </c>
      <c r="S901" s="62">
        <f t="shared" si="7"/>
        <v>6</v>
      </c>
      <c r="T901" s="61" t="str">
        <f t="shared" si="8"/>
        <v>2024-Q2</v>
      </c>
      <c r="U901" s="63" t="str">
        <f t="shared" si="9"/>
        <v>2024-06</v>
      </c>
      <c r="V901" s="64" t="str">
        <f t="shared" si="10"/>
        <v>2024-H1</v>
      </c>
      <c r="W901" s="32"/>
      <c r="X901" s="32"/>
    </row>
    <row r="902">
      <c r="A902" s="77">
        <f>HYPERLINK("https://polkadot.subsquare.io/referenda/900", 900)</f>
        <v>900</v>
      </c>
      <c r="B902" s="40" t="s">
        <v>2381</v>
      </c>
      <c r="C902" s="40" t="s">
        <v>2291</v>
      </c>
      <c r="D902" s="78">
        <v>0.0</v>
      </c>
      <c r="E902" s="79">
        <v>0.0</v>
      </c>
      <c r="F902" s="40" t="s">
        <v>2059</v>
      </c>
      <c r="G902" s="78">
        <v>2.9069068703550152E7</v>
      </c>
      <c r="H902" s="78">
        <v>3744077.3066196456</v>
      </c>
      <c r="I902" s="80">
        <v>45461.0</v>
      </c>
      <c r="J902" s="80">
        <v>45469.0</v>
      </c>
      <c r="K902" s="79">
        <v>0.0</v>
      </c>
      <c r="L902" s="25"/>
      <c r="M902" s="25"/>
      <c r="N902" s="86"/>
      <c r="O902" s="61"/>
      <c r="P902" s="61"/>
      <c r="Q902" s="61"/>
      <c r="R902" s="61" t="str">
        <f t="shared" si="6"/>
        <v>2024</v>
      </c>
      <c r="S902" s="62">
        <f t="shared" si="7"/>
        <v>6</v>
      </c>
      <c r="T902" s="61" t="str">
        <f t="shared" si="8"/>
        <v>2024-Q2</v>
      </c>
      <c r="U902" s="63" t="str">
        <f t="shared" si="9"/>
        <v>2024-06</v>
      </c>
      <c r="V902" s="64" t="str">
        <f t="shared" si="10"/>
        <v>2024-H1</v>
      </c>
      <c r="W902" s="90">
        <f>G902/(G902+H902)</f>
        <v>0.8858970333</v>
      </c>
      <c r="X902" s="76" t="s">
        <v>2382</v>
      </c>
    </row>
    <row r="903">
      <c r="A903" s="77">
        <f>HYPERLINK("https://polkadot.subsquare.io/referenda/901", 901)</f>
        <v>901</v>
      </c>
      <c r="B903" s="40" t="s">
        <v>2383</v>
      </c>
      <c r="C903" s="40" t="s">
        <v>1846</v>
      </c>
      <c r="D903" s="78">
        <v>42.0</v>
      </c>
      <c r="E903" s="79">
        <v>235.66460609436035</v>
      </c>
      <c r="F903" s="40" t="s">
        <v>982</v>
      </c>
      <c r="G903" s="78">
        <v>113644.5035491526</v>
      </c>
      <c r="H903" s="78">
        <v>2.9034323458923686E7</v>
      </c>
      <c r="I903" s="80">
        <v>45461.0</v>
      </c>
      <c r="J903" s="80">
        <v>45468.0</v>
      </c>
      <c r="K903" s="79">
        <v>263.8206510543823</v>
      </c>
      <c r="L903" s="25"/>
      <c r="M903" s="25"/>
      <c r="N903" s="61"/>
      <c r="O903" s="86"/>
      <c r="P903" s="86"/>
      <c r="Q903" s="86"/>
      <c r="R903" s="61" t="str">
        <f t="shared" si="6"/>
        <v>2024</v>
      </c>
      <c r="S903" s="62">
        <f t="shared" si="7"/>
        <v>6</v>
      </c>
      <c r="T903" s="61" t="str">
        <f t="shared" si="8"/>
        <v>2024-Q2</v>
      </c>
      <c r="U903" s="63" t="str">
        <f t="shared" si="9"/>
        <v>2024-06</v>
      </c>
      <c r="V903" s="64" t="str">
        <f t="shared" si="10"/>
        <v>2024-H1</v>
      </c>
      <c r="W903" s="32"/>
      <c r="X903" s="32"/>
    </row>
    <row r="904">
      <c r="A904" s="77">
        <f>HYPERLINK("https://polkadot.subsquare.io/referenda/902", 902)</f>
        <v>902</v>
      </c>
      <c r="B904" s="40" t="s">
        <v>2384</v>
      </c>
      <c r="C904" s="40" t="s">
        <v>2323</v>
      </c>
      <c r="D904" s="78">
        <v>0.0</v>
      </c>
      <c r="E904" s="79">
        <v>0.0</v>
      </c>
      <c r="F904" s="40" t="s">
        <v>2059</v>
      </c>
      <c r="G904" s="78">
        <v>624063.186134604</v>
      </c>
      <c r="H904" s="78">
        <v>2.1815846406619646E7</v>
      </c>
      <c r="I904" s="80">
        <v>45461.0</v>
      </c>
      <c r="J904" s="80">
        <v>45469.0</v>
      </c>
      <c r="K904" s="79">
        <v>0.0</v>
      </c>
      <c r="L904" s="25"/>
      <c r="M904" s="25"/>
      <c r="N904" s="86"/>
      <c r="O904" s="61"/>
      <c r="P904" s="61"/>
      <c r="Q904" s="61"/>
      <c r="R904" s="61" t="str">
        <f t="shared" si="6"/>
        <v>2024</v>
      </c>
      <c r="S904" s="62">
        <f t="shared" si="7"/>
        <v>6</v>
      </c>
      <c r="T904" s="61" t="str">
        <f t="shared" si="8"/>
        <v>2024-Q2</v>
      </c>
      <c r="U904" s="63" t="str">
        <f t="shared" si="9"/>
        <v>2024-06</v>
      </c>
      <c r="V904" s="64" t="str">
        <f t="shared" si="10"/>
        <v>2024-H1</v>
      </c>
      <c r="W904" s="32"/>
      <c r="X904" s="32"/>
    </row>
    <row r="905">
      <c r="A905" s="77">
        <f>HYPERLINK("https://polkadot.subsquare.io/referenda/903", 903)</f>
        <v>903</v>
      </c>
      <c r="B905" s="40" t="s">
        <v>2385</v>
      </c>
      <c r="C905" s="40" t="s">
        <v>2291</v>
      </c>
      <c r="D905" s="78">
        <v>139470.9</v>
      </c>
      <c r="E905" s="79">
        <v>782579.8740506172</v>
      </c>
      <c r="F905" s="40" t="s">
        <v>1855</v>
      </c>
      <c r="G905" s="78">
        <v>574081.9982314019</v>
      </c>
      <c r="H905" s="78">
        <v>2.7512687089084644E7</v>
      </c>
      <c r="I905" s="80">
        <v>45462.0</v>
      </c>
      <c r="J905" s="80">
        <v>45469.0</v>
      </c>
      <c r="K905" s="79">
        <v>876078.6581223964</v>
      </c>
      <c r="L905" s="25"/>
      <c r="M905" s="25"/>
      <c r="N905" s="61"/>
      <c r="O905" s="86"/>
      <c r="P905" s="86"/>
      <c r="Q905" s="86"/>
      <c r="R905" s="61" t="str">
        <f t="shared" si="6"/>
        <v>2024</v>
      </c>
      <c r="S905" s="62">
        <f t="shared" si="7"/>
        <v>6</v>
      </c>
      <c r="T905" s="61" t="str">
        <f t="shared" si="8"/>
        <v>2024-Q2</v>
      </c>
      <c r="U905" s="63" t="str">
        <f t="shared" si="9"/>
        <v>2024-06</v>
      </c>
      <c r="V905" s="64" t="str">
        <f t="shared" si="10"/>
        <v>2024-H1</v>
      </c>
      <c r="W905" s="32"/>
      <c r="X905" s="32"/>
    </row>
    <row r="906">
      <c r="A906" s="77">
        <f>HYPERLINK("https://polkadot.subsquare.io/referenda/68", 68)</f>
        <v>68</v>
      </c>
      <c r="B906" s="40" t="s">
        <v>977</v>
      </c>
      <c r="C906" s="40" t="s">
        <v>1851</v>
      </c>
      <c r="D906" s="78">
        <v>17820.0</v>
      </c>
      <c r="E906" s="79">
        <v>91353.66299629211</v>
      </c>
      <c r="F906" s="40" t="s">
        <v>1853</v>
      </c>
      <c r="G906" s="78">
        <v>3561178.420361336</v>
      </c>
      <c r="H906" s="78">
        <v>1589390.3391745489</v>
      </c>
      <c r="I906" s="80">
        <v>45112.0</v>
      </c>
      <c r="J906" s="80">
        <v>45140.0</v>
      </c>
      <c r="K906" s="79">
        <v>88551.34182929993</v>
      </c>
      <c r="L906" s="93" t="s">
        <v>46</v>
      </c>
      <c r="M906" s="94" t="s">
        <v>116</v>
      </c>
      <c r="N906" s="61"/>
      <c r="O906" s="63"/>
      <c r="P906" s="63"/>
      <c r="Q906" s="63"/>
      <c r="R906" s="61" t="str">
        <f t="shared" si="6"/>
        <v>2023</v>
      </c>
      <c r="S906" s="62">
        <f t="shared" si="7"/>
        <v>8</v>
      </c>
      <c r="T906" s="61" t="str">
        <f t="shared" si="8"/>
        <v>2023-Q3</v>
      </c>
      <c r="U906" s="63" t="str">
        <f t="shared" si="9"/>
        <v>2023-08</v>
      </c>
      <c r="V906" s="64" t="str">
        <f t="shared" si="10"/>
        <v>2023-H2</v>
      </c>
      <c r="W906" s="32"/>
      <c r="X906" s="32"/>
    </row>
    <row r="907">
      <c r="A907" s="77">
        <f>HYPERLINK("https://polkadot.subsquare.io/referenda/905", 905)</f>
        <v>905</v>
      </c>
      <c r="B907" s="40" t="s">
        <v>2386</v>
      </c>
      <c r="C907" s="40" t="s">
        <v>2291</v>
      </c>
      <c r="D907" s="78">
        <v>70835.0</v>
      </c>
      <c r="E907" s="79">
        <v>407150.3692126274</v>
      </c>
      <c r="F907" s="40" t="s">
        <v>1853</v>
      </c>
      <c r="G907" s="78">
        <v>2.448287369319474E7</v>
      </c>
      <c r="H907" s="78">
        <v>33517.6386379493</v>
      </c>
      <c r="I907" s="80">
        <v>45462.0</v>
      </c>
      <c r="J907" s="80">
        <v>45469.0</v>
      </c>
      <c r="K907" s="79">
        <v>444946.09089136124</v>
      </c>
      <c r="L907" s="25"/>
      <c r="M907" s="25"/>
      <c r="N907" s="61"/>
      <c r="O907" s="63"/>
      <c r="P907" s="63"/>
      <c r="Q907" s="63"/>
      <c r="R907" s="61" t="str">
        <f t="shared" si="6"/>
        <v>2024</v>
      </c>
      <c r="S907" s="62">
        <f t="shared" si="7"/>
        <v>6</v>
      </c>
      <c r="T907" s="61" t="str">
        <f t="shared" si="8"/>
        <v>2024-Q2</v>
      </c>
      <c r="U907" s="63" t="str">
        <f t="shared" si="9"/>
        <v>2024-06</v>
      </c>
      <c r="V907" s="64" t="str">
        <f t="shared" si="10"/>
        <v>2024-H1</v>
      </c>
      <c r="W907" s="32"/>
      <c r="X907" s="32"/>
    </row>
    <row r="908">
      <c r="A908" s="77">
        <f>HYPERLINK("https://polkadot.subsquare.io/referenda/906", 906)</f>
        <v>906</v>
      </c>
      <c r="B908" s="40" t="s">
        <v>2387</v>
      </c>
      <c r="C908" s="40" t="s">
        <v>2354</v>
      </c>
      <c r="D908" s="78">
        <v>0.0</v>
      </c>
      <c r="E908" s="79">
        <v>0.0</v>
      </c>
      <c r="F908" s="40" t="s">
        <v>2059</v>
      </c>
      <c r="G908" s="78">
        <v>0.0</v>
      </c>
      <c r="H908" s="78">
        <v>2995289.813354007</v>
      </c>
      <c r="I908" s="80">
        <v>45462.0</v>
      </c>
      <c r="J908" s="80">
        <v>45462.0</v>
      </c>
      <c r="K908" s="79">
        <v>0.0</v>
      </c>
      <c r="L908" s="25"/>
      <c r="M908" s="25"/>
      <c r="N908" s="86"/>
      <c r="O908" s="63"/>
      <c r="P908" s="63"/>
      <c r="Q908" s="63"/>
      <c r="R908" s="61" t="str">
        <f t="shared" si="6"/>
        <v>2024</v>
      </c>
      <c r="S908" s="62">
        <f t="shared" si="7"/>
        <v>6</v>
      </c>
      <c r="T908" s="61" t="str">
        <f t="shared" si="8"/>
        <v>2024-Q2</v>
      </c>
      <c r="U908" s="63" t="str">
        <f t="shared" si="9"/>
        <v>2024-06</v>
      </c>
      <c r="V908" s="64" t="str">
        <f t="shared" si="10"/>
        <v>2024-H1</v>
      </c>
      <c r="W908" s="32"/>
      <c r="X908" s="32"/>
    </row>
    <row r="909">
      <c r="A909" s="77">
        <f>HYPERLINK("https://polkadot.subsquare.io/referenda/907", 907)</f>
        <v>907</v>
      </c>
      <c r="B909" s="40" t="s">
        <v>2388</v>
      </c>
      <c r="C909" s="40" t="s">
        <v>2354</v>
      </c>
      <c r="D909" s="78">
        <v>0.0</v>
      </c>
      <c r="E909" s="79">
        <v>0.0</v>
      </c>
      <c r="F909" s="40" t="s">
        <v>2059</v>
      </c>
      <c r="G909" s="78">
        <v>16808.2</v>
      </c>
      <c r="H909" s="78">
        <v>2.1022090722264647E7</v>
      </c>
      <c r="I909" s="80">
        <v>45462.0</v>
      </c>
      <c r="J909" s="80">
        <v>45462.0</v>
      </c>
      <c r="K909" s="79">
        <v>0.0</v>
      </c>
      <c r="L909" s="25"/>
      <c r="M909" s="25"/>
      <c r="N909" s="61"/>
      <c r="O909" s="63"/>
      <c r="P909" s="63"/>
      <c r="Q909" s="63"/>
      <c r="R909" s="61" t="str">
        <f t="shared" si="6"/>
        <v>2024</v>
      </c>
      <c r="S909" s="62">
        <f t="shared" si="7"/>
        <v>6</v>
      </c>
      <c r="T909" s="61" t="str">
        <f t="shared" si="8"/>
        <v>2024-Q2</v>
      </c>
      <c r="U909" s="63" t="str">
        <f t="shared" si="9"/>
        <v>2024-06</v>
      </c>
      <c r="V909" s="64" t="str">
        <f t="shared" si="10"/>
        <v>2024-H1</v>
      </c>
      <c r="W909" s="32"/>
      <c r="X909" s="32"/>
    </row>
    <row r="910">
      <c r="A910" s="77">
        <f>HYPERLINK("https://polkadot.subsquare.io/referenda/908", 908)</f>
        <v>908</v>
      </c>
      <c r="B910" s="40" t="s">
        <v>2389</v>
      </c>
      <c r="C910" s="40" t="s">
        <v>2354</v>
      </c>
      <c r="D910" s="78">
        <v>0.0</v>
      </c>
      <c r="E910" s="79">
        <v>0.0</v>
      </c>
      <c r="F910" s="40" t="s">
        <v>2221</v>
      </c>
      <c r="G910" s="78">
        <v>4263508.736659206</v>
      </c>
      <c r="H910" s="78">
        <v>35766.0019787432</v>
      </c>
      <c r="I910" s="80">
        <v>45463.0</v>
      </c>
      <c r="J910" s="80">
        <v>45463.0</v>
      </c>
      <c r="K910" s="79">
        <v>0.0</v>
      </c>
      <c r="L910" s="25"/>
      <c r="M910" s="25"/>
      <c r="N910" s="86"/>
      <c r="O910" s="63"/>
      <c r="P910" s="63"/>
      <c r="Q910" s="63"/>
      <c r="R910" s="61" t="str">
        <f t="shared" si="6"/>
        <v>2024</v>
      </c>
      <c r="S910" s="62">
        <f t="shared" si="7"/>
        <v>6</v>
      </c>
      <c r="T910" s="61" t="str">
        <f t="shared" si="8"/>
        <v>2024-Q2</v>
      </c>
      <c r="U910" s="63" t="str">
        <f t="shared" si="9"/>
        <v>2024-06</v>
      </c>
      <c r="V910" s="64" t="str">
        <f t="shared" si="10"/>
        <v>2024-H1</v>
      </c>
      <c r="W910" s="32"/>
      <c r="X910" s="32"/>
    </row>
    <row r="911">
      <c r="A911" s="77">
        <f>HYPERLINK("https://polkadot.subsquare.io/referenda/909", 909)</f>
        <v>909</v>
      </c>
      <c r="B911" s="40" t="s">
        <v>2390</v>
      </c>
      <c r="C911" s="40" t="s">
        <v>2323</v>
      </c>
      <c r="D911" s="78">
        <v>0.0</v>
      </c>
      <c r="E911" s="79">
        <v>0.0</v>
      </c>
      <c r="F911" s="40" t="s">
        <v>2059</v>
      </c>
      <c r="G911" s="78">
        <v>2925953.717180307</v>
      </c>
      <c r="H911" s="78">
        <v>10640.0</v>
      </c>
      <c r="I911" s="80">
        <v>45463.0</v>
      </c>
      <c r="J911" s="80">
        <v>45469.0</v>
      </c>
      <c r="K911" s="79">
        <v>0.0</v>
      </c>
      <c r="L911" s="25"/>
      <c r="M911" s="25"/>
      <c r="N911" s="61"/>
      <c r="O911" s="63"/>
      <c r="P911" s="63"/>
      <c r="Q911" s="63"/>
      <c r="R911" s="61" t="str">
        <f t="shared" si="6"/>
        <v>2024</v>
      </c>
      <c r="S911" s="62">
        <f t="shared" si="7"/>
        <v>6</v>
      </c>
      <c r="T911" s="61" t="str">
        <f t="shared" si="8"/>
        <v>2024-Q2</v>
      </c>
      <c r="U911" s="63" t="str">
        <f t="shared" si="9"/>
        <v>2024-06</v>
      </c>
      <c r="V911" s="64" t="str">
        <f t="shared" si="10"/>
        <v>2024-H1</v>
      </c>
      <c r="W911" s="32"/>
      <c r="X911" s="32"/>
    </row>
    <row r="912">
      <c r="A912" s="77">
        <f>HYPERLINK("https://polkadot.subsquare.io/referenda/910", 910)</f>
        <v>910</v>
      </c>
      <c r="B912" s="40" t="s">
        <v>2391</v>
      </c>
      <c r="C912" s="40" t="s">
        <v>2323</v>
      </c>
      <c r="D912" s="78">
        <v>0.0</v>
      </c>
      <c r="E912" s="79">
        <v>0.0</v>
      </c>
      <c r="F912" s="40" t="s">
        <v>2059</v>
      </c>
      <c r="G912" s="78">
        <v>4882023.271207002</v>
      </c>
      <c r="H912" s="78">
        <v>2.1181479836659208E7</v>
      </c>
      <c r="I912" s="80">
        <v>45464.0</v>
      </c>
      <c r="J912" s="80">
        <v>45469.0</v>
      </c>
      <c r="K912" s="79">
        <v>0.0</v>
      </c>
      <c r="L912" s="25"/>
      <c r="M912" s="25"/>
      <c r="N912" s="86"/>
      <c r="O912" s="63"/>
      <c r="P912" s="63"/>
      <c r="Q912" s="63"/>
      <c r="R912" s="61" t="str">
        <f t="shared" si="6"/>
        <v>2024</v>
      </c>
      <c r="S912" s="62">
        <f t="shared" si="7"/>
        <v>6</v>
      </c>
      <c r="T912" s="61" t="str">
        <f t="shared" si="8"/>
        <v>2024-Q2</v>
      </c>
      <c r="U912" s="63" t="str">
        <f t="shared" si="9"/>
        <v>2024-06</v>
      </c>
      <c r="V912" s="64" t="str">
        <f t="shared" si="10"/>
        <v>2024-H1</v>
      </c>
      <c r="W912" s="32"/>
      <c r="X912" s="32"/>
    </row>
    <row r="913">
      <c r="A913" s="77">
        <f>HYPERLINK("https://polkadot.subsquare.io/referenda/911", 911)</f>
        <v>911</v>
      </c>
      <c r="B913" s="40" t="s">
        <v>2392</v>
      </c>
      <c r="C913" s="40" t="s">
        <v>2291</v>
      </c>
      <c r="D913" s="78">
        <v>27843.0</v>
      </c>
      <c r="E913" s="79">
        <v>162672.58729934692</v>
      </c>
      <c r="F913" s="40" t="s">
        <v>1853</v>
      </c>
      <c r="G913" s="78">
        <v>2.236439077260931E7</v>
      </c>
      <c r="H913" s="78">
        <v>16858.9090140222</v>
      </c>
      <c r="I913" s="80">
        <v>45465.0</v>
      </c>
      <c r="J913" s="80">
        <v>45469.0</v>
      </c>
      <c r="K913" s="79">
        <v>174894.2473168373</v>
      </c>
      <c r="L913" s="25"/>
      <c r="M913" s="25"/>
      <c r="N913" s="61"/>
      <c r="O913" s="63"/>
      <c r="P913" s="63"/>
      <c r="Q913" s="63"/>
      <c r="R913" s="61" t="str">
        <f t="shared" si="6"/>
        <v>2024</v>
      </c>
      <c r="S913" s="62">
        <f t="shared" si="7"/>
        <v>6</v>
      </c>
      <c r="T913" s="61" t="str">
        <f t="shared" si="8"/>
        <v>2024-Q2</v>
      </c>
      <c r="U913" s="63" t="str">
        <f t="shared" si="9"/>
        <v>2024-06</v>
      </c>
      <c r="V913" s="64" t="str">
        <f t="shared" si="10"/>
        <v>2024-H1</v>
      </c>
      <c r="W913" s="32"/>
      <c r="X913" s="32"/>
    </row>
    <row r="914">
      <c r="A914" s="77">
        <f>HYPERLINK("https://polkadot.subsquare.io/referenda/912", 912)</f>
        <v>912</v>
      </c>
      <c r="B914" s="40" t="s">
        <v>2393</v>
      </c>
      <c r="C914" s="40" t="s">
        <v>1968</v>
      </c>
      <c r="D914" s="78">
        <v>0.0156</v>
      </c>
      <c r="E914" s="79">
        <v>0.0911429214477539</v>
      </c>
      <c r="F914" s="40" t="s">
        <v>982</v>
      </c>
      <c r="G914" s="78">
        <v>25.0</v>
      </c>
      <c r="H914" s="78">
        <v>4.726284809076761E7</v>
      </c>
      <c r="I914" s="80">
        <v>45465.0</v>
      </c>
      <c r="J914" s="80">
        <v>45469.0</v>
      </c>
      <c r="K914" s="79">
        <v>0.09799052753448485</v>
      </c>
      <c r="L914" s="25"/>
      <c r="M914" s="25"/>
      <c r="N914" s="86"/>
      <c r="O914" s="63"/>
      <c r="P914" s="63"/>
      <c r="Q914" s="63"/>
      <c r="R914" s="61" t="str">
        <f t="shared" si="6"/>
        <v>2024</v>
      </c>
      <c r="S914" s="62">
        <f t="shared" si="7"/>
        <v>6</v>
      </c>
      <c r="T914" s="61" t="str">
        <f t="shared" si="8"/>
        <v>2024-Q2</v>
      </c>
      <c r="U914" s="63" t="str">
        <f t="shared" si="9"/>
        <v>2024-06</v>
      </c>
      <c r="V914" s="64" t="str">
        <f t="shared" si="10"/>
        <v>2024-H1</v>
      </c>
      <c r="W914" s="32"/>
      <c r="X914" s="32"/>
    </row>
    <row r="915">
      <c r="A915" s="77">
        <f>HYPERLINK("https://polkadot.subsquare.io/referenda/913", 913)</f>
        <v>913</v>
      </c>
      <c r="B915" s="40" t="s">
        <v>2394</v>
      </c>
      <c r="C915" s="40" t="s">
        <v>1851</v>
      </c>
      <c r="D915" s="78">
        <v>0.0</v>
      </c>
      <c r="E915" s="79">
        <v>0.0</v>
      </c>
      <c r="F915" s="40" t="s">
        <v>1970</v>
      </c>
      <c r="G915" s="78">
        <v>3.0562661664434727E7</v>
      </c>
      <c r="H915" s="78">
        <v>17381.7366592061</v>
      </c>
      <c r="I915" s="80">
        <v>45465.0</v>
      </c>
      <c r="J915" s="80">
        <v>45469.0</v>
      </c>
      <c r="K915" s="79">
        <v>0.0</v>
      </c>
      <c r="L915" s="25"/>
      <c r="M915" s="25"/>
      <c r="N915" s="61"/>
      <c r="O915" s="63"/>
      <c r="P915" s="63"/>
      <c r="Q915" s="63"/>
      <c r="R915" s="61" t="str">
        <f t="shared" si="6"/>
        <v>2024</v>
      </c>
      <c r="S915" s="62">
        <f t="shared" si="7"/>
        <v>6</v>
      </c>
      <c r="T915" s="61" t="str">
        <f t="shared" si="8"/>
        <v>2024-Q2</v>
      </c>
      <c r="U915" s="63" t="str">
        <f t="shared" si="9"/>
        <v>2024-06</v>
      </c>
      <c r="V915" s="64" t="str">
        <f t="shared" si="10"/>
        <v>2024-H1</v>
      </c>
      <c r="W915" s="32"/>
      <c r="X915" s="32"/>
    </row>
    <row r="916">
      <c r="A916" s="77">
        <f>HYPERLINK("https://polkadot.subsquare.io/referenda/914", 914)</f>
        <v>914</v>
      </c>
      <c r="B916" s="40" t="s">
        <v>2395</v>
      </c>
      <c r="C916" s="40" t="s">
        <v>2291</v>
      </c>
      <c r="D916" s="78">
        <v>1000.0</v>
      </c>
      <c r="E916" s="79">
        <v>5842.494964599609</v>
      </c>
      <c r="F916" s="40" t="s">
        <v>1869</v>
      </c>
      <c r="G916" s="78">
        <v>5331229.3926854925</v>
      </c>
      <c r="H916" s="78">
        <v>1.4258509533862974E7</v>
      </c>
      <c r="I916" s="80">
        <v>45465.0</v>
      </c>
      <c r="J916" s="80">
        <v>45469.0</v>
      </c>
      <c r="K916" s="79">
        <v>6281.444072723389</v>
      </c>
      <c r="L916" s="25"/>
      <c r="M916" s="25"/>
      <c r="N916" s="86"/>
      <c r="O916" s="63"/>
      <c r="P916" s="63"/>
      <c r="Q916" s="63"/>
      <c r="R916" s="61" t="str">
        <f t="shared" si="6"/>
        <v>2024</v>
      </c>
      <c r="S916" s="62">
        <f t="shared" si="7"/>
        <v>6</v>
      </c>
      <c r="T916" s="61" t="str">
        <f t="shared" si="8"/>
        <v>2024-Q2</v>
      </c>
      <c r="U916" s="63" t="str">
        <f t="shared" si="9"/>
        <v>2024-06</v>
      </c>
      <c r="V916" s="64" t="str">
        <f t="shared" si="10"/>
        <v>2024-H1</v>
      </c>
      <c r="W916" s="32"/>
      <c r="X916" s="32"/>
    </row>
    <row r="917">
      <c r="A917" s="77">
        <f>HYPERLINK("https://polkadot.subsquare.io/referenda/915", 915)</f>
        <v>915</v>
      </c>
      <c r="B917" s="40" t="s">
        <v>2396</v>
      </c>
      <c r="C917" s="40" t="s">
        <v>2291</v>
      </c>
      <c r="D917" s="78">
        <v>8381.094462911777</v>
      </c>
      <c r="E917" s="79">
        <v>48554.0</v>
      </c>
      <c r="F917" s="40" t="s">
        <v>1853</v>
      </c>
      <c r="G917" s="78">
        <v>4359694.370630565</v>
      </c>
      <c r="H917" s="78">
        <v>16751.7366592061</v>
      </c>
      <c r="I917" s="80">
        <v>45466.0</v>
      </c>
      <c r="J917" s="80">
        <v>45469.0</v>
      </c>
      <c r="K917" s="79">
        <v>52645.37613699199</v>
      </c>
      <c r="L917" s="25"/>
      <c r="M917" s="25"/>
      <c r="N917" s="61"/>
      <c r="O917" s="63"/>
      <c r="P917" s="63"/>
      <c r="Q917" s="63"/>
      <c r="R917" s="61" t="str">
        <f t="shared" si="6"/>
        <v>2024</v>
      </c>
      <c r="S917" s="62">
        <f t="shared" si="7"/>
        <v>6</v>
      </c>
      <c r="T917" s="61" t="str">
        <f t="shared" si="8"/>
        <v>2024-Q2</v>
      </c>
      <c r="U917" s="63" t="str">
        <f t="shared" si="9"/>
        <v>2024-06</v>
      </c>
      <c r="V917" s="64" t="str">
        <f t="shared" si="10"/>
        <v>2024-H1</v>
      </c>
      <c r="W917" s="32"/>
      <c r="X917" s="32"/>
    </row>
    <row r="918">
      <c r="A918" s="77">
        <f>HYPERLINK("https://polkadot.subsquare.io/referenda/916", 916)</f>
        <v>916</v>
      </c>
      <c r="B918" s="40" t="s">
        <v>2397</v>
      </c>
      <c r="C918" s="40" t="s">
        <v>2291</v>
      </c>
      <c r="D918" s="78">
        <v>17081.0</v>
      </c>
      <c r="E918" s="79">
        <v>98954.96079540253</v>
      </c>
      <c r="F918" s="40" t="s">
        <v>1853</v>
      </c>
      <c r="G918" s="78">
        <v>21854.1000000001</v>
      </c>
      <c r="H918" s="78">
        <v>2.655206318375089E7</v>
      </c>
      <c r="I918" s="80">
        <v>45466.0</v>
      </c>
      <c r="J918" s="80">
        <v>45469.0</v>
      </c>
      <c r="K918" s="79">
        <v>107293.3462061882</v>
      </c>
      <c r="L918" s="25"/>
      <c r="M918" s="25"/>
      <c r="N918" s="86"/>
      <c r="O918" s="63"/>
      <c r="P918" s="63"/>
      <c r="Q918" s="63"/>
      <c r="R918" s="61" t="str">
        <f t="shared" si="6"/>
        <v>2024</v>
      </c>
      <c r="S918" s="62">
        <f t="shared" si="7"/>
        <v>6</v>
      </c>
      <c r="T918" s="61" t="str">
        <f t="shared" si="8"/>
        <v>2024-Q2</v>
      </c>
      <c r="U918" s="63" t="str">
        <f t="shared" si="9"/>
        <v>2024-06</v>
      </c>
      <c r="V918" s="64" t="str">
        <f t="shared" si="10"/>
        <v>2024-H1</v>
      </c>
      <c r="W918" s="32"/>
      <c r="X918" s="32"/>
    </row>
    <row r="919">
      <c r="A919" s="77">
        <f>HYPERLINK("https://polkadot.subsquare.io/referenda/917", 917)</f>
        <v>917</v>
      </c>
      <c r="B919" s="40" t="s">
        <v>2398</v>
      </c>
      <c r="C919" s="40" t="s">
        <v>2291</v>
      </c>
      <c r="D919" s="78">
        <v>0.0</v>
      </c>
      <c r="E919" s="79">
        <v>0.0</v>
      </c>
      <c r="F919" s="40" t="s">
        <v>1855</v>
      </c>
      <c r="G919" s="78">
        <v>16800.2</v>
      </c>
      <c r="H919" s="78">
        <v>21751.8366592061</v>
      </c>
      <c r="I919" s="80">
        <v>45466.0</v>
      </c>
      <c r="J919" s="80">
        <v>45469.0</v>
      </c>
      <c r="K919" s="79">
        <v>0.0</v>
      </c>
      <c r="L919" s="25"/>
      <c r="M919" s="25"/>
      <c r="N919" s="61"/>
      <c r="O919" s="63"/>
      <c r="P919" s="63"/>
      <c r="Q919" s="63"/>
      <c r="R919" s="61" t="str">
        <f t="shared" si="6"/>
        <v>2024</v>
      </c>
      <c r="S919" s="62">
        <f t="shared" si="7"/>
        <v>6</v>
      </c>
      <c r="T919" s="61" t="str">
        <f t="shared" si="8"/>
        <v>2024-Q2</v>
      </c>
      <c r="U919" s="63" t="str">
        <f t="shared" si="9"/>
        <v>2024-06</v>
      </c>
      <c r="V919" s="64" t="str">
        <f t="shared" si="10"/>
        <v>2024-H1</v>
      </c>
      <c r="W919" s="32"/>
      <c r="X919" s="32"/>
    </row>
    <row r="920">
      <c r="A920" s="77">
        <f>HYPERLINK("https://polkadot.subsquare.io/referenda/918", 918)</f>
        <v>918</v>
      </c>
      <c r="B920" s="40" t="s">
        <v>2399</v>
      </c>
      <c r="C920" s="40" t="s">
        <v>2354</v>
      </c>
      <c r="D920" s="78">
        <v>33884.0</v>
      </c>
      <c r="E920" s="79">
        <v>196299.3906440735</v>
      </c>
      <c r="F920" s="40" t="s">
        <v>1853</v>
      </c>
      <c r="G920" s="78">
        <v>332408.6601980858</v>
      </c>
      <c r="H920" s="78">
        <v>10010.0</v>
      </c>
      <c r="I920" s="80">
        <v>45466.0</v>
      </c>
      <c r="J920" s="80">
        <v>45466.0</v>
      </c>
      <c r="K920" s="79">
        <v>196299.3906440735</v>
      </c>
      <c r="L920" s="25"/>
      <c r="M920" s="25"/>
      <c r="N920" s="86"/>
      <c r="O920" s="63"/>
      <c r="P920" s="63"/>
      <c r="Q920" s="63"/>
      <c r="R920" s="61" t="str">
        <f t="shared" si="6"/>
        <v>2024</v>
      </c>
      <c r="S920" s="62">
        <f t="shared" si="7"/>
        <v>6</v>
      </c>
      <c r="T920" s="61" t="str">
        <f t="shared" si="8"/>
        <v>2024-Q2</v>
      </c>
      <c r="U920" s="63" t="str">
        <f t="shared" si="9"/>
        <v>2024-06</v>
      </c>
      <c r="V920" s="64" t="str">
        <f t="shared" si="10"/>
        <v>2024-H1</v>
      </c>
      <c r="W920" s="32"/>
      <c r="X920" s="32"/>
    </row>
    <row r="921">
      <c r="A921" s="77">
        <f>HYPERLINK("https://polkadot.subsquare.io/referenda/919", 919)</f>
        <v>919</v>
      </c>
      <c r="B921" s="40" t="s">
        <v>2400</v>
      </c>
      <c r="C921" s="40" t="s">
        <v>2291</v>
      </c>
      <c r="D921" s="78">
        <v>0.0</v>
      </c>
      <c r="E921" s="79">
        <v>0.0</v>
      </c>
      <c r="F921" s="40" t="s">
        <v>1866</v>
      </c>
      <c r="G921" s="78">
        <v>34261.7366592061</v>
      </c>
      <c r="H921" s="78">
        <v>10.0</v>
      </c>
      <c r="I921" s="80">
        <v>45467.0</v>
      </c>
      <c r="J921" s="80">
        <v>45469.0</v>
      </c>
      <c r="K921" s="79">
        <v>0.0</v>
      </c>
      <c r="L921" s="25"/>
      <c r="M921" s="25"/>
      <c r="N921" s="61"/>
      <c r="O921" s="63"/>
      <c r="P921" s="63"/>
      <c r="Q921" s="63"/>
      <c r="R921" s="61" t="str">
        <f t="shared" si="6"/>
        <v>2024</v>
      </c>
      <c r="S921" s="62">
        <f t="shared" si="7"/>
        <v>6</v>
      </c>
      <c r="T921" s="61" t="str">
        <f t="shared" si="8"/>
        <v>2024-Q2</v>
      </c>
      <c r="U921" s="63" t="str">
        <f t="shared" si="9"/>
        <v>2024-06</v>
      </c>
      <c r="V921" s="64" t="str">
        <f t="shared" si="10"/>
        <v>2024-H1</v>
      </c>
      <c r="W921" s="32"/>
      <c r="X921" s="32"/>
    </row>
    <row r="922">
      <c r="A922" s="77">
        <f>HYPERLINK("https://polkadot.subsquare.io/referenda/920", 920)</f>
        <v>920</v>
      </c>
      <c r="B922" s="40" t="s">
        <v>2401</v>
      </c>
      <c r="C922" s="40" t="s">
        <v>2291</v>
      </c>
      <c r="D922" s="78">
        <v>500000.0</v>
      </c>
      <c r="E922" s="79">
        <v>3140722.0363616943</v>
      </c>
      <c r="F922" s="40" t="s">
        <v>1855</v>
      </c>
      <c r="G922" s="78">
        <v>8050.0</v>
      </c>
      <c r="H922" s="78">
        <v>5030.0</v>
      </c>
      <c r="I922" s="80">
        <v>45467.0</v>
      </c>
      <c r="J922" s="80">
        <v>45469.0</v>
      </c>
      <c r="K922" s="79">
        <v>3140722.0363616943</v>
      </c>
      <c r="L922" s="25"/>
      <c r="M922" s="25"/>
      <c r="N922" s="63"/>
      <c r="O922" s="63"/>
      <c r="P922" s="63"/>
      <c r="Q922" s="63"/>
      <c r="R922" s="61" t="str">
        <f t="shared" si="6"/>
        <v>2024</v>
      </c>
      <c r="S922" s="62">
        <f t="shared" si="7"/>
        <v>6</v>
      </c>
      <c r="T922" s="61" t="str">
        <f t="shared" si="8"/>
        <v>2024-Q2</v>
      </c>
      <c r="U922" s="63" t="str">
        <f t="shared" si="9"/>
        <v>2024-06</v>
      </c>
      <c r="V922" s="64" t="str">
        <f t="shared" si="10"/>
        <v>2024-H1</v>
      </c>
      <c r="W922" s="32"/>
      <c r="X922" s="32"/>
    </row>
    <row r="923">
      <c r="A923" s="77">
        <f>HYPERLINK("https://polkadot.subsquare.io/referenda/921", 921)</f>
        <v>921</v>
      </c>
      <c r="B923" s="40" t="s">
        <v>2402</v>
      </c>
      <c r="C923" s="40" t="s">
        <v>2354</v>
      </c>
      <c r="D923" s="78">
        <v>0.0</v>
      </c>
      <c r="E923" s="79">
        <v>0.0</v>
      </c>
      <c r="F923" s="40" t="s">
        <v>2059</v>
      </c>
      <c r="G923" s="78">
        <v>945586.469146613</v>
      </c>
      <c r="H923" s="78">
        <v>2826081.0</v>
      </c>
      <c r="I923" s="80">
        <v>45467.0</v>
      </c>
      <c r="J923" s="80">
        <v>45467.0</v>
      </c>
      <c r="K923" s="79">
        <v>0.0</v>
      </c>
      <c r="L923" s="25"/>
      <c r="M923" s="25"/>
      <c r="N923" s="63"/>
      <c r="O923" s="63"/>
      <c r="P923" s="63"/>
      <c r="Q923" s="63"/>
      <c r="R923" s="61" t="str">
        <f t="shared" si="6"/>
        <v>2024</v>
      </c>
      <c r="S923" s="62">
        <f t="shared" si="7"/>
        <v>6</v>
      </c>
      <c r="T923" s="61" t="str">
        <f t="shared" si="8"/>
        <v>2024-Q2</v>
      </c>
      <c r="U923" s="63" t="str">
        <f t="shared" si="9"/>
        <v>2024-06</v>
      </c>
      <c r="V923" s="64" t="str">
        <f t="shared" si="10"/>
        <v>2024-H1</v>
      </c>
      <c r="W923" s="32"/>
      <c r="X923" s="32"/>
    </row>
    <row r="924">
      <c r="A924" s="77">
        <f>HYPERLINK("https://polkadot.subsquare.io/referenda/922", 922)</f>
        <v>922</v>
      </c>
      <c r="B924" s="40" t="s">
        <v>2403</v>
      </c>
      <c r="C924" s="40" t="s">
        <v>2291</v>
      </c>
      <c r="D924" s="78">
        <v>37573.39</v>
      </c>
      <c r="E924" s="79">
        <v>236015.14790762425</v>
      </c>
      <c r="F924" s="40" t="s">
        <v>1853</v>
      </c>
      <c r="G924" s="78">
        <v>14994.0</v>
      </c>
      <c r="H924" s="78">
        <v>5.0</v>
      </c>
      <c r="I924" s="80">
        <v>45468.0</v>
      </c>
      <c r="J924" s="80">
        <v>45469.0</v>
      </c>
      <c r="K924" s="79">
        <v>236015.14790762425</v>
      </c>
      <c r="L924" s="25"/>
      <c r="M924" s="25"/>
      <c r="N924" s="63"/>
      <c r="O924" s="63"/>
      <c r="P924" s="63"/>
      <c r="Q924" s="63"/>
      <c r="R924" s="61" t="str">
        <f t="shared" si="6"/>
        <v>2024</v>
      </c>
      <c r="S924" s="62">
        <f t="shared" si="7"/>
        <v>6</v>
      </c>
      <c r="T924" s="61" t="str">
        <f t="shared" si="8"/>
        <v>2024-Q2</v>
      </c>
      <c r="U924" s="63" t="str">
        <f t="shared" si="9"/>
        <v>2024-06</v>
      </c>
      <c r="V924" s="64" t="str">
        <f t="shared" si="10"/>
        <v>2024-H1</v>
      </c>
      <c r="W924" s="32"/>
      <c r="X924" s="32"/>
    </row>
    <row r="925">
      <c r="A925" s="77">
        <f>HYPERLINK("https://polkadot.subsquare.io/referenda/923", 923)</f>
        <v>923</v>
      </c>
      <c r="B925" s="40" t="s">
        <v>2404</v>
      </c>
      <c r="C925" s="40" t="s">
        <v>2291</v>
      </c>
      <c r="D925" s="78">
        <v>0.0</v>
      </c>
      <c r="E925" s="79">
        <v>0.0</v>
      </c>
      <c r="F925" s="40" t="s">
        <v>1866</v>
      </c>
      <c r="G925" s="78">
        <v>0.0</v>
      </c>
      <c r="H925" s="78">
        <v>10.0</v>
      </c>
      <c r="I925" s="80">
        <v>45469.0</v>
      </c>
      <c r="J925" s="80">
        <v>45469.0</v>
      </c>
      <c r="K925" s="79">
        <v>0.0</v>
      </c>
      <c r="L925" s="25"/>
      <c r="M925" s="25"/>
      <c r="N925" s="63"/>
      <c r="O925" s="63"/>
      <c r="P925" s="63"/>
      <c r="Q925" s="63"/>
      <c r="R925" s="61" t="str">
        <f t="shared" si="6"/>
        <v>2024</v>
      </c>
      <c r="S925" s="62">
        <f t="shared" si="7"/>
        <v>6</v>
      </c>
      <c r="T925" s="61" t="str">
        <f t="shared" si="8"/>
        <v>2024-Q2</v>
      </c>
      <c r="U925" s="63" t="str">
        <f t="shared" si="9"/>
        <v>2024-06</v>
      </c>
      <c r="V925" s="64" t="str">
        <f t="shared" si="10"/>
        <v>2024-H1</v>
      </c>
      <c r="W925" s="32"/>
      <c r="X925" s="32"/>
    </row>
    <row r="926">
      <c r="A926" s="77">
        <f>HYPERLINK("https://polkadot.subsquare.io/referenda/924", 924)</f>
        <v>924</v>
      </c>
      <c r="B926" s="40" t="s">
        <v>2405</v>
      </c>
      <c r="C926" s="40" t="s">
        <v>2354</v>
      </c>
      <c r="D926" s="78">
        <v>0.0</v>
      </c>
      <c r="E926" s="79">
        <v>0.0</v>
      </c>
      <c r="F926" s="40" t="s">
        <v>2059</v>
      </c>
      <c r="G926" s="78">
        <v>0.0</v>
      </c>
      <c r="H926" s="78">
        <v>10.0</v>
      </c>
      <c r="I926" s="80">
        <v>45469.0</v>
      </c>
      <c r="J926" s="80">
        <v>45469.0</v>
      </c>
      <c r="K926" s="79">
        <v>0.0</v>
      </c>
      <c r="L926" s="25"/>
      <c r="M926" s="25"/>
      <c r="N926" s="63"/>
      <c r="O926" s="63"/>
      <c r="P926" s="63"/>
      <c r="Q926" s="63"/>
      <c r="R926" s="61" t="str">
        <f t="shared" si="6"/>
        <v>2024</v>
      </c>
      <c r="S926" s="62">
        <f t="shared" si="7"/>
        <v>6</v>
      </c>
      <c r="T926" s="61" t="str">
        <f t="shared" si="8"/>
        <v>2024-Q2</v>
      </c>
      <c r="U926" s="63" t="str">
        <f t="shared" si="9"/>
        <v>2024-06</v>
      </c>
      <c r="V926" s="64" t="str">
        <f t="shared" si="10"/>
        <v>2024-H1</v>
      </c>
      <c r="W926" s="32"/>
      <c r="X926" s="32"/>
    </row>
    <row r="927">
      <c r="A927" s="77">
        <f>HYPERLINK("https://polkadot.subsquare.io/referenda/925", 925)</f>
        <v>925</v>
      </c>
      <c r="B927" s="40" t="s">
        <v>2406</v>
      </c>
      <c r="C927" s="40" t="s">
        <v>2354</v>
      </c>
      <c r="D927" s="78">
        <v>141395.0</v>
      </c>
      <c r="E927" s="79">
        <v>888164.7846627235</v>
      </c>
      <c r="F927" s="40" t="s">
        <v>1855</v>
      </c>
      <c r="G927" s="78">
        <v>0.0</v>
      </c>
      <c r="H927" s="78">
        <v>10.0</v>
      </c>
      <c r="I927" s="80">
        <v>45469.0</v>
      </c>
      <c r="J927" s="80">
        <v>45469.0</v>
      </c>
      <c r="K927" s="79">
        <v>888164.7846627235</v>
      </c>
      <c r="L927" s="25"/>
      <c r="M927" s="25"/>
      <c r="N927" s="63"/>
      <c r="O927" s="63"/>
      <c r="P927" s="63"/>
      <c r="Q927" s="63"/>
      <c r="R927" s="61" t="str">
        <f t="shared" si="6"/>
        <v>2024</v>
      </c>
      <c r="S927" s="62">
        <f t="shared" si="7"/>
        <v>6</v>
      </c>
      <c r="T927" s="61" t="str">
        <f t="shared" si="8"/>
        <v>2024-Q2</v>
      </c>
      <c r="U927" s="63" t="str">
        <f t="shared" si="9"/>
        <v>2024-06</v>
      </c>
      <c r="V927" s="64" t="str">
        <f t="shared" si="10"/>
        <v>2024-H1</v>
      </c>
      <c r="W927" s="32"/>
      <c r="X927" s="32"/>
    </row>
    <row r="928">
      <c r="A928" s="40"/>
      <c r="B928" s="40"/>
      <c r="C928" s="40"/>
      <c r="D928" s="78"/>
      <c r="E928" s="79"/>
      <c r="F928" s="40"/>
      <c r="G928" s="78"/>
      <c r="H928" s="78"/>
      <c r="I928" s="80"/>
      <c r="J928" s="80"/>
      <c r="K928" s="79"/>
      <c r="L928" s="25"/>
      <c r="M928" s="25"/>
      <c r="N928" s="63"/>
      <c r="O928" s="63"/>
      <c r="P928" s="63"/>
      <c r="Q928" s="63"/>
      <c r="R928" s="32"/>
      <c r="S928" s="32"/>
      <c r="T928" s="32"/>
      <c r="U928" s="32"/>
      <c r="W928" s="32"/>
      <c r="X928" s="32"/>
    </row>
    <row r="929">
      <c r="A929" s="40"/>
      <c r="B929" s="40"/>
      <c r="C929" s="40"/>
      <c r="D929" s="78"/>
      <c r="E929" s="79"/>
      <c r="F929" s="40"/>
      <c r="G929" s="78"/>
      <c r="H929" s="78"/>
      <c r="I929" s="80"/>
      <c r="J929" s="80"/>
      <c r="K929" s="79"/>
      <c r="L929" s="25"/>
      <c r="M929" s="25"/>
      <c r="N929" s="63"/>
      <c r="O929" s="63"/>
      <c r="P929" s="63"/>
      <c r="Q929" s="63"/>
      <c r="R929" s="32"/>
      <c r="S929" s="32"/>
      <c r="T929" s="32"/>
      <c r="U929" s="32"/>
      <c r="W929" s="32"/>
      <c r="X929" s="32"/>
    </row>
    <row r="930">
      <c r="A930" s="40"/>
      <c r="B930" s="40"/>
      <c r="C930" s="40"/>
      <c r="D930" s="78"/>
      <c r="E930" s="79"/>
      <c r="F930" s="40"/>
      <c r="G930" s="78"/>
      <c r="H930" s="78"/>
      <c r="I930" s="80"/>
      <c r="J930" s="80"/>
      <c r="K930" s="79"/>
      <c r="L930" s="25"/>
      <c r="M930" s="25"/>
      <c r="N930" s="63"/>
      <c r="O930" s="63"/>
      <c r="P930" s="63"/>
      <c r="Q930" s="63"/>
      <c r="R930" s="32"/>
      <c r="S930" s="32"/>
      <c r="T930" s="32"/>
      <c r="U930" s="32"/>
      <c r="W930" s="32"/>
      <c r="X930" s="32"/>
    </row>
    <row r="931">
      <c r="A931" s="40"/>
      <c r="B931" s="40"/>
      <c r="C931" s="40"/>
      <c r="D931" s="78"/>
      <c r="E931" s="79"/>
      <c r="F931" s="40"/>
      <c r="G931" s="78"/>
      <c r="H931" s="78"/>
      <c r="I931" s="80"/>
      <c r="J931" s="80"/>
      <c r="K931" s="79"/>
      <c r="L931" s="25"/>
      <c r="M931" s="25"/>
      <c r="N931" s="63"/>
      <c r="O931" s="63"/>
      <c r="P931" s="63"/>
      <c r="Q931" s="63"/>
      <c r="R931" s="32"/>
      <c r="S931" s="32"/>
      <c r="T931" s="32"/>
      <c r="U931" s="32"/>
      <c r="W931" s="32"/>
      <c r="X931" s="32"/>
    </row>
    <row r="932">
      <c r="A932" s="40"/>
      <c r="B932" s="40"/>
      <c r="C932" s="40"/>
      <c r="D932" s="78"/>
      <c r="E932" s="79"/>
      <c r="F932" s="40"/>
      <c r="G932" s="78"/>
      <c r="H932" s="78"/>
      <c r="I932" s="80"/>
      <c r="J932" s="80"/>
      <c r="K932" s="79"/>
      <c r="L932" s="25"/>
      <c r="M932" s="25"/>
      <c r="N932" s="63"/>
      <c r="O932" s="63"/>
      <c r="P932" s="63"/>
      <c r="Q932" s="63"/>
      <c r="R932" s="32"/>
      <c r="S932" s="32"/>
      <c r="T932" s="32"/>
      <c r="U932" s="32"/>
      <c r="W932" s="32"/>
      <c r="X932" s="32"/>
    </row>
    <row r="933">
      <c r="A933" s="40"/>
      <c r="B933" s="40"/>
      <c r="C933" s="40"/>
      <c r="D933" s="78"/>
      <c r="E933" s="79"/>
      <c r="F933" s="40"/>
      <c r="G933" s="78"/>
      <c r="H933" s="78"/>
      <c r="I933" s="80"/>
      <c r="J933" s="80"/>
      <c r="K933" s="79"/>
      <c r="L933" s="25"/>
      <c r="M933" s="25"/>
      <c r="N933" s="63"/>
      <c r="O933" s="63"/>
      <c r="P933" s="63"/>
      <c r="Q933" s="63"/>
      <c r="R933" s="32"/>
      <c r="S933" s="32"/>
      <c r="T933" s="32"/>
      <c r="U933" s="32"/>
      <c r="W933" s="32"/>
      <c r="X933" s="32"/>
    </row>
    <row r="934">
      <c r="A934" s="40"/>
      <c r="B934" s="40"/>
      <c r="C934" s="40"/>
      <c r="D934" s="78"/>
      <c r="E934" s="79"/>
      <c r="F934" s="40"/>
      <c r="G934" s="78"/>
      <c r="H934" s="78"/>
      <c r="I934" s="80"/>
      <c r="J934" s="80"/>
      <c r="K934" s="79"/>
      <c r="L934" s="25"/>
      <c r="M934" s="25"/>
      <c r="N934" s="63"/>
      <c r="O934" s="63"/>
      <c r="P934" s="63"/>
      <c r="Q934" s="63"/>
      <c r="R934" s="32"/>
      <c r="S934" s="32"/>
      <c r="T934" s="32"/>
      <c r="U934" s="32"/>
      <c r="W934" s="32"/>
      <c r="X934" s="32"/>
    </row>
    <row r="935">
      <c r="A935" s="40"/>
      <c r="B935" s="40"/>
      <c r="C935" s="40"/>
      <c r="D935" s="78"/>
      <c r="E935" s="79"/>
      <c r="F935" s="40"/>
      <c r="G935" s="78"/>
      <c r="H935" s="78"/>
      <c r="I935" s="80"/>
      <c r="J935" s="80"/>
      <c r="K935" s="79"/>
      <c r="L935" s="25"/>
      <c r="M935" s="25"/>
      <c r="N935" s="63"/>
      <c r="O935" s="63"/>
      <c r="P935" s="63"/>
      <c r="Q935" s="63"/>
      <c r="R935" s="32"/>
      <c r="S935" s="32"/>
      <c r="T935" s="32"/>
      <c r="U935" s="32"/>
      <c r="W935" s="32"/>
      <c r="X935" s="32"/>
    </row>
    <row r="936">
      <c r="A936" s="40"/>
      <c r="B936" s="40"/>
      <c r="C936" s="40"/>
      <c r="D936" s="78"/>
      <c r="E936" s="79"/>
      <c r="F936" s="40"/>
      <c r="G936" s="78"/>
      <c r="H936" s="78"/>
      <c r="I936" s="80"/>
      <c r="J936" s="80"/>
      <c r="K936" s="79"/>
      <c r="L936" s="25"/>
      <c r="M936" s="25"/>
      <c r="N936" s="63"/>
      <c r="O936" s="63"/>
      <c r="P936" s="63"/>
      <c r="Q936" s="63"/>
      <c r="R936" s="32"/>
      <c r="S936" s="32"/>
      <c r="T936" s="32"/>
      <c r="U936" s="32"/>
      <c r="W936" s="32"/>
      <c r="X936" s="32"/>
    </row>
    <row r="937">
      <c r="A937" s="40"/>
      <c r="B937" s="40"/>
      <c r="C937" s="40"/>
      <c r="D937" s="78"/>
      <c r="E937" s="79"/>
      <c r="F937" s="40"/>
      <c r="G937" s="78"/>
      <c r="H937" s="78"/>
      <c r="I937" s="80"/>
      <c r="J937" s="80"/>
      <c r="K937" s="79"/>
      <c r="L937" s="25"/>
      <c r="M937" s="25"/>
      <c r="N937" s="63"/>
      <c r="O937" s="63"/>
      <c r="P937" s="63"/>
      <c r="Q937" s="63"/>
      <c r="R937" s="32"/>
      <c r="S937" s="32"/>
      <c r="T937" s="32"/>
      <c r="U937" s="32"/>
      <c r="W937" s="32"/>
      <c r="X937" s="32"/>
    </row>
    <row r="938">
      <c r="A938" s="40"/>
      <c r="B938" s="40"/>
      <c r="C938" s="40"/>
      <c r="D938" s="78"/>
      <c r="E938" s="79"/>
      <c r="F938" s="40"/>
      <c r="G938" s="78"/>
      <c r="H938" s="78"/>
      <c r="I938" s="80"/>
      <c r="J938" s="80"/>
      <c r="K938" s="79"/>
      <c r="L938" s="25"/>
      <c r="M938" s="25"/>
      <c r="N938" s="63"/>
      <c r="O938" s="63"/>
      <c r="P938" s="63"/>
      <c r="Q938" s="63"/>
      <c r="R938" s="32"/>
      <c r="S938" s="32"/>
      <c r="T938" s="32"/>
      <c r="U938" s="32"/>
      <c r="W938" s="32"/>
      <c r="X938" s="32"/>
    </row>
    <row r="939">
      <c r="A939" s="40"/>
      <c r="B939" s="40"/>
      <c r="C939" s="40"/>
      <c r="D939" s="78"/>
      <c r="E939" s="79"/>
      <c r="F939" s="40"/>
      <c r="G939" s="78"/>
      <c r="H939" s="78"/>
      <c r="I939" s="80"/>
      <c r="J939" s="80"/>
      <c r="K939" s="79"/>
      <c r="L939" s="25"/>
      <c r="M939" s="25"/>
      <c r="N939" s="63"/>
      <c r="O939" s="63"/>
      <c r="P939" s="63"/>
      <c r="Q939" s="63"/>
      <c r="R939" s="32"/>
      <c r="S939" s="32"/>
      <c r="T939" s="32"/>
      <c r="U939" s="32"/>
      <c r="W939" s="32"/>
      <c r="X939" s="32"/>
    </row>
    <row r="940">
      <c r="A940" s="40"/>
      <c r="B940" s="40"/>
      <c r="C940" s="40"/>
      <c r="D940" s="78"/>
      <c r="E940" s="79"/>
      <c r="F940" s="40"/>
      <c r="G940" s="78"/>
      <c r="H940" s="78"/>
      <c r="I940" s="80"/>
      <c r="J940" s="80"/>
      <c r="K940" s="79"/>
      <c r="L940" s="25"/>
      <c r="M940" s="25"/>
      <c r="N940" s="63"/>
      <c r="O940" s="63"/>
      <c r="P940" s="63"/>
      <c r="Q940" s="63"/>
      <c r="R940" s="32"/>
      <c r="S940" s="32"/>
      <c r="T940" s="32"/>
      <c r="U940" s="32"/>
      <c r="W940" s="32"/>
      <c r="X940" s="32"/>
    </row>
    <row r="941">
      <c r="A941" s="40"/>
      <c r="B941" s="40"/>
      <c r="C941" s="40"/>
      <c r="D941" s="78"/>
      <c r="E941" s="79"/>
      <c r="F941" s="40"/>
      <c r="G941" s="78"/>
      <c r="H941" s="78"/>
      <c r="I941" s="80"/>
      <c r="J941" s="80"/>
      <c r="K941" s="79"/>
      <c r="L941" s="25"/>
      <c r="M941" s="25"/>
      <c r="N941" s="63"/>
      <c r="O941" s="63"/>
      <c r="P941" s="63"/>
      <c r="Q941" s="63"/>
      <c r="R941" s="32"/>
      <c r="S941" s="32"/>
      <c r="T941" s="32"/>
      <c r="U941" s="32"/>
      <c r="W941" s="32"/>
      <c r="X941" s="32"/>
    </row>
    <row r="942">
      <c r="A942" s="40"/>
      <c r="B942" s="40"/>
      <c r="C942" s="40"/>
      <c r="D942" s="78"/>
      <c r="E942" s="79"/>
      <c r="F942" s="40"/>
      <c r="G942" s="78"/>
      <c r="H942" s="78"/>
      <c r="I942" s="80"/>
      <c r="J942" s="80"/>
      <c r="K942" s="79"/>
      <c r="L942" s="25"/>
      <c r="M942" s="25"/>
      <c r="N942" s="63"/>
      <c r="O942" s="63"/>
      <c r="P942" s="63"/>
      <c r="Q942" s="63"/>
      <c r="R942" s="32"/>
      <c r="S942" s="32"/>
      <c r="T942" s="32"/>
      <c r="U942" s="32"/>
      <c r="W942" s="32"/>
      <c r="X942" s="32"/>
    </row>
    <row r="943">
      <c r="A943" s="40"/>
      <c r="B943" s="40"/>
      <c r="C943" s="40"/>
      <c r="D943" s="78"/>
      <c r="E943" s="79"/>
      <c r="F943" s="40"/>
      <c r="G943" s="78"/>
      <c r="H943" s="78"/>
      <c r="I943" s="80"/>
      <c r="J943" s="80"/>
      <c r="K943" s="79"/>
      <c r="L943" s="25"/>
      <c r="M943" s="25"/>
      <c r="N943" s="63"/>
      <c r="O943" s="63"/>
      <c r="P943" s="63"/>
      <c r="Q943" s="63"/>
      <c r="R943" s="32"/>
      <c r="S943" s="32"/>
      <c r="T943" s="32"/>
      <c r="U943" s="32"/>
      <c r="W943" s="32"/>
      <c r="X943" s="32"/>
    </row>
    <row r="944">
      <c r="A944" s="40"/>
      <c r="B944" s="40"/>
      <c r="C944" s="40"/>
      <c r="D944" s="78"/>
      <c r="E944" s="79"/>
      <c r="F944" s="40"/>
      <c r="G944" s="78"/>
      <c r="H944" s="78"/>
      <c r="I944" s="80"/>
      <c r="J944" s="80"/>
      <c r="K944" s="79"/>
      <c r="L944" s="25"/>
      <c r="M944" s="25"/>
      <c r="N944" s="63"/>
      <c r="O944" s="63"/>
      <c r="P944" s="63"/>
      <c r="Q944" s="63"/>
      <c r="R944" s="32"/>
      <c r="S944" s="32"/>
      <c r="T944" s="32"/>
      <c r="U944" s="32"/>
      <c r="W944" s="32"/>
      <c r="X944" s="32"/>
    </row>
    <row r="945">
      <c r="A945" s="40"/>
      <c r="B945" s="40"/>
      <c r="C945" s="40"/>
      <c r="D945" s="78"/>
      <c r="E945" s="79"/>
      <c r="F945" s="40"/>
      <c r="G945" s="78"/>
      <c r="H945" s="78"/>
      <c r="I945" s="80"/>
      <c r="J945" s="80"/>
      <c r="K945" s="79"/>
      <c r="L945" s="25"/>
      <c r="M945" s="25"/>
      <c r="N945" s="63"/>
      <c r="O945" s="63"/>
      <c r="P945" s="63"/>
      <c r="Q945" s="63"/>
      <c r="R945" s="32"/>
      <c r="S945" s="32"/>
      <c r="T945" s="32"/>
      <c r="U945" s="32"/>
      <c r="W945" s="32"/>
      <c r="X945" s="32"/>
    </row>
    <row r="946">
      <c r="A946" s="40"/>
      <c r="B946" s="40"/>
      <c r="C946" s="40"/>
      <c r="D946" s="78"/>
      <c r="E946" s="79"/>
      <c r="F946" s="40"/>
      <c r="G946" s="78"/>
      <c r="H946" s="78"/>
      <c r="I946" s="80"/>
      <c r="J946" s="80"/>
      <c r="K946" s="79"/>
      <c r="L946" s="25"/>
      <c r="M946" s="25"/>
      <c r="N946" s="63"/>
      <c r="O946" s="63"/>
      <c r="P946" s="63"/>
      <c r="Q946" s="63"/>
      <c r="R946" s="32"/>
      <c r="S946" s="32"/>
      <c r="T946" s="32"/>
      <c r="U946" s="32"/>
      <c r="W946" s="32"/>
      <c r="X946" s="32"/>
    </row>
    <row r="947">
      <c r="A947" s="40"/>
      <c r="B947" s="40"/>
      <c r="C947" s="40"/>
      <c r="D947" s="78"/>
      <c r="E947" s="79"/>
      <c r="F947" s="40"/>
      <c r="G947" s="78"/>
      <c r="H947" s="78"/>
      <c r="I947" s="80"/>
      <c r="J947" s="80"/>
      <c r="K947" s="79"/>
      <c r="L947" s="25"/>
      <c r="M947" s="25"/>
      <c r="N947" s="63"/>
      <c r="O947" s="63"/>
      <c r="P947" s="63"/>
      <c r="Q947" s="63"/>
      <c r="R947" s="32"/>
      <c r="S947" s="32"/>
      <c r="T947" s="32"/>
      <c r="U947" s="32"/>
      <c r="W947" s="32"/>
      <c r="X947" s="32"/>
    </row>
    <row r="948">
      <c r="A948" s="40"/>
      <c r="B948" s="40"/>
      <c r="C948" s="40"/>
      <c r="D948" s="78"/>
      <c r="E948" s="79"/>
      <c r="F948" s="40"/>
      <c r="G948" s="78"/>
      <c r="H948" s="78"/>
      <c r="I948" s="80"/>
      <c r="J948" s="80"/>
      <c r="K948" s="79"/>
      <c r="L948" s="25"/>
      <c r="M948" s="25"/>
      <c r="N948" s="63"/>
      <c r="O948" s="63"/>
      <c r="P948" s="63"/>
      <c r="Q948" s="63"/>
      <c r="R948" s="32"/>
      <c r="S948" s="32"/>
      <c r="T948" s="32"/>
      <c r="U948" s="32"/>
      <c r="W948" s="32"/>
      <c r="X948" s="32"/>
    </row>
    <row r="949">
      <c r="A949" s="40"/>
      <c r="B949" s="40"/>
      <c r="C949" s="40"/>
      <c r="D949" s="78"/>
      <c r="E949" s="79"/>
      <c r="F949" s="40"/>
      <c r="G949" s="78"/>
      <c r="H949" s="78"/>
      <c r="I949" s="80"/>
      <c r="J949" s="80"/>
      <c r="K949" s="79"/>
      <c r="L949" s="25"/>
      <c r="M949" s="25"/>
      <c r="N949" s="63"/>
      <c r="O949" s="63"/>
      <c r="P949" s="63"/>
      <c r="Q949" s="63"/>
      <c r="R949" s="32"/>
      <c r="S949" s="32"/>
      <c r="T949" s="32"/>
      <c r="U949" s="32"/>
      <c r="W949" s="32"/>
      <c r="X949" s="32"/>
    </row>
    <row r="950">
      <c r="A950" s="40"/>
      <c r="B950" s="40"/>
      <c r="C950" s="40"/>
      <c r="D950" s="78"/>
      <c r="E950" s="79"/>
      <c r="F950" s="40"/>
      <c r="G950" s="78"/>
      <c r="H950" s="78"/>
      <c r="I950" s="80"/>
      <c r="J950" s="80"/>
      <c r="K950" s="79"/>
      <c r="L950" s="25"/>
      <c r="M950" s="25"/>
      <c r="N950" s="63"/>
      <c r="O950" s="63"/>
      <c r="P950" s="63"/>
      <c r="Q950" s="63"/>
      <c r="R950" s="32"/>
      <c r="S950" s="32"/>
      <c r="T950" s="32"/>
      <c r="U950" s="32"/>
      <c r="W950" s="32"/>
      <c r="X950" s="32"/>
    </row>
    <row r="951">
      <c r="A951" s="40"/>
      <c r="B951" s="40"/>
      <c r="C951" s="40"/>
      <c r="D951" s="78"/>
      <c r="E951" s="79"/>
      <c r="F951" s="40"/>
      <c r="G951" s="78"/>
      <c r="H951" s="78"/>
      <c r="I951" s="80"/>
      <c r="J951" s="80"/>
      <c r="K951" s="79"/>
      <c r="L951" s="25"/>
      <c r="M951" s="25"/>
      <c r="N951" s="63"/>
      <c r="O951" s="63"/>
      <c r="P951" s="63"/>
      <c r="Q951" s="63"/>
      <c r="R951" s="32"/>
      <c r="S951" s="32"/>
      <c r="T951" s="32"/>
      <c r="U951" s="32"/>
      <c r="W951" s="32"/>
      <c r="X951" s="32"/>
    </row>
    <row r="952">
      <c r="A952" s="40"/>
      <c r="B952" s="40"/>
      <c r="C952" s="40"/>
      <c r="D952" s="78"/>
      <c r="E952" s="79"/>
      <c r="F952" s="40"/>
      <c r="G952" s="78"/>
      <c r="H952" s="78"/>
      <c r="I952" s="80"/>
      <c r="J952" s="80"/>
      <c r="K952" s="79"/>
      <c r="L952" s="25"/>
      <c r="M952" s="25"/>
      <c r="N952" s="63"/>
      <c r="O952" s="63"/>
      <c r="P952" s="63"/>
      <c r="Q952" s="63"/>
      <c r="R952" s="32"/>
      <c r="S952" s="32"/>
      <c r="T952" s="32"/>
      <c r="U952" s="32"/>
      <c r="W952" s="32"/>
      <c r="X952" s="32"/>
    </row>
    <row r="953">
      <c r="A953" s="40"/>
      <c r="B953" s="40"/>
      <c r="C953" s="40"/>
      <c r="D953" s="78"/>
      <c r="E953" s="79"/>
      <c r="F953" s="40"/>
      <c r="G953" s="78"/>
      <c r="H953" s="78"/>
      <c r="I953" s="80"/>
      <c r="J953" s="80"/>
      <c r="K953" s="79"/>
      <c r="L953" s="25"/>
      <c r="M953" s="25"/>
      <c r="N953" s="63"/>
      <c r="O953" s="63"/>
      <c r="P953" s="63"/>
      <c r="Q953" s="63"/>
      <c r="R953" s="32"/>
      <c r="S953" s="32"/>
      <c r="T953" s="32"/>
      <c r="U953" s="32"/>
      <c r="W953" s="32"/>
      <c r="X953" s="32"/>
    </row>
    <row r="954">
      <c r="A954" s="40"/>
      <c r="B954" s="40"/>
      <c r="C954" s="40"/>
      <c r="D954" s="78"/>
      <c r="E954" s="79"/>
      <c r="F954" s="40"/>
      <c r="G954" s="78"/>
      <c r="H954" s="78"/>
      <c r="I954" s="80"/>
      <c r="J954" s="80"/>
      <c r="K954" s="79"/>
      <c r="L954" s="25"/>
      <c r="M954" s="25"/>
      <c r="N954" s="63"/>
      <c r="O954" s="63"/>
      <c r="P954" s="63"/>
      <c r="Q954" s="63"/>
      <c r="R954" s="32"/>
      <c r="S954" s="32"/>
      <c r="T954" s="32"/>
      <c r="U954" s="32"/>
      <c r="W954" s="32"/>
      <c r="X954" s="32"/>
    </row>
    <row r="955">
      <c r="A955" s="40"/>
      <c r="B955" s="40"/>
      <c r="C955" s="40"/>
      <c r="D955" s="78"/>
      <c r="E955" s="79"/>
      <c r="F955" s="40"/>
      <c r="G955" s="78"/>
      <c r="H955" s="78"/>
      <c r="I955" s="80"/>
      <c r="J955" s="80"/>
      <c r="K955" s="79"/>
      <c r="L955" s="25"/>
      <c r="M955" s="25"/>
      <c r="N955" s="63"/>
      <c r="O955" s="63"/>
      <c r="P955" s="63"/>
      <c r="Q955" s="63"/>
      <c r="R955" s="32"/>
      <c r="S955" s="32"/>
      <c r="T955" s="32"/>
      <c r="U955" s="32"/>
      <c r="W955" s="32"/>
      <c r="X955" s="32"/>
    </row>
    <row r="956">
      <c r="A956" s="40"/>
      <c r="B956" s="40"/>
      <c r="C956" s="40"/>
      <c r="D956" s="78"/>
      <c r="E956" s="79"/>
      <c r="F956" s="40"/>
      <c r="G956" s="78"/>
      <c r="H956" s="78"/>
      <c r="I956" s="80"/>
      <c r="J956" s="80"/>
      <c r="K956" s="79"/>
      <c r="L956" s="25"/>
      <c r="M956" s="25"/>
      <c r="N956" s="63"/>
      <c r="O956" s="63"/>
      <c r="P956" s="63"/>
      <c r="Q956" s="63"/>
      <c r="R956" s="32"/>
      <c r="S956" s="32"/>
      <c r="T956" s="32"/>
      <c r="U956" s="32"/>
      <c r="W956" s="32"/>
      <c r="X956" s="32"/>
    </row>
    <row r="957">
      <c r="A957" s="40"/>
      <c r="B957" s="40"/>
      <c r="C957" s="40"/>
      <c r="D957" s="78"/>
      <c r="E957" s="79"/>
      <c r="F957" s="40"/>
      <c r="G957" s="78"/>
      <c r="H957" s="78"/>
      <c r="I957" s="80"/>
      <c r="J957" s="80"/>
      <c r="K957" s="79"/>
      <c r="L957" s="25"/>
      <c r="M957" s="25"/>
      <c r="N957" s="63"/>
      <c r="O957" s="63"/>
      <c r="P957" s="63"/>
      <c r="Q957" s="63"/>
      <c r="R957" s="32"/>
      <c r="S957" s="32"/>
      <c r="T957" s="32"/>
      <c r="U957" s="32"/>
      <c r="W957" s="32"/>
      <c r="X957" s="32"/>
    </row>
    <row r="958">
      <c r="A958" s="40"/>
      <c r="B958" s="40"/>
      <c r="C958" s="40"/>
      <c r="D958" s="78"/>
      <c r="E958" s="79"/>
      <c r="F958" s="40"/>
      <c r="G958" s="78"/>
      <c r="H958" s="78"/>
      <c r="I958" s="80"/>
      <c r="J958" s="80"/>
      <c r="K958" s="79"/>
      <c r="L958" s="25"/>
      <c r="M958" s="25"/>
      <c r="N958" s="63"/>
      <c r="O958" s="63"/>
      <c r="P958" s="63"/>
      <c r="Q958" s="63"/>
      <c r="R958" s="32"/>
      <c r="S958" s="32"/>
      <c r="T958" s="32"/>
      <c r="U958" s="32"/>
      <c r="W958" s="32"/>
      <c r="X958" s="32"/>
    </row>
    <row r="959">
      <c r="A959" s="40"/>
      <c r="B959" s="40"/>
      <c r="C959" s="40"/>
      <c r="D959" s="78"/>
      <c r="E959" s="79"/>
      <c r="F959" s="40"/>
      <c r="G959" s="78"/>
      <c r="H959" s="78"/>
      <c r="I959" s="80"/>
      <c r="J959" s="80"/>
      <c r="K959" s="79"/>
      <c r="L959" s="25"/>
      <c r="M959" s="25"/>
      <c r="N959" s="63"/>
      <c r="O959" s="63"/>
      <c r="P959" s="63"/>
      <c r="Q959" s="63"/>
      <c r="R959" s="32"/>
      <c r="S959" s="32"/>
      <c r="T959" s="32"/>
      <c r="U959" s="32"/>
      <c r="W959" s="32"/>
      <c r="X959" s="32"/>
    </row>
    <row r="960">
      <c r="A960" s="40"/>
      <c r="B960" s="40"/>
      <c r="C960" s="40"/>
      <c r="D960" s="78"/>
      <c r="E960" s="79"/>
      <c r="F960" s="40"/>
      <c r="G960" s="78"/>
      <c r="H960" s="78"/>
      <c r="I960" s="80"/>
      <c r="J960" s="80"/>
      <c r="K960" s="79"/>
      <c r="L960" s="25"/>
      <c r="M960" s="25"/>
      <c r="N960" s="63"/>
      <c r="O960" s="63"/>
      <c r="P960" s="63"/>
      <c r="Q960" s="63"/>
      <c r="R960" s="32"/>
      <c r="S960" s="32"/>
      <c r="T960" s="32"/>
      <c r="U960" s="32"/>
      <c r="W960" s="32"/>
      <c r="X960" s="32"/>
    </row>
    <row r="961">
      <c r="A961" s="40"/>
      <c r="B961" s="40"/>
      <c r="C961" s="40"/>
      <c r="D961" s="78"/>
      <c r="E961" s="79"/>
      <c r="F961" s="40"/>
      <c r="G961" s="78"/>
      <c r="H961" s="78"/>
      <c r="I961" s="80"/>
      <c r="J961" s="80"/>
      <c r="K961" s="79"/>
      <c r="L961" s="25"/>
      <c r="M961" s="25"/>
      <c r="N961" s="63"/>
      <c r="O961" s="63"/>
      <c r="P961" s="63"/>
      <c r="Q961" s="63"/>
      <c r="R961" s="32"/>
      <c r="S961" s="32"/>
      <c r="T961" s="32"/>
      <c r="U961" s="32"/>
      <c r="W961" s="32"/>
      <c r="X961" s="32"/>
    </row>
    <row r="962">
      <c r="A962" s="40"/>
      <c r="B962" s="40"/>
      <c r="C962" s="40"/>
      <c r="D962" s="78"/>
      <c r="E962" s="79"/>
      <c r="F962" s="40"/>
      <c r="G962" s="78"/>
      <c r="H962" s="78"/>
      <c r="I962" s="80"/>
      <c r="J962" s="80"/>
      <c r="K962" s="79"/>
      <c r="L962" s="25"/>
      <c r="M962" s="25"/>
      <c r="N962" s="63"/>
      <c r="O962" s="63"/>
      <c r="P962" s="63"/>
      <c r="Q962" s="63"/>
      <c r="R962" s="32"/>
      <c r="S962" s="32"/>
      <c r="T962" s="32"/>
      <c r="U962" s="32"/>
      <c r="W962" s="32"/>
      <c r="X962" s="32"/>
    </row>
    <row r="963">
      <c r="A963" s="40"/>
      <c r="B963" s="40"/>
      <c r="C963" s="40"/>
      <c r="D963" s="78"/>
      <c r="E963" s="79"/>
      <c r="F963" s="40"/>
      <c r="G963" s="78"/>
      <c r="H963" s="78"/>
      <c r="I963" s="80"/>
      <c r="J963" s="80"/>
      <c r="K963" s="79"/>
      <c r="L963" s="25"/>
      <c r="M963" s="25"/>
      <c r="N963" s="63"/>
      <c r="O963" s="63"/>
      <c r="P963" s="63"/>
      <c r="Q963" s="63"/>
      <c r="R963" s="32"/>
      <c r="S963" s="32"/>
      <c r="T963" s="32"/>
      <c r="U963" s="32"/>
      <c r="W963" s="32"/>
      <c r="X963" s="32"/>
    </row>
    <row r="964">
      <c r="A964" s="40"/>
      <c r="B964" s="40"/>
      <c r="C964" s="40"/>
      <c r="D964" s="78"/>
      <c r="E964" s="79"/>
      <c r="F964" s="40"/>
      <c r="G964" s="78"/>
      <c r="H964" s="78"/>
      <c r="I964" s="80"/>
      <c r="J964" s="80"/>
      <c r="K964" s="79"/>
      <c r="L964" s="25"/>
      <c r="M964" s="25"/>
      <c r="N964" s="63"/>
      <c r="O964" s="63"/>
      <c r="P964" s="63"/>
      <c r="Q964" s="63"/>
      <c r="R964" s="32"/>
      <c r="S964" s="32"/>
      <c r="T964" s="32"/>
      <c r="U964" s="32"/>
      <c r="W964" s="32"/>
      <c r="X964" s="32"/>
    </row>
    <row r="965">
      <c r="A965" s="40"/>
      <c r="B965" s="40"/>
      <c r="C965" s="40"/>
      <c r="D965" s="78"/>
      <c r="E965" s="79"/>
      <c r="F965" s="40"/>
      <c r="G965" s="78"/>
      <c r="H965" s="78"/>
      <c r="I965" s="80"/>
      <c r="J965" s="80"/>
      <c r="K965" s="79"/>
      <c r="L965" s="25"/>
      <c r="M965" s="25"/>
      <c r="N965" s="63"/>
      <c r="O965" s="63"/>
      <c r="P965" s="63"/>
      <c r="Q965" s="63"/>
      <c r="R965" s="32"/>
      <c r="S965" s="32"/>
      <c r="T965" s="32"/>
      <c r="U965" s="32"/>
      <c r="W965" s="32"/>
      <c r="X965" s="32"/>
    </row>
    <row r="966">
      <c r="A966" s="40"/>
      <c r="B966" s="40"/>
      <c r="C966" s="40"/>
      <c r="D966" s="78"/>
      <c r="E966" s="79"/>
      <c r="F966" s="40"/>
      <c r="G966" s="78"/>
      <c r="H966" s="78"/>
      <c r="I966" s="80"/>
      <c r="J966" s="80"/>
      <c r="K966" s="79"/>
      <c r="L966" s="25"/>
      <c r="M966" s="25"/>
      <c r="N966" s="63"/>
      <c r="O966" s="63"/>
      <c r="P966" s="63"/>
      <c r="Q966" s="63"/>
      <c r="R966" s="32"/>
      <c r="S966" s="32"/>
      <c r="T966" s="32"/>
      <c r="U966" s="32"/>
      <c r="W966" s="32"/>
      <c r="X966" s="32"/>
    </row>
    <row r="967">
      <c r="A967" s="40"/>
      <c r="B967" s="40"/>
      <c r="C967" s="40"/>
      <c r="D967" s="78"/>
      <c r="E967" s="79"/>
      <c r="F967" s="40"/>
      <c r="G967" s="78"/>
      <c r="H967" s="78"/>
      <c r="I967" s="80"/>
      <c r="J967" s="80"/>
      <c r="K967" s="79"/>
      <c r="L967" s="25"/>
      <c r="M967" s="25"/>
      <c r="N967" s="63"/>
      <c r="O967" s="63"/>
      <c r="P967" s="63"/>
      <c r="Q967" s="63"/>
      <c r="R967" s="32"/>
      <c r="S967" s="32"/>
      <c r="T967" s="32"/>
      <c r="U967" s="32"/>
      <c r="W967" s="32"/>
      <c r="X967" s="32"/>
    </row>
    <row r="968">
      <c r="A968" s="40"/>
      <c r="B968" s="40"/>
      <c r="C968" s="40"/>
      <c r="D968" s="78"/>
      <c r="E968" s="79"/>
      <c r="F968" s="40"/>
      <c r="G968" s="78"/>
      <c r="H968" s="78"/>
      <c r="I968" s="80"/>
      <c r="J968" s="80"/>
      <c r="K968" s="79"/>
      <c r="L968" s="25"/>
      <c r="M968" s="25"/>
      <c r="N968" s="63"/>
      <c r="O968" s="63"/>
      <c r="P968" s="63"/>
      <c r="Q968" s="63"/>
      <c r="R968" s="32"/>
      <c r="S968" s="32"/>
      <c r="T968" s="32"/>
      <c r="U968" s="32"/>
      <c r="W968" s="32"/>
      <c r="X968" s="32"/>
    </row>
    <row r="969">
      <c r="A969" s="40"/>
      <c r="B969" s="40"/>
      <c r="C969" s="40"/>
      <c r="D969" s="78"/>
      <c r="E969" s="79"/>
      <c r="F969" s="40"/>
      <c r="G969" s="78"/>
      <c r="H969" s="78"/>
      <c r="I969" s="80"/>
      <c r="J969" s="80"/>
      <c r="K969" s="79"/>
      <c r="L969" s="25"/>
      <c r="M969" s="25"/>
      <c r="N969" s="63"/>
      <c r="O969" s="63"/>
      <c r="P969" s="63"/>
      <c r="Q969" s="63"/>
      <c r="R969" s="32"/>
      <c r="S969" s="32"/>
      <c r="T969" s="32"/>
      <c r="U969" s="32"/>
      <c r="W969" s="32"/>
      <c r="X969" s="32"/>
    </row>
    <row r="970">
      <c r="A970" s="40"/>
      <c r="B970" s="40"/>
      <c r="C970" s="40"/>
      <c r="D970" s="78"/>
      <c r="E970" s="79"/>
      <c r="F970" s="40"/>
      <c r="G970" s="78"/>
      <c r="H970" s="78"/>
      <c r="I970" s="80"/>
      <c r="J970" s="80"/>
      <c r="K970" s="79"/>
      <c r="L970" s="25"/>
      <c r="M970" s="25"/>
      <c r="N970" s="63"/>
      <c r="O970" s="63"/>
      <c r="P970" s="63"/>
      <c r="Q970" s="63"/>
      <c r="R970" s="32"/>
      <c r="S970" s="32"/>
      <c r="T970" s="32"/>
      <c r="U970" s="32"/>
      <c r="W970" s="32"/>
      <c r="X970" s="32"/>
    </row>
    <row r="971">
      <c r="A971" s="40"/>
      <c r="B971" s="40"/>
      <c r="C971" s="40"/>
      <c r="D971" s="78"/>
      <c r="E971" s="79"/>
      <c r="F971" s="40"/>
      <c r="G971" s="78"/>
      <c r="H971" s="78"/>
      <c r="I971" s="80"/>
      <c r="J971" s="80"/>
      <c r="K971" s="79"/>
      <c r="L971" s="25"/>
      <c r="M971" s="25"/>
      <c r="N971" s="63"/>
      <c r="O971" s="63"/>
      <c r="P971" s="63"/>
      <c r="Q971" s="63"/>
      <c r="R971" s="32"/>
      <c r="S971" s="32"/>
      <c r="T971" s="32"/>
      <c r="U971" s="32"/>
      <c r="W971" s="32"/>
      <c r="X971" s="32"/>
    </row>
    <row r="972">
      <c r="A972" s="40"/>
      <c r="B972" s="40"/>
      <c r="C972" s="40"/>
      <c r="D972" s="78"/>
      <c r="E972" s="79"/>
      <c r="F972" s="40"/>
      <c r="G972" s="78"/>
      <c r="H972" s="78"/>
      <c r="I972" s="80"/>
      <c r="J972" s="80"/>
      <c r="K972" s="79"/>
      <c r="L972" s="25"/>
      <c r="M972" s="25"/>
      <c r="N972" s="63"/>
      <c r="O972" s="63"/>
      <c r="P972" s="63"/>
      <c r="Q972" s="63"/>
      <c r="R972" s="32"/>
      <c r="S972" s="32"/>
      <c r="T972" s="32"/>
      <c r="U972" s="32"/>
      <c r="W972" s="32"/>
      <c r="X972" s="32"/>
    </row>
    <row r="973">
      <c r="A973" s="40"/>
      <c r="B973" s="40"/>
      <c r="C973" s="40"/>
      <c r="D973" s="78"/>
      <c r="E973" s="79"/>
      <c r="F973" s="40"/>
      <c r="G973" s="78"/>
      <c r="H973" s="78"/>
      <c r="I973" s="80"/>
      <c r="J973" s="80"/>
      <c r="K973" s="79"/>
      <c r="L973" s="25"/>
      <c r="M973" s="25"/>
      <c r="N973" s="63"/>
      <c r="O973" s="63"/>
      <c r="P973" s="63"/>
      <c r="Q973" s="63"/>
      <c r="R973" s="32"/>
      <c r="S973" s="32"/>
      <c r="T973" s="32"/>
      <c r="U973" s="32"/>
      <c r="W973" s="32"/>
      <c r="X973" s="32"/>
    </row>
    <row r="974">
      <c r="A974" s="40"/>
      <c r="B974" s="40"/>
      <c r="C974" s="40"/>
      <c r="D974" s="78"/>
      <c r="E974" s="79"/>
      <c r="F974" s="40"/>
      <c r="G974" s="78"/>
      <c r="H974" s="78"/>
      <c r="I974" s="80"/>
      <c r="J974" s="80"/>
      <c r="K974" s="79"/>
      <c r="L974" s="25"/>
      <c r="M974" s="25"/>
      <c r="N974" s="63"/>
      <c r="O974" s="63"/>
      <c r="P974" s="63"/>
      <c r="Q974" s="63"/>
      <c r="R974" s="32"/>
      <c r="S974" s="32"/>
      <c r="T974" s="32"/>
      <c r="U974" s="32"/>
      <c r="W974" s="32"/>
      <c r="X974" s="32"/>
    </row>
    <row r="975">
      <c r="A975" s="40"/>
      <c r="B975" s="40"/>
      <c r="C975" s="40"/>
      <c r="D975" s="78"/>
      <c r="E975" s="79"/>
      <c r="F975" s="40"/>
      <c r="G975" s="78"/>
      <c r="H975" s="78"/>
      <c r="I975" s="80"/>
      <c r="J975" s="80"/>
      <c r="K975" s="79"/>
      <c r="L975" s="25"/>
      <c r="M975" s="25"/>
      <c r="N975" s="63"/>
      <c r="O975" s="63"/>
      <c r="P975" s="63"/>
      <c r="Q975" s="63"/>
      <c r="R975" s="32"/>
      <c r="S975" s="32"/>
      <c r="T975" s="32"/>
      <c r="U975" s="32"/>
      <c r="W975" s="32"/>
      <c r="X975" s="32"/>
    </row>
    <row r="976">
      <c r="A976" s="40"/>
      <c r="B976" s="40"/>
      <c r="C976" s="40"/>
      <c r="D976" s="78"/>
      <c r="E976" s="79"/>
      <c r="F976" s="40"/>
      <c r="G976" s="78"/>
      <c r="H976" s="78"/>
      <c r="I976" s="80"/>
      <c r="J976" s="80"/>
      <c r="K976" s="79"/>
      <c r="L976" s="25"/>
      <c r="M976" s="25"/>
      <c r="N976" s="63"/>
      <c r="O976" s="63"/>
      <c r="P976" s="63"/>
      <c r="Q976" s="63"/>
      <c r="R976" s="32"/>
      <c r="S976" s="32"/>
      <c r="T976" s="32"/>
      <c r="U976" s="32"/>
      <c r="W976" s="32"/>
      <c r="X976" s="32"/>
    </row>
    <row r="977">
      <c r="A977" s="40"/>
      <c r="B977" s="40"/>
      <c r="C977" s="40"/>
      <c r="D977" s="78"/>
      <c r="E977" s="79"/>
      <c r="F977" s="40"/>
      <c r="G977" s="78"/>
      <c r="H977" s="78"/>
      <c r="I977" s="80"/>
      <c r="J977" s="80"/>
      <c r="K977" s="79"/>
      <c r="L977" s="25"/>
      <c r="M977" s="25"/>
      <c r="N977" s="63"/>
      <c r="O977" s="63"/>
      <c r="P977" s="63"/>
      <c r="Q977" s="63"/>
      <c r="R977" s="32"/>
      <c r="S977" s="32"/>
      <c r="T977" s="32"/>
      <c r="U977" s="32"/>
      <c r="W977" s="32"/>
      <c r="X977" s="32"/>
    </row>
    <row r="978">
      <c r="A978" s="40"/>
      <c r="B978" s="40"/>
      <c r="C978" s="40"/>
      <c r="D978" s="78"/>
      <c r="E978" s="79"/>
      <c r="F978" s="40"/>
      <c r="G978" s="78"/>
      <c r="H978" s="78"/>
      <c r="I978" s="80"/>
      <c r="J978" s="80"/>
      <c r="K978" s="79"/>
      <c r="L978" s="25"/>
      <c r="M978" s="25"/>
      <c r="N978" s="63"/>
      <c r="O978" s="63"/>
      <c r="P978" s="63"/>
      <c r="Q978" s="63"/>
      <c r="R978" s="32"/>
      <c r="S978" s="32"/>
      <c r="T978" s="32"/>
      <c r="U978" s="32"/>
      <c r="W978" s="32"/>
      <c r="X978" s="32"/>
    </row>
    <row r="979">
      <c r="A979" s="40"/>
      <c r="B979" s="40"/>
      <c r="C979" s="40"/>
      <c r="D979" s="78"/>
      <c r="E979" s="79"/>
      <c r="F979" s="40"/>
      <c r="G979" s="78"/>
      <c r="H979" s="78"/>
      <c r="I979" s="80"/>
      <c r="J979" s="80"/>
      <c r="K979" s="79"/>
      <c r="L979" s="25"/>
      <c r="M979" s="25"/>
      <c r="N979" s="63"/>
      <c r="O979" s="63"/>
      <c r="P979" s="63"/>
      <c r="Q979" s="63"/>
      <c r="R979" s="32"/>
      <c r="S979" s="32"/>
      <c r="T979" s="32"/>
      <c r="U979" s="32"/>
      <c r="W979" s="32"/>
      <c r="X979" s="32"/>
    </row>
    <row r="980">
      <c r="A980" s="40"/>
      <c r="B980" s="40"/>
      <c r="C980" s="40"/>
      <c r="D980" s="78"/>
      <c r="E980" s="79"/>
      <c r="F980" s="40"/>
      <c r="G980" s="78"/>
      <c r="H980" s="78"/>
      <c r="I980" s="80"/>
      <c r="J980" s="80"/>
      <c r="K980" s="79"/>
      <c r="L980" s="25"/>
      <c r="M980" s="25"/>
      <c r="N980" s="63"/>
      <c r="O980" s="63"/>
      <c r="P980" s="63"/>
      <c r="Q980" s="63"/>
      <c r="R980" s="32"/>
      <c r="S980" s="32"/>
      <c r="T980" s="32"/>
      <c r="U980" s="32"/>
      <c r="W980" s="32"/>
      <c r="X980" s="32"/>
    </row>
    <row r="981">
      <c r="A981" s="40"/>
      <c r="B981" s="40"/>
      <c r="C981" s="40"/>
      <c r="D981" s="78"/>
      <c r="E981" s="79"/>
      <c r="F981" s="40"/>
      <c r="G981" s="78"/>
      <c r="H981" s="78"/>
      <c r="I981" s="80"/>
      <c r="J981" s="80"/>
      <c r="K981" s="79"/>
      <c r="L981" s="25"/>
      <c r="M981" s="25"/>
      <c r="N981" s="63"/>
      <c r="O981" s="63"/>
      <c r="P981" s="63"/>
      <c r="Q981" s="63"/>
      <c r="R981" s="32"/>
      <c r="S981" s="32"/>
      <c r="T981" s="32"/>
      <c r="U981" s="32"/>
      <c r="W981" s="32"/>
      <c r="X981" s="32"/>
    </row>
    <row r="982">
      <c r="A982" s="40"/>
      <c r="B982" s="40"/>
      <c r="C982" s="40"/>
      <c r="D982" s="78"/>
      <c r="E982" s="79"/>
      <c r="F982" s="40"/>
      <c r="G982" s="78"/>
      <c r="H982" s="78"/>
      <c r="I982" s="80"/>
      <c r="J982" s="80"/>
      <c r="K982" s="79"/>
      <c r="L982" s="25"/>
      <c r="M982" s="25"/>
      <c r="N982" s="63"/>
      <c r="O982" s="63"/>
      <c r="P982" s="63"/>
      <c r="Q982" s="63"/>
      <c r="R982" s="32"/>
      <c r="S982" s="32"/>
      <c r="T982" s="32"/>
      <c r="U982" s="32"/>
      <c r="W982" s="32"/>
      <c r="X982" s="32"/>
    </row>
    <row r="983">
      <c r="A983" s="40"/>
      <c r="B983" s="40"/>
      <c r="C983" s="40"/>
      <c r="D983" s="78"/>
      <c r="E983" s="79"/>
      <c r="F983" s="40"/>
      <c r="G983" s="78"/>
      <c r="H983" s="78"/>
      <c r="I983" s="80"/>
      <c r="J983" s="80"/>
      <c r="K983" s="79"/>
      <c r="L983" s="25"/>
      <c r="M983" s="25"/>
      <c r="N983" s="63"/>
      <c r="O983" s="63"/>
      <c r="P983" s="63"/>
      <c r="Q983" s="63"/>
      <c r="R983" s="32"/>
      <c r="S983" s="32"/>
      <c r="T983" s="32"/>
      <c r="U983" s="32"/>
      <c r="W983" s="32"/>
      <c r="X983" s="32"/>
    </row>
    <row r="984">
      <c r="A984" s="40"/>
      <c r="B984" s="40"/>
      <c r="C984" s="40"/>
      <c r="D984" s="78"/>
      <c r="E984" s="79"/>
      <c r="F984" s="40"/>
      <c r="G984" s="78"/>
      <c r="H984" s="78"/>
      <c r="I984" s="80"/>
      <c r="J984" s="80"/>
      <c r="K984" s="79"/>
      <c r="L984" s="25"/>
      <c r="M984" s="25"/>
      <c r="N984" s="63"/>
      <c r="O984" s="63"/>
      <c r="P984" s="63"/>
      <c r="Q984" s="63"/>
      <c r="R984" s="32"/>
      <c r="S984" s="32"/>
      <c r="T984" s="32"/>
      <c r="U984" s="32"/>
      <c r="W984" s="32"/>
      <c r="X984" s="32"/>
    </row>
    <row r="985">
      <c r="A985" s="40"/>
      <c r="B985" s="40"/>
      <c r="C985" s="40"/>
      <c r="D985" s="78"/>
      <c r="E985" s="79"/>
      <c r="F985" s="40"/>
      <c r="G985" s="78"/>
      <c r="H985" s="78"/>
      <c r="I985" s="80"/>
      <c r="J985" s="80"/>
      <c r="K985" s="79"/>
      <c r="L985" s="25"/>
      <c r="M985" s="25"/>
      <c r="N985" s="63"/>
      <c r="O985" s="63"/>
      <c r="P985" s="63"/>
      <c r="Q985" s="63"/>
      <c r="R985" s="32"/>
      <c r="S985" s="32"/>
      <c r="T985" s="32"/>
      <c r="U985" s="32"/>
      <c r="W985" s="32"/>
      <c r="X985" s="32"/>
    </row>
    <row r="986">
      <c r="A986" s="40"/>
      <c r="B986" s="40"/>
      <c r="C986" s="40"/>
      <c r="D986" s="78"/>
      <c r="E986" s="79"/>
      <c r="F986" s="40"/>
      <c r="G986" s="78"/>
      <c r="H986" s="78"/>
      <c r="I986" s="80"/>
      <c r="J986" s="80"/>
      <c r="K986" s="79"/>
      <c r="L986" s="25"/>
      <c r="M986" s="25"/>
      <c r="N986" s="63"/>
      <c r="O986" s="63"/>
      <c r="P986" s="63"/>
      <c r="Q986" s="63"/>
      <c r="R986" s="32"/>
      <c r="S986" s="32"/>
      <c r="T986" s="32"/>
      <c r="U986" s="32"/>
      <c r="W986" s="32"/>
      <c r="X986" s="32"/>
    </row>
    <row r="987">
      <c r="A987" s="40"/>
      <c r="B987" s="40"/>
      <c r="C987" s="40"/>
      <c r="D987" s="78"/>
      <c r="E987" s="79"/>
      <c r="F987" s="40"/>
      <c r="G987" s="78"/>
      <c r="H987" s="78"/>
      <c r="I987" s="80"/>
      <c r="J987" s="80"/>
      <c r="K987" s="79"/>
      <c r="L987" s="25"/>
      <c r="M987" s="25"/>
      <c r="N987" s="63"/>
      <c r="O987" s="63"/>
      <c r="P987" s="63"/>
      <c r="Q987" s="63"/>
      <c r="R987" s="32"/>
      <c r="S987" s="32"/>
      <c r="T987" s="32"/>
      <c r="U987" s="32"/>
      <c r="W987" s="32"/>
      <c r="X987" s="32"/>
    </row>
    <row r="988">
      <c r="A988" s="40"/>
      <c r="B988" s="40"/>
      <c r="C988" s="40"/>
      <c r="D988" s="78"/>
      <c r="E988" s="79"/>
      <c r="F988" s="40"/>
      <c r="G988" s="78"/>
      <c r="H988" s="78"/>
      <c r="I988" s="80"/>
      <c r="J988" s="80"/>
      <c r="K988" s="79"/>
      <c r="L988" s="25"/>
      <c r="M988" s="25"/>
      <c r="N988" s="63"/>
      <c r="O988" s="63"/>
      <c r="P988" s="63"/>
      <c r="Q988" s="63"/>
      <c r="R988" s="32"/>
      <c r="S988" s="32"/>
      <c r="T988" s="32"/>
      <c r="U988" s="32"/>
      <c r="W988" s="32"/>
      <c r="X988" s="32"/>
    </row>
    <row r="989">
      <c r="A989" s="40"/>
      <c r="B989" s="40"/>
      <c r="C989" s="40"/>
      <c r="D989" s="78"/>
      <c r="E989" s="79"/>
      <c r="F989" s="40"/>
      <c r="G989" s="78"/>
      <c r="H989" s="78"/>
      <c r="I989" s="80"/>
      <c r="J989" s="80"/>
      <c r="K989" s="79"/>
      <c r="L989" s="25"/>
      <c r="M989" s="25"/>
      <c r="N989" s="63"/>
      <c r="O989" s="63"/>
      <c r="P989" s="63"/>
      <c r="Q989" s="63"/>
      <c r="R989" s="32"/>
      <c r="S989" s="32"/>
      <c r="T989" s="32"/>
      <c r="U989" s="32"/>
      <c r="W989" s="32"/>
      <c r="X989" s="32"/>
    </row>
    <row r="990">
      <c r="A990" s="40"/>
      <c r="B990" s="40"/>
      <c r="C990" s="40"/>
      <c r="D990" s="78"/>
      <c r="E990" s="79"/>
      <c r="F990" s="40"/>
      <c r="G990" s="78"/>
      <c r="H990" s="78"/>
      <c r="I990" s="80"/>
      <c r="J990" s="80"/>
      <c r="K990" s="79"/>
      <c r="L990" s="25"/>
      <c r="M990" s="25"/>
      <c r="N990" s="63"/>
      <c r="O990" s="63"/>
      <c r="P990" s="63"/>
      <c r="Q990" s="63"/>
      <c r="R990" s="32"/>
      <c r="S990" s="32"/>
      <c r="T990" s="32"/>
      <c r="U990" s="32"/>
      <c r="W990" s="32"/>
      <c r="X990" s="32"/>
    </row>
    <row r="991">
      <c r="A991" s="40"/>
      <c r="B991" s="40"/>
      <c r="C991" s="40"/>
      <c r="D991" s="78"/>
      <c r="E991" s="79"/>
      <c r="F991" s="40"/>
      <c r="G991" s="78"/>
      <c r="H991" s="78"/>
      <c r="I991" s="80"/>
      <c r="J991" s="80"/>
      <c r="K991" s="79"/>
      <c r="L991" s="25"/>
      <c r="M991" s="25"/>
      <c r="N991" s="63"/>
      <c r="O991" s="63"/>
      <c r="P991" s="63"/>
      <c r="Q991" s="63"/>
      <c r="R991" s="32"/>
      <c r="S991" s="32"/>
      <c r="T991" s="32"/>
      <c r="U991" s="32"/>
      <c r="W991" s="32"/>
      <c r="X991" s="32"/>
    </row>
    <row r="992">
      <c r="A992" s="40"/>
      <c r="B992" s="40"/>
      <c r="C992" s="40"/>
      <c r="D992" s="78"/>
      <c r="E992" s="79"/>
      <c r="F992" s="40"/>
      <c r="G992" s="78"/>
      <c r="H992" s="78"/>
      <c r="I992" s="80"/>
      <c r="J992" s="80"/>
      <c r="K992" s="79"/>
      <c r="L992" s="25"/>
      <c r="M992" s="25"/>
      <c r="N992" s="63"/>
      <c r="O992" s="63"/>
      <c r="P992" s="63"/>
      <c r="Q992" s="63"/>
      <c r="R992" s="32"/>
      <c r="S992" s="32"/>
      <c r="T992" s="32"/>
      <c r="U992" s="32"/>
      <c r="W992" s="32"/>
      <c r="X992" s="32"/>
    </row>
    <row r="993">
      <c r="A993" s="40"/>
      <c r="B993" s="40"/>
      <c r="C993" s="40"/>
      <c r="D993" s="78"/>
      <c r="E993" s="79"/>
      <c r="F993" s="40"/>
      <c r="G993" s="78"/>
      <c r="H993" s="78"/>
      <c r="I993" s="80"/>
      <c r="J993" s="80"/>
      <c r="K993" s="79"/>
      <c r="L993" s="25"/>
      <c r="M993" s="25"/>
      <c r="N993" s="63"/>
      <c r="O993" s="63"/>
      <c r="P993" s="63"/>
      <c r="Q993" s="63"/>
      <c r="R993" s="32"/>
      <c r="S993" s="32"/>
      <c r="T993" s="32"/>
      <c r="U993" s="32"/>
      <c r="W993" s="32"/>
      <c r="X993" s="32"/>
    </row>
    <row r="994">
      <c r="A994" s="40"/>
      <c r="B994" s="40"/>
      <c r="C994" s="40"/>
      <c r="D994" s="78"/>
      <c r="E994" s="79"/>
      <c r="F994" s="40"/>
      <c r="G994" s="78"/>
      <c r="H994" s="78"/>
      <c r="I994" s="80"/>
      <c r="J994" s="80"/>
      <c r="K994" s="79"/>
      <c r="L994" s="25"/>
      <c r="M994" s="25"/>
      <c r="N994" s="63"/>
      <c r="O994" s="63"/>
      <c r="P994" s="63"/>
      <c r="Q994" s="63"/>
      <c r="R994" s="32"/>
      <c r="S994" s="32"/>
      <c r="T994" s="32"/>
      <c r="U994" s="32"/>
      <c r="W994" s="32"/>
      <c r="X994" s="32"/>
    </row>
    <row r="995">
      <c r="A995" s="40"/>
      <c r="B995" s="40"/>
      <c r="C995" s="40"/>
      <c r="D995" s="78"/>
      <c r="E995" s="79"/>
      <c r="F995" s="40"/>
      <c r="G995" s="78"/>
      <c r="H995" s="78"/>
      <c r="I995" s="80"/>
      <c r="J995" s="80"/>
      <c r="K995" s="79"/>
      <c r="L995" s="25"/>
      <c r="M995" s="25"/>
      <c r="N995" s="63"/>
      <c r="O995" s="63"/>
      <c r="P995" s="63"/>
      <c r="Q995" s="63"/>
      <c r="R995" s="32"/>
      <c r="S995" s="32"/>
      <c r="T995" s="32"/>
      <c r="U995" s="32"/>
      <c r="W995" s="32"/>
      <c r="X995" s="32"/>
    </row>
    <row r="996">
      <c r="A996" s="40"/>
      <c r="B996" s="40"/>
      <c r="C996" s="40"/>
      <c r="D996" s="78"/>
      <c r="E996" s="79"/>
      <c r="F996" s="40"/>
      <c r="G996" s="78"/>
      <c r="H996" s="78"/>
      <c r="I996" s="80"/>
      <c r="J996" s="80"/>
      <c r="K996" s="79"/>
      <c r="L996" s="25"/>
      <c r="M996" s="25"/>
      <c r="N996" s="63"/>
      <c r="O996" s="63"/>
      <c r="P996" s="63"/>
      <c r="Q996" s="63"/>
      <c r="R996" s="32"/>
      <c r="S996" s="32"/>
      <c r="T996" s="32"/>
      <c r="U996" s="32"/>
      <c r="W996" s="32"/>
      <c r="X996" s="32"/>
    </row>
    <row r="997">
      <c r="A997" s="40"/>
      <c r="B997" s="40"/>
      <c r="C997" s="40"/>
      <c r="D997" s="78"/>
      <c r="E997" s="79"/>
      <c r="F997" s="40"/>
      <c r="G997" s="78"/>
      <c r="H997" s="78"/>
      <c r="I997" s="80"/>
      <c r="J997" s="80"/>
      <c r="K997" s="79"/>
      <c r="L997" s="25"/>
      <c r="M997" s="25"/>
      <c r="N997" s="63"/>
      <c r="O997" s="63"/>
      <c r="P997" s="63"/>
      <c r="Q997" s="63"/>
      <c r="R997" s="32"/>
      <c r="S997" s="32"/>
      <c r="T997" s="32"/>
      <c r="U997" s="32"/>
      <c r="W997" s="32"/>
      <c r="X997" s="32"/>
    </row>
    <row r="998">
      <c r="A998" s="40"/>
      <c r="B998" s="40"/>
      <c r="C998" s="40"/>
      <c r="D998" s="78"/>
      <c r="E998" s="79"/>
      <c r="F998" s="40"/>
      <c r="G998" s="78"/>
      <c r="H998" s="78"/>
      <c r="I998" s="80"/>
      <c r="J998" s="80"/>
      <c r="K998" s="79"/>
      <c r="L998" s="25"/>
      <c r="M998" s="25"/>
      <c r="N998" s="63"/>
      <c r="O998" s="63"/>
      <c r="P998" s="63"/>
      <c r="Q998" s="63"/>
      <c r="R998" s="32"/>
      <c r="S998" s="32"/>
      <c r="T998" s="32"/>
      <c r="U998" s="32"/>
      <c r="W998" s="32"/>
      <c r="X998" s="32"/>
    </row>
    <row r="999">
      <c r="A999" s="40"/>
      <c r="B999" s="40"/>
      <c r="C999" s="40"/>
      <c r="D999" s="78"/>
      <c r="E999" s="79"/>
      <c r="F999" s="40"/>
      <c r="G999" s="78"/>
      <c r="H999" s="78"/>
      <c r="I999" s="80"/>
      <c r="J999" s="80"/>
      <c r="K999" s="79"/>
      <c r="L999" s="25"/>
      <c r="M999" s="25"/>
      <c r="N999" s="63"/>
      <c r="O999" s="63"/>
      <c r="P999" s="63"/>
      <c r="Q999" s="63"/>
      <c r="R999" s="32"/>
      <c r="S999" s="32"/>
      <c r="T999" s="32"/>
      <c r="U999" s="32"/>
      <c r="W999" s="32"/>
      <c r="X999" s="32"/>
    </row>
    <row r="1000">
      <c r="A1000" s="40"/>
      <c r="B1000" s="40"/>
      <c r="C1000" s="40"/>
      <c r="D1000" s="78"/>
      <c r="E1000" s="79"/>
      <c r="F1000" s="40"/>
      <c r="G1000" s="78"/>
      <c r="H1000" s="78"/>
      <c r="I1000" s="80"/>
      <c r="J1000" s="80"/>
      <c r="K1000" s="79"/>
      <c r="L1000" s="25"/>
      <c r="M1000" s="25"/>
      <c r="N1000" s="63"/>
      <c r="O1000" s="63"/>
      <c r="P1000" s="63"/>
      <c r="Q1000" s="63"/>
      <c r="R1000" s="32"/>
      <c r="S1000" s="32"/>
      <c r="T1000" s="32"/>
      <c r="U1000" s="32"/>
      <c r="W1000" s="32"/>
      <c r="X1000" s="32"/>
    </row>
    <row r="1001">
      <c r="A1001" s="40"/>
      <c r="B1001" s="40"/>
      <c r="C1001" s="40"/>
      <c r="D1001" s="78"/>
      <c r="E1001" s="79"/>
      <c r="F1001" s="40"/>
      <c r="G1001" s="78"/>
      <c r="H1001" s="78"/>
      <c r="I1001" s="80"/>
      <c r="J1001" s="80"/>
      <c r="K1001" s="79"/>
      <c r="L1001" s="25"/>
      <c r="M1001" s="25"/>
      <c r="N1001" s="63"/>
      <c r="O1001" s="63"/>
      <c r="P1001" s="63"/>
      <c r="Q1001" s="63"/>
      <c r="R1001" s="32"/>
      <c r="S1001" s="32"/>
      <c r="T1001" s="32"/>
      <c r="U1001" s="32"/>
      <c r="W1001" s="32"/>
      <c r="X1001" s="32"/>
    </row>
    <row r="1002">
      <c r="A1002" s="40"/>
      <c r="B1002" s="40"/>
      <c r="C1002" s="40"/>
      <c r="D1002" s="78"/>
      <c r="E1002" s="79"/>
      <c r="F1002" s="40"/>
      <c r="G1002" s="78"/>
      <c r="H1002" s="78"/>
      <c r="I1002" s="80"/>
      <c r="J1002" s="80"/>
      <c r="K1002" s="79"/>
      <c r="L1002" s="25"/>
      <c r="M1002" s="25"/>
      <c r="N1002" s="63"/>
      <c r="O1002" s="63"/>
      <c r="P1002" s="63"/>
      <c r="Q1002" s="63"/>
      <c r="R1002" s="32"/>
      <c r="S1002" s="32"/>
      <c r="T1002" s="32"/>
      <c r="U1002" s="32"/>
      <c r="W1002" s="32"/>
      <c r="X1002" s="32"/>
    </row>
    <row r="1003">
      <c r="A1003" s="40"/>
      <c r="B1003" s="40"/>
      <c r="C1003" s="40"/>
      <c r="D1003" s="78"/>
      <c r="E1003" s="79"/>
      <c r="F1003" s="40"/>
      <c r="G1003" s="78"/>
      <c r="H1003" s="78"/>
      <c r="I1003" s="80"/>
      <c r="J1003" s="80"/>
      <c r="K1003" s="79"/>
      <c r="L1003" s="25"/>
      <c r="M1003" s="25"/>
      <c r="N1003" s="63"/>
      <c r="O1003" s="63"/>
      <c r="P1003" s="63"/>
      <c r="Q1003" s="63"/>
      <c r="R1003" s="32"/>
      <c r="S1003" s="32"/>
      <c r="T1003" s="32"/>
      <c r="U1003" s="32"/>
      <c r="W1003" s="32"/>
      <c r="X1003" s="32"/>
    </row>
    <row r="1004">
      <c r="A1004" s="40"/>
      <c r="B1004" s="40"/>
      <c r="C1004" s="40"/>
      <c r="D1004" s="78"/>
      <c r="E1004" s="79"/>
      <c r="F1004" s="40"/>
      <c r="G1004" s="78"/>
      <c r="H1004" s="78"/>
      <c r="I1004" s="80"/>
      <c r="J1004" s="80"/>
      <c r="K1004" s="79"/>
      <c r="L1004" s="25"/>
      <c r="M1004" s="25"/>
      <c r="N1004" s="63"/>
      <c r="O1004" s="63"/>
      <c r="P1004" s="63"/>
      <c r="Q1004" s="63"/>
      <c r="R1004" s="32"/>
      <c r="S1004" s="32"/>
      <c r="T1004" s="32"/>
      <c r="U1004" s="32"/>
      <c r="W1004" s="32"/>
      <c r="X1004" s="32"/>
    </row>
    <row r="1005">
      <c r="A1005" s="40"/>
      <c r="B1005" s="40"/>
      <c r="C1005" s="40"/>
      <c r="D1005" s="78"/>
      <c r="E1005" s="79"/>
      <c r="F1005" s="40"/>
      <c r="G1005" s="78"/>
      <c r="H1005" s="78"/>
      <c r="I1005" s="80"/>
      <c r="J1005" s="80"/>
      <c r="K1005" s="79"/>
      <c r="L1005" s="25"/>
      <c r="M1005" s="25"/>
      <c r="N1005" s="63"/>
      <c r="O1005" s="63"/>
      <c r="P1005" s="63"/>
      <c r="Q1005" s="63"/>
      <c r="R1005" s="32"/>
      <c r="S1005" s="32"/>
      <c r="T1005" s="32"/>
      <c r="U1005" s="32"/>
      <c r="W1005" s="32"/>
      <c r="X1005" s="32"/>
    </row>
    <row r="1006">
      <c r="A1006" s="40"/>
      <c r="B1006" s="40"/>
      <c r="C1006" s="40"/>
      <c r="D1006" s="78"/>
      <c r="E1006" s="79"/>
      <c r="F1006" s="40"/>
      <c r="G1006" s="78"/>
      <c r="H1006" s="78"/>
      <c r="I1006" s="80"/>
      <c r="J1006" s="80"/>
      <c r="K1006" s="79"/>
      <c r="L1006" s="25"/>
      <c r="M1006" s="25"/>
      <c r="N1006" s="63"/>
      <c r="O1006" s="63"/>
      <c r="P1006" s="63"/>
      <c r="Q1006" s="63"/>
      <c r="R1006" s="32"/>
      <c r="S1006" s="32"/>
      <c r="T1006" s="32"/>
      <c r="U1006" s="32"/>
      <c r="W1006" s="32"/>
      <c r="X1006" s="32"/>
    </row>
    <row r="1007">
      <c r="A1007" s="40"/>
      <c r="B1007" s="40"/>
      <c r="C1007" s="40"/>
      <c r="D1007" s="78"/>
      <c r="E1007" s="79"/>
      <c r="F1007" s="40"/>
      <c r="G1007" s="78"/>
      <c r="H1007" s="78"/>
      <c r="I1007" s="80"/>
      <c r="J1007" s="80"/>
      <c r="K1007" s="79"/>
      <c r="L1007" s="25"/>
      <c r="M1007" s="25"/>
      <c r="N1007" s="63"/>
      <c r="O1007" s="63"/>
      <c r="P1007" s="63"/>
      <c r="Q1007" s="63"/>
      <c r="R1007" s="32"/>
      <c r="S1007" s="32"/>
      <c r="T1007" s="32"/>
      <c r="U1007" s="32"/>
      <c r="W1007" s="32"/>
      <c r="X1007" s="32"/>
    </row>
    <row r="1008">
      <c r="A1008" s="40"/>
      <c r="B1008" s="40"/>
      <c r="C1008" s="40"/>
      <c r="D1008" s="78"/>
      <c r="E1008" s="79"/>
      <c r="F1008" s="40"/>
      <c r="G1008" s="78"/>
      <c r="H1008" s="78"/>
      <c r="I1008" s="80"/>
      <c r="J1008" s="80"/>
      <c r="K1008" s="79"/>
      <c r="L1008" s="25"/>
      <c r="M1008" s="25"/>
      <c r="N1008" s="63"/>
      <c r="O1008" s="63"/>
      <c r="P1008" s="63"/>
      <c r="Q1008" s="63"/>
      <c r="R1008" s="32"/>
      <c r="S1008" s="32"/>
      <c r="T1008" s="32"/>
      <c r="U1008" s="32"/>
      <c r="W1008" s="32"/>
      <c r="X1008" s="32"/>
    </row>
    <row r="1009">
      <c r="A1009" s="40"/>
      <c r="B1009" s="40"/>
      <c r="C1009" s="40"/>
      <c r="D1009" s="78"/>
      <c r="E1009" s="79"/>
      <c r="F1009" s="40"/>
      <c r="G1009" s="78"/>
      <c r="H1009" s="78"/>
      <c r="I1009" s="80"/>
      <c r="J1009" s="80"/>
      <c r="K1009" s="79"/>
      <c r="L1009" s="25"/>
      <c r="M1009" s="25"/>
      <c r="N1009" s="63"/>
      <c r="O1009" s="63"/>
      <c r="P1009" s="63"/>
      <c r="Q1009" s="63"/>
      <c r="R1009" s="32"/>
      <c r="S1009" s="32"/>
      <c r="T1009" s="32"/>
      <c r="U1009" s="32"/>
      <c r="W1009" s="32"/>
      <c r="X1009" s="32"/>
    </row>
    <row r="1010">
      <c r="A1010" s="40"/>
      <c r="B1010" s="40"/>
      <c r="C1010" s="40"/>
      <c r="D1010" s="78"/>
      <c r="E1010" s="79"/>
      <c r="F1010" s="40"/>
      <c r="G1010" s="78"/>
      <c r="H1010" s="78"/>
      <c r="I1010" s="80"/>
      <c r="J1010" s="80"/>
      <c r="K1010" s="79"/>
      <c r="L1010" s="25"/>
      <c r="M1010" s="25"/>
      <c r="N1010" s="63"/>
      <c r="O1010" s="63"/>
      <c r="P1010" s="63"/>
      <c r="Q1010" s="63"/>
      <c r="R1010" s="32"/>
      <c r="S1010" s="32"/>
      <c r="T1010" s="32"/>
      <c r="U1010" s="32"/>
      <c r="W1010" s="32"/>
      <c r="X1010" s="32"/>
    </row>
    <row r="1011">
      <c r="A1011" s="40"/>
      <c r="B1011" s="40"/>
      <c r="C1011" s="40"/>
      <c r="D1011" s="78"/>
      <c r="E1011" s="79"/>
      <c r="F1011" s="40"/>
      <c r="G1011" s="78"/>
      <c r="H1011" s="78"/>
      <c r="I1011" s="80"/>
      <c r="J1011" s="80"/>
      <c r="K1011" s="79"/>
      <c r="L1011" s="25"/>
      <c r="M1011" s="25"/>
      <c r="N1011" s="63"/>
      <c r="O1011" s="63"/>
      <c r="P1011" s="63"/>
      <c r="Q1011" s="63"/>
      <c r="R1011" s="32"/>
      <c r="S1011" s="32"/>
      <c r="T1011" s="32"/>
      <c r="U1011" s="32"/>
      <c r="W1011" s="32"/>
      <c r="X1011" s="32"/>
    </row>
    <row r="1012">
      <c r="A1012" s="40"/>
      <c r="B1012" s="40"/>
      <c r="C1012" s="40"/>
      <c r="D1012" s="78"/>
      <c r="E1012" s="79"/>
      <c r="F1012" s="40"/>
      <c r="G1012" s="78"/>
      <c r="H1012" s="78"/>
      <c r="I1012" s="80"/>
      <c r="J1012" s="80"/>
      <c r="K1012" s="79"/>
      <c r="L1012" s="25"/>
      <c r="M1012" s="25"/>
      <c r="N1012" s="63"/>
      <c r="O1012" s="63"/>
      <c r="P1012" s="63"/>
      <c r="Q1012" s="63"/>
      <c r="R1012" s="32"/>
      <c r="S1012" s="32"/>
      <c r="T1012" s="32"/>
      <c r="U1012" s="32"/>
      <c r="W1012" s="32"/>
      <c r="X1012" s="32"/>
    </row>
    <row r="1013">
      <c r="A1013" s="40"/>
      <c r="B1013" s="40"/>
      <c r="C1013" s="40"/>
      <c r="D1013" s="78"/>
      <c r="E1013" s="79"/>
      <c r="F1013" s="40"/>
      <c r="G1013" s="78"/>
      <c r="H1013" s="78"/>
      <c r="I1013" s="80"/>
      <c r="J1013" s="80"/>
      <c r="K1013" s="79"/>
      <c r="L1013" s="25"/>
      <c r="M1013" s="25"/>
      <c r="N1013" s="63"/>
      <c r="O1013" s="63"/>
      <c r="P1013" s="63"/>
      <c r="Q1013" s="63"/>
      <c r="R1013" s="32"/>
      <c r="S1013" s="32"/>
      <c r="T1013" s="32"/>
      <c r="U1013" s="32"/>
      <c r="W1013" s="32"/>
      <c r="X1013" s="32"/>
    </row>
    <row r="1014">
      <c r="A1014" s="40"/>
      <c r="B1014" s="40"/>
      <c r="C1014" s="40"/>
      <c r="D1014" s="78"/>
      <c r="E1014" s="79"/>
      <c r="F1014" s="40"/>
      <c r="G1014" s="78"/>
      <c r="H1014" s="78"/>
      <c r="I1014" s="80"/>
      <c r="J1014" s="80"/>
      <c r="K1014" s="79"/>
      <c r="L1014" s="25"/>
      <c r="M1014" s="25"/>
      <c r="N1014" s="63"/>
      <c r="O1014" s="63"/>
      <c r="P1014" s="63"/>
      <c r="Q1014" s="63"/>
      <c r="R1014" s="32"/>
      <c r="S1014" s="32"/>
      <c r="T1014" s="32"/>
      <c r="U1014" s="32"/>
      <c r="W1014" s="32"/>
      <c r="X1014" s="32"/>
    </row>
    <row r="1015">
      <c r="A1015" s="40"/>
      <c r="B1015" s="40"/>
      <c r="C1015" s="40"/>
      <c r="D1015" s="78"/>
      <c r="E1015" s="79"/>
      <c r="F1015" s="40"/>
      <c r="G1015" s="78"/>
      <c r="H1015" s="78"/>
      <c r="I1015" s="80"/>
      <c r="J1015" s="80"/>
      <c r="K1015" s="79"/>
      <c r="L1015" s="25"/>
      <c r="M1015" s="25"/>
      <c r="N1015" s="63"/>
      <c r="O1015" s="63"/>
      <c r="P1015" s="63"/>
      <c r="Q1015" s="63"/>
      <c r="R1015" s="32"/>
      <c r="S1015" s="32"/>
      <c r="T1015" s="32"/>
      <c r="U1015" s="32"/>
      <c r="W1015" s="32"/>
      <c r="X1015" s="32"/>
    </row>
    <row r="1016">
      <c r="A1016" s="40"/>
      <c r="B1016" s="40"/>
      <c r="C1016" s="40"/>
      <c r="D1016" s="78"/>
      <c r="E1016" s="79"/>
      <c r="F1016" s="40"/>
      <c r="G1016" s="78"/>
      <c r="H1016" s="78"/>
      <c r="I1016" s="80"/>
      <c r="J1016" s="80"/>
      <c r="K1016" s="79"/>
      <c r="L1016" s="25"/>
      <c r="M1016" s="25"/>
      <c r="N1016" s="63"/>
      <c r="O1016" s="63"/>
      <c r="P1016" s="63"/>
      <c r="Q1016" s="63"/>
      <c r="R1016" s="32"/>
      <c r="S1016" s="32"/>
      <c r="T1016" s="32"/>
      <c r="U1016" s="32"/>
      <c r="W1016" s="32"/>
      <c r="X1016" s="32"/>
    </row>
    <row r="1017">
      <c r="A1017" s="40"/>
      <c r="B1017" s="40"/>
      <c r="C1017" s="40"/>
      <c r="D1017" s="78"/>
      <c r="E1017" s="79"/>
      <c r="F1017" s="40"/>
      <c r="G1017" s="78"/>
      <c r="H1017" s="78"/>
      <c r="I1017" s="80"/>
      <c r="J1017" s="80"/>
      <c r="K1017" s="79"/>
      <c r="L1017" s="25"/>
      <c r="M1017" s="25"/>
      <c r="N1017" s="63"/>
      <c r="O1017" s="63"/>
      <c r="P1017" s="63"/>
      <c r="Q1017" s="63"/>
      <c r="R1017" s="32"/>
      <c r="S1017" s="32"/>
      <c r="T1017" s="32"/>
      <c r="U1017" s="32"/>
      <c r="W1017" s="32"/>
      <c r="X1017" s="32"/>
    </row>
    <row r="1018">
      <c r="A1018" s="40"/>
      <c r="B1018" s="40"/>
      <c r="C1018" s="40"/>
      <c r="D1018" s="78"/>
      <c r="E1018" s="79"/>
      <c r="F1018" s="40"/>
      <c r="G1018" s="78"/>
      <c r="H1018" s="78"/>
      <c r="I1018" s="80"/>
      <c r="J1018" s="80"/>
      <c r="K1018" s="79"/>
      <c r="L1018" s="25"/>
      <c r="M1018" s="25"/>
      <c r="N1018" s="63"/>
      <c r="O1018" s="63"/>
      <c r="P1018" s="63"/>
      <c r="Q1018" s="63"/>
      <c r="R1018" s="32"/>
      <c r="S1018" s="32"/>
      <c r="T1018" s="32"/>
      <c r="U1018" s="32"/>
      <c r="W1018" s="32"/>
      <c r="X1018" s="32"/>
    </row>
    <row r="1019">
      <c r="A1019" s="40"/>
      <c r="B1019" s="40"/>
      <c r="C1019" s="40"/>
      <c r="D1019" s="78"/>
      <c r="E1019" s="79"/>
      <c r="F1019" s="40"/>
      <c r="G1019" s="78"/>
      <c r="H1019" s="78"/>
      <c r="I1019" s="80"/>
      <c r="J1019" s="80"/>
      <c r="K1019" s="79"/>
      <c r="L1019" s="25"/>
      <c r="M1019" s="25"/>
      <c r="N1019" s="63"/>
      <c r="O1019" s="63"/>
      <c r="P1019" s="63"/>
      <c r="Q1019" s="63"/>
      <c r="R1019" s="32"/>
      <c r="S1019" s="32"/>
      <c r="T1019" s="32"/>
      <c r="U1019" s="32"/>
      <c r="W1019" s="32"/>
      <c r="X1019" s="32"/>
    </row>
    <row r="1020">
      <c r="A1020" s="40"/>
      <c r="B1020" s="40"/>
      <c r="C1020" s="40"/>
      <c r="D1020" s="78"/>
      <c r="E1020" s="79"/>
      <c r="F1020" s="40"/>
      <c r="G1020" s="78"/>
      <c r="H1020" s="78"/>
      <c r="I1020" s="80"/>
      <c r="J1020" s="80"/>
      <c r="K1020" s="79"/>
      <c r="L1020" s="25"/>
      <c r="M1020" s="25"/>
      <c r="N1020" s="63"/>
      <c r="O1020" s="63"/>
      <c r="P1020" s="63"/>
      <c r="Q1020" s="63"/>
      <c r="R1020" s="32"/>
      <c r="S1020" s="32"/>
      <c r="T1020" s="32"/>
      <c r="U1020" s="32"/>
      <c r="W1020" s="32"/>
      <c r="X1020" s="32"/>
    </row>
    <row r="1021">
      <c r="A1021" s="40"/>
      <c r="B1021" s="40"/>
      <c r="C1021" s="40"/>
      <c r="D1021" s="78"/>
      <c r="E1021" s="79"/>
      <c r="F1021" s="40"/>
      <c r="G1021" s="78"/>
      <c r="H1021" s="78"/>
      <c r="I1021" s="80"/>
      <c r="J1021" s="80"/>
      <c r="K1021" s="79"/>
      <c r="L1021" s="25"/>
      <c r="M1021" s="25"/>
      <c r="N1021" s="63"/>
      <c r="O1021" s="63"/>
      <c r="P1021" s="63"/>
      <c r="Q1021" s="63"/>
      <c r="R1021" s="32"/>
      <c r="S1021" s="32"/>
      <c r="T1021" s="32"/>
      <c r="U1021" s="32"/>
      <c r="W1021" s="32"/>
      <c r="X1021" s="32"/>
    </row>
    <row r="1022">
      <c r="A1022" s="40"/>
      <c r="B1022" s="40"/>
      <c r="C1022" s="40"/>
      <c r="D1022" s="78"/>
      <c r="E1022" s="79"/>
      <c r="F1022" s="40"/>
      <c r="G1022" s="78"/>
      <c r="H1022" s="78"/>
      <c r="I1022" s="80"/>
      <c r="J1022" s="80"/>
      <c r="K1022" s="79"/>
      <c r="L1022" s="25"/>
      <c r="M1022" s="25"/>
      <c r="N1022" s="63"/>
      <c r="O1022" s="63"/>
      <c r="P1022" s="63"/>
      <c r="Q1022" s="63"/>
      <c r="R1022" s="32"/>
      <c r="S1022" s="32"/>
      <c r="T1022" s="32"/>
      <c r="U1022" s="32"/>
      <c r="W1022" s="32"/>
      <c r="X1022" s="32"/>
    </row>
    <row r="1023">
      <c r="A1023" s="40"/>
      <c r="B1023" s="40"/>
      <c r="C1023" s="40"/>
      <c r="D1023" s="78"/>
      <c r="E1023" s="79"/>
      <c r="F1023" s="40"/>
      <c r="G1023" s="78"/>
      <c r="H1023" s="78"/>
      <c r="I1023" s="80"/>
      <c r="J1023" s="80"/>
      <c r="K1023" s="79"/>
      <c r="L1023" s="25"/>
      <c r="M1023" s="25"/>
      <c r="N1023" s="63"/>
      <c r="O1023" s="63"/>
      <c r="P1023" s="63"/>
      <c r="Q1023" s="63"/>
      <c r="R1023" s="32"/>
      <c r="S1023" s="32"/>
      <c r="T1023" s="32"/>
      <c r="U1023" s="32"/>
      <c r="W1023" s="32"/>
      <c r="X1023" s="32"/>
    </row>
    <row r="1024">
      <c r="A1024" s="40"/>
      <c r="B1024" s="40"/>
      <c r="C1024" s="40"/>
      <c r="D1024" s="78"/>
      <c r="E1024" s="79"/>
      <c r="F1024" s="40"/>
      <c r="G1024" s="78"/>
      <c r="H1024" s="78"/>
      <c r="I1024" s="80"/>
      <c r="J1024" s="80"/>
      <c r="K1024" s="79"/>
      <c r="L1024" s="25"/>
      <c r="M1024" s="25"/>
      <c r="N1024" s="63"/>
      <c r="O1024" s="63"/>
      <c r="P1024" s="63"/>
      <c r="Q1024" s="63"/>
      <c r="R1024" s="32"/>
      <c r="S1024" s="32"/>
      <c r="T1024" s="32"/>
      <c r="U1024" s="32"/>
      <c r="W1024" s="32"/>
      <c r="X1024" s="32"/>
    </row>
    <row r="1025">
      <c r="A1025" s="40"/>
      <c r="B1025" s="40"/>
      <c r="C1025" s="40"/>
      <c r="D1025" s="78"/>
      <c r="E1025" s="79"/>
      <c r="F1025" s="40"/>
      <c r="G1025" s="78"/>
      <c r="H1025" s="78"/>
      <c r="I1025" s="80"/>
      <c r="J1025" s="80"/>
      <c r="K1025" s="79"/>
      <c r="L1025" s="25"/>
      <c r="M1025" s="25"/>
      <c r="N1025" s="63"/>
      <c r="O1025" s="63"/>
      <c r="P1025" s="63"/>
      <c r="Q1025" s="63"/>
      <c r="R1025" s="32"/>
      <c r="S1025" s="32"/>
      <c r="T1025" s="32"/>
      <c r="U1025" s="32"/>
      <c r="W1025" s="32"/>
      <c r="X1025" s="32"/>
    </row>
    <row r="1026">
      <c r="A1026" s="40"/>
      <c r="B1026" s="40"/>
      <c r="C1026" s="40"/>
      <c r="D1026" s="78"/>
      <c r="E1026" s="79"/>
      <c r="F1026" s="40"/>
      <c r="G1026" s="78"/>
      <c r="H1026" s="78"/>
      <c r="I1026" s="80"/>
      <c r="J1026" s="80"/>
      <c r="K1026" s="79"/>
      <c r="L1026" s="25"/>
      <c r="M1026" s="25"/>
      <c r="N1026" s="63"/>
      <c r="O1026" s="63"/>
      <c r="P1026" s="63"/>
      <c r="Q1026" s="63"/>
      <c r="R1026" s="32"/>
      <c r="S1026" s="32"/>
      <c r="T1026" s="32"/>
      <c r="U1026" s="32"/>
      <c r="W1026" s="32"/>
      <c r="X1026" s="32"/>
    </row>
    <row r="1027">
      <c r="A1027" s="40"/>
      <c r="B1027" s="40"/>
      <c r="C1027" s="40"/>
      <c r="D1027" s="78"/>
      <c r="E1027" s="79"/>
      <c r="F1027" s="40"/>
      <c r="G1027" s="78"/>
      <c r="H1027" s="78"/>
      <c r="I1027" s="80"/>
      <c r="J1027" s="80"/>
      <c r="K1027" s="79"/>
      <c r="L1027" s="25"/>
      <c r="M1027" s="25"/>
      <c r="N1027" s="63"/>
      <c r="O1027" s="63"/>
      <c r="P1027" s="63"/>
      <c r="Q1027" s="63"/>
      <c r="R1027" s="32"/>
      <c r="S1027" s="32"/>
      <c r="T1027" s="32"/>
      <c r="U1027" s="32"/>
      <c r="W1027" s="32"/>
      <c r="X1027" s="32"/>
    </row>
    <row r="1028">
      <c r="A1028" s="40"/>
      <c r="B1028" s="40"/>
      <c r="C1028" s="40"/>
      <c r="D1028" s="78"/>
      <c r="E1028" s="79"/>
      <c r="F1028" s="40"/>
      <c r="G1028" s="78"/>
      <c r="H1028" s="78"/>
      <c r="I1028" s="80"/>
      <c r="J1028" s="80"/>
      <c r="K1028" s="79"/>
      <c r="L1028" s="25"/>
      <c r="M1028" s="25"/>
      <c r="N1028" s="63"/>
      <c r="O1028" s="63"/>
      <c r="P1028" s="63"/>
      <c r="Q1028" s="63"/>
      <c r="R1028" s="32"/>
      <c r="S1028" s="32"/>
      <c r="T1028" s="32"/>
      <c r="U1028" s="32"/>
      <c r="W1028" s="32"/>
      <c r="X1028" s="32"/>
    </row>
    <row r="1029">
      <c r="A1029" s="40"/>
      <c r="B1029" s="40"/>
      <c r="C1029" s="40"/>
      <c r="D1029" s="78"/>
      <c r="E1029" s="79"/>
      <c r="F1029" s="40"/>
      <c r="G1029" s="78"/>
      <c r="H1029" s="78"/>
      <c r="I1029" s="80"/>
      <c r="J1029" s="80"/>
      <c r="K1029" s="79"/>
      <c r="L1029" s="25"/>
      <c r="M1029" s="25"/>
      <c r="N1029" s="63"/>
      <c r="O1029" s="63"/>
      <c r="P1029" s="63"/>
      <c r="Q1029" s="63"/>
      <c r="R1029" s="32"/>
      <c r="S1029" s="32"/>
      <c r="T1029" s="32"/>
      <c r="U1029" s="32"/>
      <c r="W1029" s="32"/>
      <c r="X1029" s="32"/>
    </row>
    <row r="1030">
      <c r="A1030" s="40"/>
      <c r="B1030" s="40"/>
      <c r="C1030" s="40"/>
      <c r="D1030" s="78"/>
      <c r="E1030" s="79"/>
      <c r="F1030" s="40"/>
      <c r="G1030" s="78"/>
      <c r="H1030" s="78"/>
      <c r="I1030" s="80"/>
      <c r="J1030" s="80"/>
      <c r="K1030" s="79"/>
      <c r="L1030" s="25"/>
      <c r="M1030" s="25"/>
      <c r="N1030" s="63"/>
      <c r="O1030" s="63"/>
      <c r="P1030" s="63"/>
      <c r="Q1030" s="63"/>
      <c r="R1030" s="32"/>
      <c r="S1030" s="32"/>
      <c r="T1030" s="32"/>
      <c r="U1030" s="32"/>
      <c r="W1030" s="32"/>
      <c r="X1030" s="32"/>
    </row>
    <row r="1031">
      <c r="A1031" s="40"/>
      <c r="B1031" s="40"/>
      <c r="C1031" s="40"/>
      <c r="D1031" s="78"/>
      <c r="E1031" s="79"/>
      <c r="F1031" s="40"/>
      <c r="G1031" s="78"/>
      <c r="H1031" s="78"/>
      <c r="I1031" s="80"/>
      <c r="J1031" s="80"/>
      <c r="K1031" s="79"/>
      <c r="L1031" s="25"/>
      <c r="M1031" s="25"/>
      <c r="N1031" s="63"/>
      <c r="O1031" s="63"/>
      <c r="P1031" s="63"/>
      <c r="Q1031" s="63"/>
      <c r="R1031" s="32"/>
      <c r="S1031" s="32"/>
      <c r="T1031" s="32"/>
      <c r="U1031" s="32"/>
      <c r="W1031" s="32"/>
      <c r="X1031" s="32"/>
    </row>
    <row r="1032">
      <c r="A1032" s="40"/>
      <c r="B1032" s="40"/>
      <c r="C1032" s="40"/>
      <c r="D1032" s="78"/>
      <c r="E1032" s="79"/>
      <c r="F1032" s="40"/>
      <c r="G1032" s="78"/>
      <c r="H1032" s="78"/>
      <c r="I1032" s="80"/>
      <c r="J1032" s="80"/>
      <c r="K1032" s="79"/>
      <c r="L1032" s="25"/>
      <c r="M1032" s="25"/>
      <c r="N1032" s="63"/>
      <c r="O1032" s="63"/>
      <c r="P1032" s="63"/>
      <c r="Q1032" s="63"/>
      <c r="R1032" s="32"/>
      <c r="S1032" s="32"/>
      <c r="T1032" s="32"/>
      <c r="U1032" s="32"/>
      <c r="W1032" s="32"/>
      <c r="X1032" s="32"/>
    </row>
    <row r="1033">
      <c r="A1033" s="40"/>
      <c r="B1033" s="40"/>
      <c r="C1033" s="40"/>
      <c r="D1033" s="78"/>
      <c r="E1033" s="79"/>
      <c r="F1033" s="40"/>
      <c r="G1033" s="78"/>
      <c r="H1033" s="78"/>
      <c r="I1033" s="80"/>
      <c r="J1033" s="80"/>
      <c r="K1033" s="79"/>
      <c r="L1033" s="25"/>
      <c r="M1033" s="25"/>
      <c r="N1033" s="63"/>
      <c r="O1033" s="63"/>
      <c r="P1033" s="63"/>
      <c r="Q1033" s="63"/>
      <c r="R1033" s="32"/>
      <c r="S1033" s="32"/>
      <c r="T1033" s="32"/>
      <c r="U1033" s="32"/>
      <c r="W1033" s="32"/>
      <c r="X1033" s="32"/>
    </row>
    <row r="1034">
      <c r="A1034" s="40"/>
      <c r="B1034" s="40"/>
      <c r="C1034" s="40"/>
      <c r="D1034" s="78"/>
      <c r="E1034" s="79"/>
      <c r="F1034" s="40"/>
      <c r="G1034" s="78"/>
      <c r="H1034" s="78"/>
      <c r="I1034" s="80"/>
      <c r="J1034" s="80"/>
      <c r="K1034" s="79"/>
      <c r="L1034" s="25"/>
      <c r="M1034" s="25"/>
      <c r="N1034" s="63"/>
      <c r="O1034" s="63"/>
      <c r="P1034" s="63"/>
      <c r="Q1034" s="63"/>
      <c r="R1034" s="32"/>
      <c r="S1034" s="32"/>
      <c r="T1034" s="32"/>
      <c r="U1034" s="32"/>
      <c r="W1034" s="32"/>
      <c r="X1034" s="32"/>
    </row>
    <row r="1035">
      <c r="A1035" s="40"/>
      <c r="B1035" s="40"/>
      <c r="C1035" s="40"/>
      <c r="D1035" s="78"/>
      <c r="E1035" s="79"/>
      <c r="F1035" s="40"/>
      <c r="G1035" s="78"/>
      <c r="H1035" s="78"/>
      <c r="I1035" s="80"/>
      <c r="J1035" s="80"/>
      <c r="K1035" s="79"/>
      <c r="L1035" s="25"/>
      <c r="M1035" s="25"/>
      <c r="N1035" s="63"/>
      <c r="O1035" s="63"/>
      <c r="P1035" s="63"/>
      <c r="Q1035" s="63"/>
      <c r="R1035" s="32"/>
      <c r="S1035" s="32"/>
      <c r="T1035" s="32"/>
      <c r="U1035" s="32"/>
      <c r="W1035" s="32"/>
      <c r="X1035" s="32"/>
    </row>
    <row r="1036">
      <c r="A1036" s="40"/>
      <c r="B1036" s="40"/>
      <c r="C1036" s="40"/>
      <c r="D1036" s="78"/>
      <c r="E1036" s="79"/>
      <c r="F1036" s="40"/>
      <c r="G1036" s="78"/>
      <c r="H1036" s="78"/>
      <c r="I1036" s="80"/>
      <c r="J1036" s="80"/>
      <c r="K1036" s="79"/>
      <c r="L1036" s="25"/>
      <c r="M1036" s="25"/>
      <c r="N1036" s="63"/>
      <c r="O1036" s="63"/>
      <c r="P1036" s="63"/>
      <c r="Q1036" s="63"/>
      <c r="R1036" s="32"/>
      <c r="S1036" s="32"/>
      <c r="T1036" s="32"/>
      <c r="U1036" s="32"/>
      <c r="W1036" s="32"/>
      <c r="X1036" s="32"/>
    </row>
    <row r="1037">
      <c r="A1037" s="40"/>
      <c r="B1037" s="40"/>
      <c r="C1037" s="40"/>
      <c r="D1037" s="78"/>
      <c r="E1037" s="79"/>
      <c r="F1037" s="40"/>
      <c r="G1037" s="78"/>
      <c r="H1037" s="78"/>
      <c r="I1037" s="80"/>
      <c r="J1037" s="80"/>
      <c r="K1037" s="79"/>
      <c r="L1037" s="25"/>
      <c r="M1037" s="25"/>
      <c r="N1037" s="63"/>
      <c r="O1037" s="63"/>
      <c r="P1037" s="63"/>
      <c r="Q1037" s="63"/>
      <c r="R1037" s="32"/>
      <c r="S1037" s="32"/>
      <c r="T1037" s="32"/>
      <c r="U1037" s="32"/>
      <c r="W1037" s="32"/>
      <c r="X1037" s="32"/>
    </row>
    <row r="1038">
      <c r="A1038" s="40"/>
      <c r="B1038" s="40"/>
      <c r="C1038" s="40"/>
      <c r="D1038" s="78"/>
      <c r="E1038" s="79"/>
      <c r="F1038" s="40"/>
      <c r="G1038" s="78"/>
      <c r="H1038" s="78"/>
      <c r="I1038" s="80"/>
      <c r="J1038" s="80"/>
      <c r="K1038" s="79"/>
      <c r="L1038" s="25"/>
      <c r="M1038" s="25"/>
      <c r="N1038" s="63"/>
      <c r="O1038" s="63"/>
      <c r="P1038" s="63"/>
      <c r="Q1038" s="63"/>
      <c r="R1038" s="32"/>
      <c r="S1038" s="32"/>
      <c r="T1038" s="32"/>
      <c r="U1038" s="32"/>
      <c r="W1038" s="32"/>
      <c r="X1038" s="32"/>
    </row>
    <row r="1039">
      <c r="A1039" s="40"/>
      <c r="B1039" s="40"/>
      <c r="C1039" s="40"/>
      <c r="D1039" s="78"/>
      <c r="E1039" s="79"/>
      <c r="F1039" s="40"/>
      <c r="G1039" s="78"/>
      <c r="H1039" s="78"/>
      <c r="I1039" s="80"/>
      <c r="J1039" s="80"/>
      <c r="K1039" s="79"/>
      <c r="L1039" s="25"/>
      <c r="M1039" s="25"/>
      <c r="N1039" s="63"/>
      <c r="O1039" s="63"/>
      <c r="P1039" s="63"/>
      <c r="Q1039" s="63"/>
      <c r="R1039" s="32"/>
      <c r="S1039" s="32"/>
      <c r="T1039" s="32"/>
      <c r="U1039" s="32"/>
      <c r="W1039" s="32"/>
      <c r="X1039" s="32"/>
    </row>
    <row r="1040">
      <c r="A1040" s="40"/>
      <c r="B1040" s="40"/>
      <c r="C1040" s="40"/>
      <c r="D1040" s="78"/>
      <c r="E1040" s="79"/>
      <c r="F1040" s="40"/>
      <c r="G1040" s="78"/>
      <c r="H1040" s="78"/>
      <c r="I1040" s="80"/>
      <c r="J1040" s="80"/>
      <c r="K1040" s="79"/>
      <c r="L1040" s="25"/>
      <c r="M1040" s="25"/>
      <c r="N1040" s="63"/>
      <c r="O1040" s="63"/>
      <c r="P1040" s="63"/>
      <c r="Q1040" s="63"/>
      <c r="R1040" s="32"/>
      <c r="S1040" s="32"/>
      <c r="T1040" s="32"/>
      <c r="U1040" s="32"/>
      <c r="W1040" s="32"/>
      <c r="X1040" s="32"/>
    </row>
    <row r="1041">
      <c r="A1041" s="40"/>
      <c r="B1041" s="40"/>
      <c r="C1041" s="40"/>
      <c r="D1041" s="78"/>
      <c r="E1041" s="79"/>
      <c r="F1041" s="40"/>
      <c r="G1041" s="78"/>
      <c r="H1041" s="78"/>
      <c r="I1041" s="80"/>
      <c r="J1041" s="80"/>
      <c r="K1041" s="79"/>
      <c r="L1041" s="25"/>
      <c r="M1041" s="25"/>
      <c r="N1041" s="63"/>
      <c r="O1041" s="63"/>
      <c r="P1041" s="63"/>
      <c r="Q1041" s="63"/>
      <c r="R1041" s="32"/>
      <c r="S1041" s="32"/>
      <c r="T1041" s="32"/>
      <c r="U1041" s="32"/>
      <c r="W1041" s="32"/>
      <c r="X1041" s="32"/>
    </row>
    <row r="1042">
      <c r="A1042" s="40"/>
      <c r="B1042" s="40"/>
      <c r="C1042" s="40"/>
      <c r="D1042" s="78"/>
      <c r="E1042" s="79"/>
      <c r="F1042" s="40"/>
      <c r="G1042" s="78"/>
      <c r="H1042" s="78"/>
      <c r="I1042" s="80"/>
      <c r="J1042" s="80"/>
      <c r="K1042" s="79"/>
      <c r="L1042" s="25"/>
      <c r="M1042" s="25"/>
      <c r="N1042" s="63"/>
      <c r="O1042" s="63"/>
      <c r="P1042" s="63"/>
      <c r="Q1042" s="63"/>
      <c r="R1042" s="32"/>
      <c r="S1042" s="32"/>
      <c r="T1042" s="32"/>
      <c r="U1042" s="32"/>
      <c r="W1042" s="32"/>
      <c r="X1042" s="32"/>
    </row>
    <row r="1043">
      <c r="A1043" s="40"/>
      <c r="B1043" s="40"/>
      <c r="C1043" s="40"/>
      <c r="D1043" s="78"/>
      <c r="E1043" s="79"/>
      <c r="F1043" s="40"/>
      <c r="G1043" s="78"/>
      <c r="H1043" s="78"/>
      <c r="I1043" s="80"/>
      <c r="J1043" s="80"/>
      <c r="K1043" s="79"/>
      <c r="L1043" s="25"/>
      <c r="M1043" s="25"/>
      <c r="N1043" s="63"/>
      <c r="O1043" s="63"/>
      <c r="P1043" s="63"/>
      <c r="Q1043" s="63"/>
      <c r="R1043" s="32"/>
      <c r="S1043" s="32"/>
      <c r="T1043" s="32"/>
      <c r="U1043" s="32"/>
      <c r="W1043" s="32"/>
      <c r="X1043" s="32"/>
    </row>
    <row r="1044">
      <c r="A1044" s="40"/>
      <c r="B1044" s="40"/>
      <c r="C1044" s="40"/>
      <c r="D1044" s="78"/>
      <c r="E1044" s="79"/>
      <c r="F1044" s="40"/>
      <c r="G1044" s="78"/>
      <c r="H1044" s="78"/>
      <c r="I1044" s="80"/>
      <c r="J1044" s="80"/>
      <c r="K1044" s="79"/>
      <c r="L1044" s="25"/>
      <c r="M1044" s="25"/>
      <c r="N1044" s="63"/>
      <c r="O1044" s="63"/>
      <c r="P1044" s="63"/>
      <c r="Q1044" s="63"/>
      <c r="R1044" s="32"/>
      <c r="S1044" s="32"/>
      <c r="T1044" s="32"/>
      <c r="U1044" s="32"/>
      <c r="W1044" s="32"/>
      <c r="X1044" s="32"/>
    </row>
    <row r="1045">
      <c r="A1045" s="40"/>
      <c r="B1045" s="40"/>
      <c r="C1045" s="40"/>
      <c r="D1045" s="78"/>
      <c r="E1045" s="79"/>
      <c r="F1045" s="40"/>
      <c r="G1045" s="78"/>
      <c r="H1045" s="78"/>
      <c r="I1045" s="80"/>
      <c r="J1045" s="80"/>
      <c r="K1045" s="79"/>
      <c r="L1045" s="25"/>
      <c r="M1045" s="25"/>
      <c r="N1045" s="63"/>
      <c r="O1045" s="63"/>
      <c r="P1045" s="63"/>
      <c r="Q1045" s="63"/>
      <c r="R1045" s="32"/>
      <c r="S1045" s="32"/>
      <c r="T1045" s="32"/>
      <c r="U1045" s="32"/>
      <c r="W1045" s="32"/>
      <c r="X1045" s="32"/>
    </row>
    <row r="1046">
      <c r="A1046" s="40"/>
      <c r="B1046" s="40"/>
      <c r="C1046" s="40"/>
      <c r="D1046" s="78"/>
      <c r="E1046" s="79"/>
      <c r="F1046" s="40"/>
      <c r="G1046" s="78"/>
      <c r="H1046" s="78"/>
      <c r="I1046" s="80"/>
      <c r="J1046" s="80"/>
      <c r="K1046" s="79"/>
      <c r="L1046" s="25"/>
      <c r="M1046" s="25"/>
      <c r="N1046" s="63"/>
      <c r="O1046" s="63"/>
      <c r="P1046" s="63"/>
      <c r="Q1046" s="63"/>
      <c r="R1046" s="32"/>
      <c r="S1046" s="32"/>
      <c r="T1046" s="32"/>
      <c r="U1046" s="32"/>
      <c r="W1046" s="32"/>
      <c r="X1046" s="32"/>
    </row>
    <row r="1047">
      <c r="A1047" s="40"/>
      <c r="B1047" s="40"/>
      <c r="C1047" s="40"/>
      <c r="D1047" s="78"/>
      <c r="E1047" s="79"/>
      <c r="F1047" s="40"/>
      <c r="G1047" s="78"/>
      <c r="H1047" s="78"/>
      <c r="I1047" s="80"/>
      <c r="J1047" s="80"/>
      <c r="K1047" s="79"/>
      <c r="L1047" s="25"/>
      <c r="M1047" s="25"/>
      <c r="N1047" s="63"/>
      <c r="O1047" s="63"/>
      <c r="P1047" s="63"/>
      <c r="Q1047" s="63"/>
      <c r="R1047" s="32"/>
      <c r="S1047" s="32"/>
      <c r="T1047" s="32"/>
      <c r="U1047" s="32"/>
      <c r="W1047" s="32"/>
      <c r="X1047" s="32"/>
    </row>
    <row r="1048">
      <c r="A1048" s="40"/>
      <c r="B1048" s="40"/>
      <c r="C1048" s="40"/>
      <c r="D1048" s="78"/>
      <c r="E1048" s="79"/>
      <c r="F1048" s="40"/>
      <c r="G1048" s="78"/>
      <c r="H1048" s="78"/>
      <c r="I1048" s="80"/>
      <c r="J1048" s="80"/>
      <c r="K1048" s="79"/>
      <c r="L1048" s="25"/>
      <c r="M1048" s="25"/>
      <c r="N1048" s="63"/>
      <c r="O1048" s="63"/>
      <c r="P1048" s="63"/>
      <c r="Q1048" s="63"/>
      <c r="R1048" s="32"/>
      <c r="S1048" s="32"/>
      <c r="T1048" s="32"/>
      <c r="U1048" s="32"/>
      <c r="W1048" s="32"/>
      <c r="X1048" s="32"/>
    </row>
    <row r="1049">
      <c r="A1049" s="40"/>
      <c r="B1049" s="40"/>
      <c r="C1049" s="40"/>
      <c r="D1049" s="78"/>
      <c r="E1049" s="79"/>
      <c r="F1049" s="40"/>
      <c r="G1049" s="78"/>
      <c r="H1049" s="78"/>
      <c r="I1049" s="80"/>
      <c r="J1049" s="80"/>
      <c r="K1049" s="79"/>
      <c r="L1049" s="25"/>
      <c r="M1049" s="25"/>
      <c r="N1049" s="63"/>
      <c r="O1049" s="63"/>
      <c r="P1049" s="63"/>
      <c r="Q1049" s="63"/>
      <c r="R1049" s="32"/>
      <c r="S1049" s="32"/>
      <c r="T1049" s="32"/>
      <c r="U1049" s="32"/>
      <c r="W1049" s="32"/>
      <c r="X1049" s="32"/>
    </row>
    <row r="1050">
      <c r="A1050" s="40"/>
      <c r="B1050" s="40"/>
      <c r="C1050" s="40"/>
      <c r="D1050" s="78"/>
      <c r="E1050" s="79"/>
      <c r="F1050" s="40"/>
      <c r="G1050" s="78"/>
      <c r="H1050" s="78"/>
      <c r="I1050" s="80"/>
      <c r="J1050" s="80"/>
      <c r="K1050" s="79"/>
      <c r="L1050" s="25"/>
      <c r="M1050" s="25"/>
      <c r="N1050" s="63"/>
      <c r="O1050" s="63"/>
      <c r="P1050" s="63"/>
      <c r="Q1050" s="63"/>
      <c r="R1050" s="32"/>
      <c r="S1050" s="32"/>
      <c r="T1050" s="32"/>
      <c r="U1050" s="32"/>
      <c r="W1050" s="32"/>
      <c r="X1050" s="32"/>
    </row>
    <row r="1051">
      <c r="A1051" s="40"/>
      <c r="B1051" s="40"/>
      <c r="C1051" s="40"/>
      <c r="D1051" s="78"/>
      <c r="E1051" s="79"/>
      <c r="F1051" s="40"/>
      <c r="G1051" s="78"/>
      <c r="H1051" s="78"/>
      <c r="I1051" s="80"/>
      <c r="J1051" s="80"/>
      <c r="K1051" s="79"/>
      <c r="L1051" s="25"/>
      <c r="M1051" s="25"/>
      <c r="N1051" s="63"/>
      <c r="O1051" s="63"/>
      <c r="P1051" s="63"/>
      <c r="Q1051" s="63"/>
      <c r="R1051" s="32"/>
      <c r="S1051" s="32"/>
      <c r="T1051" s="32"/>
      <c r="U1051" s="32"/>
      <c r="W1051" s="32"/>
      <c r="X1051" s="32"/>
    </row>
    <row r="1052">
      <c r="A1052" s="40"/>
      <c r="B1052" s="40"/>
      <c r="C1052" s="40"/>
      <c r="D1052" s="78"/>
      <c r="E1052" s="79"/>
      <c r="F1052" s="40"/>
      <c r="G1052" s="78"/>
      <c r="H1052" s="78"/>
      <c r="I1052" s="80"/>
      <c r="J1052" s="80"/>
      <c r="K1052" s="79"/>
      <c r="L1052" s="25"/>
      <c r="M1052" s="25"/>
      <c r="N1052" s="63"/>
      <c r="O1052" s="63"/>
      <c r="P1052" s="63"/>
      <c r="Q1052" s="63"/>
      <c r="R1052" s="32"/>
      <c r="S1052" s="32"/>
      <c r="T1052" s="32"/>
      <c r="U1052" s="32"/>
      <c r="W1052" s="32"/>
      <c r="X1052" s="32"/>
    </row>
    <row r="1053">
      <c r="A1053" s="40"/>
      <c r="B1053" s="40"/>
      <c r="C1053" s="40"/>
      <c r="D1053" s="78"/>
      <c r="E1053" s="79"/>
      <c r="F1053" s="40"/>
      <c r="G1053" s="78"/>
      <c r="H1053" s="78"/>
      <c r="I1053" s="80"/>
      <c r="J1053" s="80"/>
      <c r="K1053" s="79"/>
      <c r="L1053" s="25"/>
      <c r="M1053" s="25"/>
      <c r="N1053" s="63"/>
      <c r="O1053" s="63"/>
      <c r="P1053" s="63"/>
      <c r="Q1053" s="63"/>
      <c r="R1053" s="32"/>
      <c r="S1053" s="32"/>
      <c r="T1053" s="32"/>
      <c r="U1053" s="32"/>
      <c r="W1053" s="32"/>
      <c r="X1053" s="32"/>
    </row>
    <row r="1054">
      <c r="A1054" s="40"/>
      <c r="B1054" s="40"/>
      <c r="C1054" s="40"/>
      <c r="D1054" s="78"/>
      <c r="E1054" s="79"/>
      <c r="F1054" s="40"/>
      <c r="G1054" s="78"/>
      <c r="H1054" s="78"/>
      <c r="I1054" s="80"/>
      <c r="J1054" s="80"/>
      <c r="K1054" s="79"/>
      <c r="L1054" s="25"/>
      <c r="M1054" s="25"/>
      <c r="N1054" s="63"/>
      <c r="O1054" s="63"/>
      <c r="P1054" s="63"/>
      <c r="Q1054" s="63"/>
      <c r="R1054" s="32"/>
      <c r="S1054" s="32"/>
      <c r="T1054" s="32"/>
      <c r="U1054" s="32"/>
      <c r="W1054" s="32"/>
      <c r="X1054" s="32"/>
    </row>
    <row r="1055">
      <c r="A1055" s="40"/>
      <c r="B1055" s="40"/>
      <c r="C1055" s="40"/>
      <c r="D1055" s="78"/>
      <c r="E1055" s="79"/>
      <c r="F1055" s="40"/>
      <c r="G1055" s="78"/>
      <c r="H1055" s="78"/>
      <c r="I1055" s="80"/>
      <c r="J1055" s="80"/>
      <c r="K1055" s="79"/>
      <c r="L1055" s="25"/>
      <c r="M1055" s="25"/>
      <c r="N1055" s="63"/>
      <c r="O1055" s="63"/>
      <c r="P1055" s="63"/>
      <c r="Q1055" s="63"/>
      <c r="R1055" s="32"/>
      <c r="S1055" s="32"/>
      <c r="T1055" s="32"/>
      <c r="U1055" s="32"/>
      <c r="W1055" s="32"/>
      <c r="X1055" s="32"/>
    </row>
    <row r="1056">
      <c r="A1056" s="40"/>
      <c r="B1056" s="40"/>
      <c r="C1056" s="40"/>
      <c r="D1056" s="78"/>
      <c r="E1056" s="79"/>
      <c r="F1056" s="40"/>
      <c r="G1056" s="78"/>
      <c r="H1056" s="78"/>
      <c r="I1056" s="80"/>
      <c r="J1056" s="80"/>
      <c r="K1056" s="79"/>
      <c r="L1056" s="25"/>
      <c r="M1056" s="25"/>
      <c r="N1056" s="63"/>
      <c r="O1056" s="63"/>
      <c r="P1056" s="63"/>
      <c r="Q1056" s="63"/>
      <c r="R1056" s="32"/>
      <c r="S1056" s="32"/>
      <c r="T1056" s="32"/>
      <c r="U1056" s="32"/>
      <c r="W1056" s="32"/>
      <c r="X1056" s="32"/>
    </row>
    <row r="1057">
      <c r="A1057" s="40"/>
      <c r="B1057" s="40"/>
      <c r="C1057" s="40"/>
      <c r="D1057" s="78"/>
      <c r="E1057" s="79"/>
      <c r="F1057" s="40"/>
      <c r="G1057" s="78"/>
      <c r="H1057" s="78"/>
      <c r="I1057" s="80"/>
      <c r="J1057" s="80"/>
      <c r="K1057" s="79"/>
      <c r="L1057" s="25"/>
      <c r="M1057" s="25"/>
      <c r="N1057" s="63"/>
      <c r="O1057" s="63"/>
      <c r="P1057" s="63"/>
      <c r="Q1057" s="63"/>
      <c r="R1057" s="32"/>
      <c r="S1057" s="32"/>
      <c r="T1057" s="32"/>
      <c r="U1057" s="32"/>
      <c r="W1057" s="32"/>
      <c r="X1057" s="32"/>
    </row>
    <row r="1058">
      <c r="A1058" s="40"/>
      <c r="B1058" s="40"/>
      <c r="C1058" s="40"/>
      <c r="D1058" s="78"/>
      <c r="E1058" s="79"/>
      <c r="F1058" s="40"/>
      <c r="G1058" s="78"/>
      <c r="H1058" s="78"/>
      <c r="I1058" s="80"/>
      <c r="J1058" s="80"/>
      <c r="K1058" s="79"/>
      <c r="L1058" s="25"/>
      <c r="M1058" s="25"/>
      <c r="N1058" s="63"/>
      <c r="O1058" s="63"/>
      <c r="P1058" s="63"/>
      <c r="Q1058" s="63"/>
      <c r="R1058" s="32"/>
      <c r="S1058" s="32"/>
      <c r="T1058" s="32"/>
      <c r="U1058" s="32"/>
      <c r="W1058" s="32"/>
      <c r="X1058" s="32"/>
    </row>
    <row r="1059">
      <c r="A1059" s="40"/>
      <c r="B1059" s="40"/>
      <c r="C1059" s="40"/>
      <c r="D1059" s="78"/>
      <c r="E1059" s="79"/>
      <c r="F1059" s="40"/>
      <c r="G1059" s="78"/>
      <c r="H1059" s="78"/>
      <c r="I1059" s="80"/>
      <c r="J1059" s="80"/>
      <c r="K1059" s="79"/>
      <c r="L1059" s="25"/>
      <c r="M1059" s="25"/>
      <c r="N1059" s="63"/>
      <c r="O1059" s="63"/>
      <c r="P1059" s="63"/>
      <c r="Q1059" s="63"/>
      <c r="R1059" s="32"/>
      <c r="S1059" s="32"/>
      <c r="T1059" s="32"/>
      <c r="U1059" s="32"/>
      <c r="W1059" s="32"/>
      <c r="X1059" s="32"/>
    </row>
    <row r="1060">
      <c r="A1060" s="40"/>
      <c r="B1060" s="40"/>
      <c r="C1060" s="40"/>
      <c r="D1060" s="78"/>
      <c r="E1060" s="79"/>
      <c r="F1060" s="40"/>
      <c r="G1060" s="78"/>
      <c r="H1060" s="78"/>
      <c r="I1060" s="80"/>
      <c r="J1060" s="80"/>
      <c r="K1060" s="79"/>
      <c r="L1060" s="25"/>
      <c r="M1060" s="25"/>
      <c r="N1060" s="63"/>
      <c r="O1060" s="63"/>
      <c r="P1060" s="63"/>
      <c r="Q1060" s="63"/>
      <c r="R1060" s="32"/>
      <c r="S1060" s="32"/>
      <c r="T1060" s="32"/>
      <c r="U1060" s="32"/>
      <c r="W1060" s="32"/>
      <c r="X1060" s="32"/>
    </row>
    <row r="1061">
      <c r="A1061" s="40"/>
      <c r="B1061" s="40"/>
      <c r="C1061" s="40"/>
      <c r="D1061" s="78"/>
      <c r="E1061" s="79"/>
      <c r="F1061" s="40"/>
      <c r="G1061" s="78"/>
      <c r="H1061" s="78"/>
      <c r="I1061" s="80"/>
      <c r="J1061" s="80"/>
      <c r="K1061" s="79"/>
      <c r="L1061" s="25"/>
      <c r="M1061" s="25"/>
      <c r="N1061" s="63"/>
      <c r="O1061" s="63"/>
      <c r="P1061" s="63"/>
      <c r="Q1061" s="63"/>
      <c r="R1061" s="32"/>
      <c r="S1061" s="32"/>
      <c r="T1061" s="32"/>
      <c r="U1061" s="32"/>
      <c r="W1061" s="32"/>
      <c r="X1061" s="32"/>
    </row>
    <row r="1062">
      <c r="A1062" s="40"/>
      <c r="B1062" s="40"/>
      <c r="C1062" s="40"/>
      <c r="D1062" s="78"/>
      <c r="E1062" s="79"/>
      <c r="F1062" s="40"/>
      <c r="G1062" s="78"/>
      <c r="H1062" s="78"/>
      <c r="I1062" s="80"/>
      <c r="J1062" s="80"/>
      <c r="K1062" s="79"/>
      <c r="L1062" s="25"/>
      <c r="M1062" s="25"/>
      <c r="N1062" s="63"/>
      <c r="O1062" s="63"/>
      <c r="P1062" s="63"/>
      <c r="Q1062" s="63"/>
      <c r="R1062" s="32"/>
      <c r="S1062" s="32"/>
      <c r="T1062" s="32"/>
      <c r="U1062" s="32"/>
      <c r="W1062" s="32"/>
      <c r="X1062" s="32"/>
    </row>
    <row r="1063">
      <c r="A1063" s="40"/>
      <c r="B1063" s="40"/>
      <c r="C1063" s="40"/>
      <c r="D1063" s="78"/>
      <c r="E1063" s="79"/>
      <c r="F1063" s="40"/>
      <c r="G1063" s="78"/>
      <c r="H1063" s="78"/>
      <c r="I1063" s="80"/>
      <c r="J1063" s="80"/>
      <c r="K1063" s="79"/>
      <c r="L1063" s="25"/>
      <c r="M1063" s="25"/>
      <c r="N1063" s="63"/>
      <c r="O1063" s="63"/>
      <c r="P1063" s="63"/>
      <c r="Q1063" s="63"/>
      <c r="R1063" s="32"/>
      <c r="S1063" s="32"/>
      <c r="T1063" s="32"/>
      <c r="U1063" s="32"/>
      <c r="W1063" s="32"/>
      <c r="X1063" s="32"/>
    </row>
    <row r="1064">
      <c r="A1064" s="40"/>
      <c r="B1064" s="40"/>
      <c r="C1064" s="40"/>
      <c r="D1064" s="78"/>
      <c r="E1064" s="79"/>
      <c r="F1064" s="40"/>
      <c r="G1064" s="78"/>
      <c r="H1064" s="78"/>
      <c r="I1064" s="80"/>
      <c r="J1064" s="80"/>
      <c r="K1064" s="79"/>
      <c r="L1064" s="25"/>
      <c r="M1064" s="25"/>
      <c r="N1064" s="63"/>
      <c r="O1064" s="63"/>
      <c r="P1064" s="63"/>
      <c r="Q1064" s="63"/>
      <c r="R1064" s="32"/>
      <c r="S1064" s="32"/>
      <c r="T1064" s="32"/>
      <c r="U1064" s="32"/>
      <c r="W1064" s="32"/>
      <c r="X1064" s="32"/>
    </row>
    <row r="1065">
      <c r="A1065" s="40"/>
      <c r="B1065" s="40"/>
      <c r="C1065" s="40"/>
      <c r="D1065" s="78"/>
      <c r="E1065" s="79"/>
      <c r="F1065" s="40"/>
      <c r="G1065" s="78"/>
      <c r="H1065" s="78"/>
      <c r="I1065" s="80"/>
      <c r="J1065" s="80"/>
      <c r="K1065" s="79"/>
      <c r="L1065" s="25"/>
      <c r="M1065" s="25"/>
      <c r="N1065" s="63"/>
      <c r="O1065" s="63"/>
      <c r="P1065" s="63"/>
      <c r="Q1065" s="63"/>
      <c r="R1065" s="32"/>
      <c r="S1065" s="32"/>
      <c r="T1065" s="32"/>
      <c r="U1065" s="32"/>
      <c r="W1065" s="32"/>
      <c r="X1065" s="32"/>
    </row>
    <row r="1066">
      <c r="A1066" s="40"/>
      <c r="B1066" s="40"/>
      <c r="C1066" s="40"/>
      <c r="D1066" s="78"/>
      <c r="E1066" s="79"/>
      <c r="F1066" s="40"/>
      <c r="G1066" s="78"/>
      <c r="H1066" s="78"/>
      <c r="I1066" s="80"/>
      <c r="J1066" s="80"/>
      <c r="K1066" s="79"/>
      <c r="L1066" s="25"/>
      <c r="M1066" s="25"/>
      <c r="N1066" s="63"/>
      <c r="O1066" s="63"/>
      <c r="P1066" s="63"/>
      <c r="Q1066" s="63"/>
      <c r="R1066" s="32"/>
      <c r="S1066" s="32"/>
      <c r="T1066" s="32"/>
      <c r="U1066" s="32"/>
      <c r="W1066" s="32"/>
      <c r="X1066" s="32"/>
    </row>
    <row r="1067">
      <c r="A1067" s="40"/>
      <c r="B1067" s="40"/>
      <c r="C1067" s="40"/>
      <c r="D1067" s="78"/>
      <c r="E1067" s="79"/>
      <c r="F1067" s="40"/>
      <c r="G1067" s="78"/>
      <c r="H1067" s="78"/>
      <c r="I1067" s="80"/>
      <c r="J1067" s="80"/>
      <c r="K1067" s="79"/>
      <c r="L1067" s="25"/>
      <c r="M1067" s="25"/>
      <c r="N1067" s="63"/>
      <c r="O1067" s="63"/>
      <c r="P1067" s="63"/>
      <c r="Q1067" s="63"/>
      <c r="R1067" s="32"/>
      <c r="S1067" s="32"/>
      <c r="T1067" s="32"/>
      <c r="U1067" s="32"/>
      <c r="W1067" s="32"/>
      <c r="X1067" s="32"/>
    </row>
    <row r="1068">
      <c r="A1068" s="40"/>
      <c r="B1068" s="40"/>
      <c r="C1068" s="40"/>
      <c r="D1068" s="78"/>
      <c r="E1068" s="79"/>
      <c r="F1068" s="40"/>
      <c r="G1068" s="78"/>
      <c r="H1068" s="78"/>
      <c r="I1068" s="80"/>
      <c r="J1068" s="80"/>
      <c r="K1068" s="79"/>
      <c r="L1068" s="25"/>
      <c r="M1068" s="25"/>
      <c r="N1068" s="63"/>
      <c r="O1068" s="63"/>
      <c r="P1068" s="63"/>
      <c r="Q1068" s="63"/>
      <c r="R1068" s="32"/>
      <c r="S1068" s="32"/>
      <c r="T1068" s="32"/>
      <c r="U1068" s="32"/>
      <c r="W1068" s="32"/>
      <c r="X1068" s="32"/>
    </row>
    <row r="1069">
      <c r="A1069" s="40"/>
      <c r="B1069" s="40"/>
      <c r="C1069" s="40"/>
      <c r="D1069" s="78"/>
      <c r="E1069" s="79"/>
      <c r="F1069" s="40"/>
      <c r="G1069" s="78"/>
      <c r="H1069" s="78"/>
      <c r="I1069" s="80"/>
      <c r="J1069" s="80"/>
      <c r="K1069" s="79"/>
      <c r="L1069" s="25"/>
      <c r="M1069" s="25"/>
      <c r="N1069" s="63"/>
      <c r="O1069" s="63"/>
      <c r="P1069" s="63"/>
      <c r="Q1069" s="63"/>
      <c r="R1069" s="32"/>
      <c r="S1069" s="32"/>
      <c r="T1069" s="32"/>
      <c r="U1069" s="32"/>
      <c r="W1069" s="32"/>
      <c r="X1069" s="32"/>
    </row>
    <row r="1070">
      <c r="A1070" s="40"/>
      <c r="B1070" s="40"/>
      <c r="C1070" s="40"/>
      <c r="D1070" s="78"/>
      <c r="E1070" s="79"/>
      <c r="F1070" s="40"/>
      <c r="G1070" s="78"/>
      <c r="H1070" s="78"/>
      <c r="I1070" s="80"/>
      <c r="J1070" s="80"/>
      <c r="K1070" s="79"/>
      <c r="L1070" s="25"/>
      <c r="M1070" s="25"/>
      <c r="N1070" s="63"/>
      <c r="O1070" s="63"/>
      <c r="P1070" s="63"/>
      <c r="Q1070" s="63"/>
      <c r="R1070" s="32"/>
      <c r="S1070" s="32"/>
      <c r="T1070" s="32"/>
      <c r="U1070" s="32"/>
      <c r="W1070" s="32"/>
      <c r="X1070" s="32"/>
    </row>
    <row r="1071">
      <c r="A1071" s="40"/>
      <c r="B1071" s="40"/>
      <c r="C1071" s="40"/>
      <c r="D1071" s="78"/>
      <c r="E1071" s="79"/>
      <c r="F1071" s="40"/>
      <c r="G1071" s="78"/>
      <c r="H1071" s="78"/>
      <c r="I1071" s="80"/>
      <c r="J1071" s="80"/>
      <c r="K1071" s="79"/>
      <c r="L1071" s="25"/>
      <c r="M1071" s="25"/>
      <c r="N1071" s="63"/>
      <c r="O1071" s="63"/>
      <c r="P1071" s="63"/>
      <c r="Q1071" s="63"/>
      <c r="R1071" s="32"/>
      <c r="S1071" s="32"/>
      <c r="T1071" s="32"/>
      <c r="U1071" s="32"/>
      <c r="W1071" s="32"/>
      <c r="X1071" s="32"/>
    </row>
    <row r="1072">
      <c r="A1072" s="40"/>
      <c r="B1072" s="40"/>
      <c r="C1072" s="40"/>
      <c r="D1072" s="78"/>
      <c r="E1072" s="79"/>
      <c r="F1072" s="40"/>
      <c r="G1072" s="78"/>
      <c r="H1072" s="78"/>
      <c r="I1072" s="80"/>
      <c r="J1072" s="80"/>
      <c r="K1072" s="79"/>
      <c r="L1072" s="25"/>
      <c r="M1072" s="25"/>
      <c r="N1072" s="63"/>
      <c r="O1072" s="63"/>
      <c r="P1072" s="63"/>
      <c r="Q1072" s="63"/>
      <c r="R1072" s="32"/>
      <c r="S1072" s="32"/>
      <c r="T1072" s="32"/>
      <c r="U1072" s="32"/>
      <c r="W1072" s="32"/>
      <c r="X1072" s="32"/>
    </row>
    <row r="1073">
      <c r="A1073" s="40"/>
      <c r="B1073" s="40"/>
      <c r="C1073" s="40"/>
      <c r="D1073" s="78"/>
      <c r="E1073" s="79"/>
      <c r="F1073" s="40"/>
      <c r="G1073" s="78"/>
      <c r="H1073" s="78"/>
      <c r="I1073" s="80"/>
      <c r="J1073" s="80"/>
      <c r="K1073" s="79"/>
      <c r="L1073" s="25"/>
      <c r="M1073" s="25"/>
      <c r="N1073" s="63"/>
      <c r="O1073" s="63"/>
      <c r="P1073" s="63"/>
      <c r="Q1073" s="63"/>
      <c r="R1073" s="32"/>
      <c r="S1073" s="32"/>
      <c r="T1073" s="32"/>
      <c r="U1073" s="32"/>
      <c r="W1073" s="32"/>
      <c r="X1073" s="32"/>
    </row>
    <row r="1074">
      <c r="A1074" s="40"/>
      <c r="B1074" s="40"/>
      <c r="C1074" s="40"/>
      <c r="D1074" s="78"/>
      <c r="E1074" s="79"/>
      <c r="F1074" s="40"/>
      <c r="G1074" s="78"/>
      <c r="H1074" s="78"/>
      <c r="I1074" s="80"/>
      <c r="J1074" s="80"/>
      <c r="K1074" s="79"/>
      <c r="L1074" s="25"/>
      <c r="M1074" s="25"/>
      <c r="N1074" s="63"/>
      <c r="O1074" s="63"/>
      <c r="P1074" s="63"/>
      <c r="Q1074" s="63"/>
      <c r="R1074" s="32"/>
      <c r="S1074" s="32"/>
      <c r="T1074" s="32"/>
      <c r="U1074" s="32"/>
      <c r="W1074" s="32"/>
      <c r="X1074" s="32"/>
    </row>
    <row r="1075">
      <c r="A1075" s="40"/>
      <c r="B1075" s="40"/>
      <c r="C1075" s="40"/>
      <c r="D1075" s="78"/>
      <c r="E1075" s="79"/>
      <c r="F1075" s="40"/>
      <c r="G1075" s="78"/>
      <c r="H1075" s="78"/>
      <c r="I1075" s="80"/>
      <c r="J1075" s="80"/>
      <c r="K1075" s="79"/>
      <c r="L1075" s="25"/>
      <c r="M1075" s="25"/>
      <c r="N1075" s="63"/>
      <c r="O1075" s="63"/>
      <c r="P1075" s="63"/>
      <c r="Q1075" s="63"/>
      <c r="R1075" s="32"/>
      <c r="S1075" s="32"/>
      <c r="T1075" s="32"/>
      <c r="U1075" s="32"/>
      <c r="W1075" s="32"/>
      <c r="X1075" s="32"/>
    </row>
    <row r="1076">
      <c r="A1076" s="40"/>
      <c r="B1076" s="40"/>
      <c r="C1076" s="40"/>
      <c r="D1076" s="78"/>
      <c r="E1076" s="79"/>
      <c r="F1076" s="40"/>
      <c r="G1076" s="78"/>
      <c r="H1076" s="78"/>
      <c r="I1076" s="80"/>
      <c r="J1076" s="80"/>
      <c r="K1076" s="79"/>
      <c r="L1076" s="25"/>
      <c r="M1076" s="25"/>
      <c r="N1076" s="63"/>
      <c r="O1076" s="63"/>
      <c r="P1076" s="63"/>
      <c r="Q1076" s="63"/>
      <c r="R1076" s="32"/>
      <c r="S1076" s="32"/>
      <c r="T1076" s="32"/>
      <c r="U1076" s="32"/>
      <c r="W1076" s="32"/>
      <c r="X1076" s="32"/>
    </row>
    <row r="1077">
      <c r="A1077" s="40"/>
      <c r="B1077" s="40"/>
      <c r="C1077" s="40"/>
      <c r="D1077" s="78"/>
      <c r="E1077" s="79"/>
      <c r="F1077" s="40"/>
      <c r="G1077" s="78"/>
      <c r="H1077" s="78"/>
      <c r="I1077" s="80"/>
      <c r="J1077" s="80"/>
      <c r="K1077" s="79"/>
      <c r="L1077" s="25"/>
      <c r="M1077" s="25"/>
      <c r="N1077" s="63"/>
      <c r="O1077" s="63"/>
      <c r="P1077" s="63"/>
      <c r="Q1077" s="63"/>
      <c r="R1077" s="32"/>
      <c r="S1077" s="32"/>
      <c r="T1077" s="32"/>
      <c r="U1077" s="32"/>
      <c r="W1077" s="32"/>
      <c r="X1077" s="32"/>
    </row>
    <row r="1078">
      <c r="A1078" s="40"/>
      <c r="B1078" s="40"/>
      <c r="C1078" s="40"/>
      <c r="D1078" s="78"/>
      <c r="E1078" s="79"/>
      <c r="F1078" s="40"/>
      <c r="G1078" s="78"/>
      <c r="H1078" s="78"/>
      <c r="I1078" s="80"/>
      <c r="J1078" s="80"/>
      <c r="K1078" s="79"/>
      <c r="L1078" s="25"/>
      <c r="M1078" s="25"/>
      <c r="N1078" s="63"/>
      <c r="O1078" s="63"/>
      <c r="P1078" s="63"/>
      <c r="Q1078" s="63"/>
      <c r="R1078" s="32"/>
      <c r="S1078" s="32"/>
      <c r="T1078" s="32"/>
      <c r="U1078" s="32"/>
      <c r="W1078" s="32"/>
      <c r="X1078" s="32"/>
    </row>
    <row r="1079">
      <c r="A1079" s="40"/>
      <c r="B1079" s="40"/>
      <c r="C1079" s="40"/>
      <c r="D1079" s="78"/>
      <c r="E1079" s="79"/>
      <c r="F1079" s="40"/>
      <c r="G1079" s="78"/>
      <c r="H1079" s="78"/>
      <c r="I1079" s="80"/>
      <c r="J1079" s="80"/>
      <c r="K1079" s="79"/>
      <c r="L1079" s="25"/>
      <c r="M1079" s="25"/>
      <c r="N1079" s="63"/>
      <c r="O1079" s="63"/>
      <c r="P1079" s="63"/>
      <c r="Q1079" s="63"/>
      <c r="R1079" s="32"/>
      <c r="S1079" s="32"/>
      <c r="T1079" s="32"/>
      <c r="U1079" s="32"/>
      <c r="W1079" s="32"/>
      <c r="X1079" s="32"/>
    </row>
    <row r="1080">
      <c r="A1080" s="40"/>
      <c r="B1080" s="40"/>
      <c r="C1080" s="40"/>
      <c r="D1080" s="78"/>
      <c r="E1080" s="79"/>
      <c r="F1080" s="40"/>
      <c r="G1080" s="78"/>
      <c r="H1080" s="78"/>
      <c r="I1080" s="80"/>
      <c r="J1080" s="80"/>
      <c r="K1080" s="79"/>
      <c r="L1080" s="25"/>
      <c r="M1080" s="25"/>
      <c r="N1080" s="63"/>
      <c r="O1080" s="63"/>
      <c r="P1080" s="63"/>
      <c r="Q1080" s="63"/>
      <c r="R1080" s="32"/>
      <c r="S1080" s="32"/>
      <c r="T1080" s="32"/>
      <c r="U1080" s="32"/>
      <c r="W1080" s="32"/>
      <c r="X1080" s="32"/>
    </row>
    <row r="1081">
      <c r="A1081" s="40"/>
      <c r="B1081" s="40"/>
      <c r="C1081" s="40"/>
      <c r="D1081" s="78"/>
      <c r="E1081" s="79"/>
      <c r="F1081" s="40"/>
      <c r="G1081" s="78"/>
      <c r="H1081" s="78"/>
      <c r="I1081" s="80"/>
      <c r="J1081" s="80"/>
      <c r="K1081" s="79"/>
      <c r="L1081" s="25"/>
      <c r="M1081" s="25"/>
      <c r="N1081" s="63"/>
      <c r="O1081" s="63"/>
      <c r="P1081" s="63"/>
      <c r="Q1081" s="63"/>
      <c r="R1081" s="32"/>
      <c r="S1081" s="32"/>
      <c r="T1081" s="32"/>
      <c r="U1081" s="32"/>
      <c r="W1081" s="32"/>
      <c r="X1081" s="32"/>
    </row>
    <row r="1082">
      <c r="A1082" s="40"/>
      <c r="B1082" s="40"/>
      <c r="C1082" s="40"/>
      <c r="D1082" s="78"/>
      <c r="E1082" s="79"/>
      <c r="F1082" s="40"/>
      <c r="G1082" s="78"/>
      <c r="H1082" s="78"/>
      <c r="I1082" s="80"/>
      <c r="J1082" s="80"/>
      <c r="K1082" s="79"/>
      <c r="L1082" s="25"/>
      <c r="M1082" s="25"/>
      <c r="N1082" s="63"/>
      <c r="O1082" s="63"/>
      <c r="P1082" s="63"/>
      <c r="Q1082" s="63"/>
      <c r="R1082" s="32"/>
      <c r="S1082" s="32"/>
      <c r="T1082" s="32"/>
      <c r="U1082" s="32"/>
      <c r="W1082" s="32"/>
      <c r="X1082" s="32"/>
    </row>
    <row r="1083">
      <c r="A1083" s="40"/>
      <c r="B1083" s="40"/>
      <c r="C1083" s="40"/>
      <c r="D1083" s="78"/>
      <c r="E1083" s="79"/>
      <c r="F1083" s="40"/>
      <c r="G1083" s="78"/>
      <c r="H1083" s="78"/>
      <c r="I1083" s="80"/>
      <c r="J1083" s="80"/>
      <c r="K1083" s="79"/>
      <c r="L1083" s="25"/>
      <c r="M1083" s="25"/>
      <c r="N1083" s="63"/>
      <c r="O1083" s="63"/>
      <c r="P1083" s="63"/>
      <c r="Q1083" s="63"/>
      <c r="R1083" s="32"/>
      <c r="S1083" s="32"/>
      <c r="T1083" s="32"/>
      <c r="U1083" s="32"/>
      <c r="W1083" s="32"/>
      <c r="X1083" s="32"/>
    </row>
    <row r="1084">
      <c r="A1084" s="40"/>
      <c r="B1084" s="40"/>
      <c r="C1084" s="40"/>
      <c r="D1084" s="78"/>
      <c r="E1084" s="79"/>
      <c r="F1084" s="40"/>
      <c r="G1084" s="78"/>
      <c r="H1084" s="78"/>
      <c r="I1084" s="80"/>
      <c r="J1084" s="80"/>
      <c r="K1084" s="79"/>
      <c r="L1084" s="25"/>
      <c r="M1084" s="25"/>
      <c r="N1084" s="63"/>
      <c r="O1084" s="63"/>
      <c r="P1084" s="63"/>
      <c r="Q1084" s="63"/>
      <c r="R1084" s="32"/>
      <c r="S1084" s="32"/>
      <c r="T1084" s="32"/>
      <c r="U1084" s="32"/>
      <c r="W1084" s="32"/>
      <c r="X1084" s="32"/>
    </row>
    <row r="1085">
      <c r="A1085" s="40"/>
      <c r="B1085" s="40"/>
      <c r="C1085" s="40"/>
      <c r="D1085" s="78"/>
      <c r="E1085" s="79"/>
      <c r="F1085" s="40"/>
      <c r="G1085" s="78"/>
      <c r="H1085" s="78"/>
      <c r="I1085" s="80"/>
      <c r="J1085" s="80"/>
      <c r="K1085" s="79"/>
      <c r="L1085" s="25"/>
      <c r="M1085" s="25"/>
      <c r="N1085" s="63"/>
      <c r="O1085" s="63"/>
      <c r="P1085" s="63"/>
      <c r="Q1085" s="63"/>
      <c r="R1085" s="32"/>
      <c r="S1085" s="32"/>
      <c r="T1085" s="32"/>
      <c r="U1085" s="32"/>
      <c r="W1085" s="32"/>
      <c r="X1085" s="32"/>
    </row>
    <row r="1086">
      <c r="A1086" s="40"/>
      <c r="B1086" s="40"/>
      <c r="C1086" s="40"/>
      <c r="D1086" s="78"/>
      <c r="E1086" s="79"/>
      <c r="F1086" s="40"/>
      <c r="G1086" s="78"/>
      <c r="H1086" s="78"/>
      <c r="I1086" s="80"/>
      <c r="J1086" s="80"/>
      <c r="K1086" s="79"/>
      <c r="L1086" s="25"/>
      <c r="M1086" s="25"/>
      <c r="N1086" s="63"/>
      <c r="O1086" s="63"/>
      <c r="P1086" s="63"/>
      <c r="Q1086" s="63"/>
      <c r="R1086" s="32"/>
      <c r="S1086" s="32"/>
      <c r="T1086" s="32"/>
      <c r="U1086" s="32"/>
      <c r="W1086" s="32"/>
      <c r="X1086" s="32"/>
    </row>
    <row r="1087">
      <c r="A1087" s="40"/>
      <c r="B1087" s="40"/>
      <c r="C1087" s="40"/>
      <c r="D1087" s="78"/>
      <c r="E1087" s="79"/>
      <c r="F1087" s="40"/>
      <c r="G1087" s="78"/>
      <c r="H1087" s="78"/>
      <c r="I1087" s="80"/>
      <c r="J1087" s="80"/>
      <c r="K1087" s="79"/>
      <c r="L1087" s="25"/>
      <c r="M1087" s="25"/>
      <c r="N1087" s="63"/>
      <c r="O1087" s="63"/>
      <c r="P1087" s="63"/>
      <c r="Q1087" s="63"/>
      <c r="R1087" s="32"/>
      <c r="S1087" s="32"/>
      <c r="T1087" s="32"/>
      <c r="U1087" s="32"/>
      <c r="W1087" s="32"/>
      <c r="X1087" s="32"/>
    </row>
    <row r="1088">
      <c r="A1088" s="40"/>
      <c r="B1088" s="40"/>
      <c r="C1088" s="40"/>
      <c r="D1088" s="78"/>
      <c r="E1088" s="79"/>
      <c r="F1088" s="40"/>
      <c r="G1088" s="78"/>
      <c r="H1088" s="78"/>
      <c r="I1088" s="80"/>
      <c r="J1088" s="80"/>
      <c r="K1088" s="79"/>
      <c r="L1088" s="25"/>
      <c r="M1088" s="25"/>
      <c r="N1088" s="63"/>
      <c r="O1088" s="63"/>
      <c r="P1088" s="63"/>
      <c r="Q1088" s="63"/>
      <c r="R1088" s="32"/>
      <c r="S1088" s="32"/>
      <c r="T1088" s="32"/>
      <c r="U1088" s="32"/>
      <c r="W1088" s="32"/>
      <c r="X1088" s="32"/>
    </row>
    <row r="1089">
      <c r="A1089" s="40"/>
      <c r="B1089" s="40"/>
      <c r="C1089" s="40"/>
      <c r="D1089" s="78"/>
      <c r="E1089" s="79"/>
      <c r="F1089" s="40"/>
      <c r="G1089" s="78"/>
      <c r="H1089" s="78"/>
      <c r="I1089" s="80"/>
      <c r="J1089" s="80"/>
      <c r="K1089" s="79"/>
      <c r="L1089" s="25"/>
      <c r="M1089" s="25"/>
      <c r="N1089" s="63"/>
      <c r="O1089" s="63"/>
      <c r="P1089" s="63"/>
      <c r="Q1089" s="63"/>
      <c r="R1089" s="32"/>
      <c r="S1089" s="32"/>
      <c r="T1089" s="32"/>
      <c r="U1089" s="32"/>
      <c r="W1089" s="32"/>
      <c r="X1089" s="32"/>
    </row>
    <row r="1090">
      <c r="A1090" s="40"/>
      <c r="B1090" s="40"/>
      <c r="C1090" s="40"/>
      <c r="D1090" s="78"/>
      <c r="E1090" s="79"/>
      <c r="F1090" s="40"/>
      <c r="G1090" s="78"/>
      <c r="H1090" s="78"/>
      <c r="I1090" s="80"/>
      <c r="J1090" s="80"/>
      <c r="K1090" s="79"/>
      <c r="L1090" s="25"/>
      <c r="M1090" s="25"/>
      <c r="N1090" s="63"/>
      <c r="O1090" s="63"/>
      <c r="P1090" s="63"/>
      <c r="Q1090" s="63"/>
      <c r="R1090" s="32"/>
      <c r="S1090" s="32"/>
      <c r="T1090" s="32"/>
      <c r="U1090" s="32"/>
      <c r="W1090" s="32"/>
      <c r="X1090" s="32"/>
    </row>
    <row r="1091">
      <c r="A1091" s="40"/>
      <c r="B1091" s="40"/>
      <c r="C1091" s="40"/>
      <c r="D1091" s="78"/>
      <c r="E1091" s="79"/>
      <c r="F1091" s="40"/>
      <c r="G1091" s="78"/>
      <c r="H1091" s="78"/>
      <c r="I1091" s="80"/>
      <c r="J1091" s="80"/>
      <c r="K1091" s="79"/>
      <c r="L1091" s="25"/>
      <c r="M1091" s="25"/>
      <c r="N1091" s="63"/>
      <c r="O1091" s="63"/>
      <c r="P1091" s="63"/>
      <c r="Q1091" s="63"/>
      <c r="R1091" s="32"/>
      <c r="S1091" s="32"/>
      <c r="T1091" s="32"/>
      <c r="U1091" s="32"/>
      <c r="W1091" s="32"/>
      <c r="X1091" s="32"/>
    </row>
    <row r="1092">
      <c r="A1092" s="40"/>
      <c r="B1092" s="40"/>
      <c r="C1092" s="40"/>
      <c r="D1092" s="78"/>
      <c r="E1092" s="79"/>
      <c r="F1092" s="40"/>
      <c r="G1092" s="78"/>
      <c r="H1092" s="78"/>
      <c r="I1092" s="80"/>
      <c r="J1092" s="80"/>
      <c r="K1092" s="79"/>
      <c r="L1092" s="25"/>
      <c r="M1092" s="25"/>
      <c r="N1092" s="63"/>
      <c r="O1092" s="63"/>
      <c r="P1092" s="63"/>
      <c r="Q1092" s="63"/>
      <c r="R1092" s="32"/>
      <c r="S1092" s="32"/>
      <c r="T1092" s="32"/>
      <c r="U1092" s="32"/>
      <c r="W1092" s="32"/>
      <c r="X1092" s="32"/>
    </row>
    <row r="1093">
      <c r="A1093" s="40"/>
      <c r="B1093" s="40"/>
      <c r="C1093" s="40"/>
      <c r="D1093" s="78"/>
      <c r="E1093" s="79"/>
      <c r="F1093" s="40"/>
      <c r="G1093" s="78"/>
      <c r="H1093" s="78"/>
      <c r="I1093" s="80"/>
      <c r="J1093" s="80"/>
      <c r="K1093" s="79"/>
      <c r="L1093" s="25"/>
      <c r="M1093" s="25"/>
      <c r="N1093" s="63"/>
      <c r="O1093" s="63"/>
      <c r="P1093" s="63"/>
      <c r="Q1093" s="63"/>
      <c r="R1093" s="32"/>
      <c r="S1093" s="32"/>
      <c r="T1093" s="32"/>
      <c r="U1093" s="32"/>
      <c r="W1093" s="32"/>
      <c r="X1093" s="32"/>
    </row>
    <row r="1094">
      <c r="A1094" s="40"/>
      <c r="B1094" s="40"/>
      <c r="C1094" s="40"/>
      <c r="D1094" s="78"/>
      <c r="E1094" s="79"/>
      <c r="F1094" s="40"/>
      <c r="G1094" s="78"/>
      <c r="H1094" s="78"/>
      <c r="I1094" s="80"/>
      <c r="J1094" s="80"/>
      <c r="K1094" s="79"/>
      <c r="L1094" s="25"/>
      <c r="M1094" s="25"/>
      <c r="N1094" s="63"/>
      <c r="O1094" s="63"/>
      <c r="P1094" s="63"/>
      <c r="Q1094" s="63"/>
      <c r="R1094" s="32"/>
      <c r="S1094" s="32"/>
      <c r="T1094" s="32"/>
      <c r="U1094" s="32"/>
      <c r="W1094" s="32"/>
      <c r="X1094" s="32"/>
    </row>
    <row r="1095">
      <c r="A1095" s="40"/>
      <c r="B1095" s="40"/>
      <c r="C1095" s="40"/>
      <c r="D1095" s="78"/>
      <c r="E1095" s="79"/>
      <c r="F1095" s="40"/>
      <c r="G1095" s="78"/>
      <c r="H1095" s="78"/>
      <c r="I1095" s="80"/>
      <c r="J1095" s="80"/>
      <c r="K1095" s="79"/>
      <c r="L1095" s="25"/>
      <c r="M1095" s="25"/>
      <c r="N1095" s="63"/>
      <c r="O1095" s="63"/>
      <c r="P1095" s="63"/>
      <c r="Q1095" s="63"/>
      <c r="R1095" s="32"/>
      <c r="S1095" s="32"/>
      <c r="T1095" s="32"/>
      <c r="U1095" s="32"/>
      <c r="W1095" s="32"/>
      <c r="X1095" s="32"/>
    </row>
    <row r="1096">
      <c r="A1096" s="40"/>
      <c r="B1096" s="40"/>
      <c r="C1096" s="40"/>
      <c r="D1096" s="78"/>
      <c r="E1096" s="79"/>
      <c r="F1096" s="40"/>
      <c r="G1096" s="78"/>
      <c r="H1096" s="78"/>
      <c r="I1096" s="80"/>
      <c r="J1096" s="80"/>
      <c r="K1096" s="79"/>
      <c r="L1096" s="25"/>
      <c r="M1096" s="25"/>
      <c r="N1096" s="63"/>
      <c r="O1096" s="63"/>
      <c r="P1096" s="63"/>
      <c r="Q1096" s="63"/>
      <c r="R1096" s="32"/>
      <c r="S1096" s="32"/>
      <c r="T1096" s="32"/>
      <c r="U1096" s="32"/>
      <c r="W1096" s="32"/>
      <c r="X1096" s="32"/>
    </row>
    <row r="1097">
      <c r="A1097" s="40"/>
      <c r="B1097" s="40"/>
      <c r="C1097" s="40"/>
      <c r="D1097" s="78"/>
      <c r="E1097" s="79"/>
      <c r="F1097" s="40"/>
      <c r="G1097" s="78"/>
      <c r="H1097" s="78"/>
      <c r="I1097" s="80"/>
      <c r="J1097" s="80"/>
      <c r="K1097" s="79"/>
      <c r="L1097" s="25"/>
      <c r="M1097" s="25"/>
      <c r="N1097" s="63"/>
      <c r="O1097" s="63"/>
      <c r="P1097" s="63"/>
      <c r="Q1097" s="63"/>
      <c r="R1097" s="32"/>
      <c r="S1097" s="32"/>
      <c r="T1097" s="32"/>
      <c r="U1097" s="32"/>
      <c r="W1097" s="32"/>
      <c r="X1097" s="32"/>
    </row>
    <row r="1098">
      <c r="A1098" s="40"/>
      <c r="B1098" s="40"/>
      <c r="C1098" s="40"/>
      <c r="D1098" s="78"/>
      <c r="E1098" s="79"/>
      <c r="F1098" s="40"/>
      <c r="G1098" s="78"/>
      <c r="H1098" s="78"/>
      <c r="I1098" s="80"/>
      <c r="J1098" s="80"/>
      <c r="K1098" s="79"/>
      <c r="L1098" s="25"/>
      <c r="M1098" s="25"/>
      <c r="N1098" s="63"/>
      <c r="O1098" s="63"/>
      <c r="P1098" s="63"/>
      <c r="Q1098" s="63"/>
      <c r="R1098" s="32"/>
      <c r="S1098" s="32"/>
      <c r="T1098" s="32"/>
      <c r="U1098" s="32"/>
      <c r="W1098" s="32"/>
      <c r="X1098" s="32"/>
    </row>
    <row r="1099">
      <c r="A1099" s="40"/>
      <c r="B1099" s="40"/>
      <c r="C1099" s="40"/>
      <c r="D1099" s="78"/>
      <c r="E1099" s="79"/>
      <c r="F1099" s="40"/>
      <c r="G1099" s="78"/>
      <c r="H1099" s="78"/>
      <c r="I1099" s="80"/>
      <c r="J1099" s="80"/>
      <c r="K1099" s="79"/>
      <c r="L1099" s="25"/>
      <c r="M1099" s="25"/>
      <c r="N1099" s="63"/>
      <c r="O1099" s="63"/>
      <c r="P1099" s="63"/>
      <c r="Q1099" s="63"/>
      <c r="R1099" s="32"/>
      <c r="S1099" s="32"/>
      <c r="T1099" s="32"/>
      <c r="U1099" s="32"/>
      <c r="W1099" s="32"/>
      <c r="X1099" s="32"/>
    </row>
    <row r="1100">
      <c r="A1100" s="40"/>
      <c r="B1100" s="40"/>
      <c r="C1100" s="40"/>
      <c r="D1100" s="78"/>
      <c r="E1100" s="79"/>
      <c r="F1100" s="40"/>
      <c r="G1100" s="78"/>
      <c r="H1100" s="78"/>
      <c r="I1100" s="80"/>
      <c r="J1100" s="80"/>
      <c r="K1100" s="79"/>
      <c r="L1100" s="25"/>
      <c r="M1100" s="25"/>
      <c r="N1100" s="63"/>
      <c r="O1100" s="63"/>
      <c r="P1100" s="63"/>
      <c r="Q1100" s="63"/>
      <c r="R1100" s="32"/>
      <c r="S1100" s="32"/>
      <c r="T1100" s="32"/>
      <c r="U1100" s="32"/>
      <c r="W1100" s="32"/>
      <c r="X1100" s="32"/>
    </row>
    <row r="1101">
      <c r="A1101" s="40"/>
      <c r="B1101" s="40"/>
      <c r="C1101" s="40"/>
      <c r="D1101" s="78"/>
      <c r="E1101" s="79"/>
      <c r="F1101" s="40"/>
      <c r="G1101" s="78"/>
      <c r="H1101" s="78"/>
      <c r="I1101" s="80"/>
      <c r="J1101" s="80"/>
      <c r="K1101" s="79"/>
      <c r="L1101" s="25"/>
      <c r="M1101" s="25"/>
      <c r="N1101" s="63"/>
      <c r="O1101" s="63"/>
      <c r="P1101" s="63"/>
      <c r="Q1101" s="63"/>
      <c r="R1101" s="32"/>
      <c r="S1101" s="32"/>
      <c r="T1101" s="32"/>
      <c r="U1101" s="32"/>
      <c r="W1101" s="32"/>
      <c r="X1101" s="32"/>
    </row>
    <row r="1102">
      <c r="A1102" s="40"/>
      <c r="B1102" s="40"/>
      <c r="C1102" s="40"/>
      <c r="D1102" s="78"/>
      <c r="E1102" s="79"/>
      <c r="F1102" s="40"/>
      <c r="G1102" s="78"/>
      <c r="H1102" s="78"/>
      <c r="I1102" s="80"/>
      <c r="J1102" s="80"/>
      <c r="K1102" s="79"/>
      <c r="L1102" s="25"/>
      <c r="M1102" s="25"/>
      <c r="N1102" s="63"/>
      <c r="O1102" s="63"/>
      <c r="P1102" s="63"/>
      <c r="Q1102" s="63"/>
      <c r="R1102" s="32"/>
      <c r="S1102" s="32"/>
      <c r="T1102" s="32"/>
      <c r="U1102" s="32"/>
      <c r="W1102" s="32"/>
      <c r="X1102" s="32"/>
    </row>
    <row r="1103">
      <c r="A1103" s="40"/>
      <c r="B1103" s="40"/>
      <c r="C1103" s="40"/>
      <c r="D1103" s="78"/>
      <c r="E1103" s="79"/>
      <c r="F1103" s="40"/>
      <c r="G1103" s="78"/>
      <c r="H1103" s="78"/>
      <c r="I1103" s="80"/>
      <c r="J1103" s="80"/>
      <c r="K1103" s="79"/>
      <c r="L1103" s="25"/>
      <c r="M1103" s="25"/>
      <c r="N1103" s="63"/>
      <c r="O1103" s="63"/>
      <c r="P1103" s="63"/>
      <c r="Q1103" s="63"/>
      <c r="R1103" s="32"/>
      <c r="S1103" s="32"/>
      <c r="T1103" s="32"/>
      <c r="U1103" s="32"/>
      <c r="W1103" s="32"/>
      <c r="X1103" s="32"/>
    </row>
    <row r="1104">
      <c r="A1104" s="40"/>
      <c r="B1104" s="40"/>
      <c r="C1104" s="40"/>
      <c r="D1104" s="78"/>
      <c r="E1104" s="79"/>
      <c r="F1104" s="40"/>
      <c r="G1104" s="78"/>
      <c r="H1104" s="78"/>
      <c r="I1104" s="80"/>
      <c r="J1104" s="80"/>
      <c r="K1104" s="79"/>
      <c r="L1104" s="25"/>
      <c r="M1104" s="25"/>
      <c r="N1104" s="63"/>
      <c r="O1104" s="63"/>
      <c r="P1104" s="63"/>
      <c r="Q1104" s="63"/>
      <c r="R1104" s="32"/>
      <c r="S1104" s="32"/>
      <c r="T1104" s="32"/>
      <c r="U1104" s="32"/>
      <c r="W1104" s="32"/>
      <c r="X1104" s="32"/>
    </row>
    <row r="1105">
      <c r="A1105" s="40"/>
      <c r="B1105" s="40"/>
      <c r="C1105" s="40"/>
      <c r="D1105" s="78"/>
      <c r="E1105" s="79"/>
      <c r="F1105" s="40"/>
      <c r="G1105" s="78"/>
      <c r="H1105" s="78"/>
      <c r="I1105" s="80"/>
      <c r="J1105" s="80"/>
      <c r="K1105" s="79"/>
      <c r="L1105" s="25"/>
      <c r="M1105" s="25"/>
      <c r="N1105" s="63"/>
      <c r="O1105" s="63"/>
      <c r="P1105" s="63"/>
      <c r="Q1105" s="63"/>
      <c r="R1105" s="32"/>
      <c r="S1105" s="32"/>
      <c r="T1105" s="32"/>
      <c r="U1105" s="32"/>
      <c r="W1105" s="32"/>
      <c r="X1105" s="32"/>
    </row>
    <row r="1106">
      <c r="A1106" s="40"/>
      <c r="B1106" s="40"/>
      <c r="C1106" s="40"/>
      <c r="D1106" s="78"/>
      <c r="E1106" s="79"/>
      <c r="F1106" s="40"/>
      <c r="G1106" s="78"/>
      <c r="H1106" s="78"/>
      <c r="I1106" s="80"/>
      <c r="J1106" s="80"/>
      <c r="K1106" s="79"/>
      <c r="L1106" s="25"/>
      <c r="M1106" s="25"/>
      <c r="N1106" s="63"/>
      <c r="O1106" s="63"/>
      <c r="P1106" s="63"/>
      <c r="Q1106" s="63"/>
      <c r="R1106" s="32"/>
      <c r="S1106" s="32"/>
      <c r="T1106" s="32"/>
      <c r="U1106" s="32"/>
      <c r="W1106" s="32"/>
      <c r="X1106" s="32"/>
    </row>
    <row r="1107">
      <c r="A1107" s="40"/>
      <c r="B1107" s="40"/>
      <c r="C1107" s="40"/>
      <c r="D1107" s="78"/>
      <c r="E1107" s="79"/>
      <c r="F1107" s="40"/>
      <c r="G1107" s="78"/>
      <c r="H1107" s="78"/>
      <c r="I1107" s="80"/>
      <c r="J1107" s="80"/>
      <c r="K1107" s="79"/>
      <c r="L1107" s="25"/>
      <c r="M1107" s="25"/>
      <c r="N1107" s="63"/>
      <c r="O1107" s="63"/>
      <c r="P1107" s="63"/>
      <c r="Q1107" s="63"/>
      <c r="R1107" s="32"/>
      <c r="S1107" s="32"/>
      <c r="T1107" s="32"/>
      <c r="U1107" s="32"/>
      <c r="W1107" s="32"/>
      <c r="X1107" s="32"/>
    </row>
    <row r="1108">
      <c r="A1108" s="40"/>
      <c r="B1108" s="40"/>
      <c r="C1108" s="40"/>
      <c r="D1108" s="78"/>
      <c r="E1108" s="79"/>
      <c r="F1108" s="40"/>
      <c r="G1108" s="78"/>
      <c r="H1108" s="78"/>
      <c r="I1108" s="80"/>
      <c r="J1108" s="80"/>
      <c r="K1108" s="79"/>
      <c r="L1108" s="25"/>
      <c r="M1108" s="25"/>
      <c r="N1108" s="63"/>
      <c r="O1108" s="63"/>
      <c r="P1108" s="63"/>
      <c r="Q1108" s="63"/>
      <c r="R1108" s="32"/>
      <c r="S1108" s="32"/>
      <c r="T1108" s="32"/>
      <c r="U1108" s="32"/>
      <c r="W1108" s="32"/>
      <c r="X1108" s="32"/>
    </row>
    <row r="1109">
      <c r="A1109" s="40"/>
      <c r="B1109" s="40"/>
      <c r="C1109" s="40"/>
      <c r="D1109" s="78"/>
      <c r="E1109" s="79"/>
      <c r="F1109" s="40"/>
      <c r="G1109" s="78"/>
      <c r="H1109" s="78"/>
      <c r="I1109" s="80"/>
      <c r="J1109" s="80"/>
      <c r="K1109" s="79"/>
      <c r="L1109" s="25"/>
      <c r="M1109" s="25"/>
      <c r="N1109" s="63"/>
      <c r="O1109" s="63"/>
      <c r="P1109" s="63"/>
      <c r="Q1109" s="63"/>
      <c r="R1109" s="32"/>
      <c r="S1109" s="32"/>
      <c r="T1109" s="32"/>
      <c r="U1109" s="32"/>
      <c r="W1109" s="32"/>
      <c r="X1109" s="32"/>
    </row>
    <row r="1110">
      <c r="A1110" s="40"/>
      <c r="B1110" s="40"/>
      <c r="C1110" s="40"/>
      <c r="D1110" s="78"/>
      <c r="E1110" s="79"/>
      <c r="F1110" s="40"/>
      <c r="G1110" s="78"/>
      <c r="H1110" s="78"/>
      <c r="I1110" s="80"/>
      <c r="J1110" s="80"/>
      <c r="K1110" s="79"/>
      <c r="L1110" s="25"/>
      <c r="M1110" s="25"/>
      <c r="N1110" s="63"/>
      <c r="O1110" s="63"/>
      <c r="P1110" s="63"/>
      <c r="Q1110" s="63"/>
      <c r="R1110" s="32"/>
      <c r="S1110" s="32"/>
      <c r="T1110" s="32"/>
      <c r="U1110" s="32"/>
      <c r="W1110" s="32"/>
      <c r="X1110" s="32"/>
    </row>
    <row r="1111">
      <c r="A1111" s="40"/>
      <c r="B1111" s="40"/>
      <c r="C1111" s="40"/>
      <c r="D1111" s="78"/>
      <c r="E1111" s="79"/>
      <c r="F1111" s="40"/>
      <c r="G1111" s="78"/>
      <c r="H1111" s="78"/>
      <c r="I1111" s="80"/>
      <c r="J1111" s="80"/>
      <c r="K1111" s="79"/>
      <c r="L1111" s="25"/>
      <c r="M1111" s="25"/>
      <c r="N1111" s="63"/>
      <c r="O1111" s="63"/>
      <c r="P1111" s="63"/>
      <c r="Q1111" s="63"/>
      <c r="R1111" s="32"/>
      <c r="S1111" s="32"/>
      <c r="T1111" s="32"/>
      <c r="U1111" s="32"/>
      <c r="W1111" s="32"/>
      <c r="X1111" s="32"/>
    </row>
    <row r="1112">
      <c r="A1112" s="40"/>
      <c r="B1112" s="40"/>
      <c r="C1112" s="40"/>
      <c r="D1112" s="78"/>
      <c r="E1112" s="79"/>
      <c r="F1112" s="40"/>
      <c r="G1112" s="78"/>
      <c r="H1112" s="78"/>
      <c r="I1112" s="80"/>
      <c r="J1112" s="80"/>
      <c r="K1112" s="79"/>
      <c r="L1112" s="25"/>
      <c r="M1112" s="25"/>
      <c r="N1112" s="63"/>
      <c r="O1112" s="63"/>
      <c r="P1112" s="63"/>
      <c r="Q1112" s="63"/>
      <c r="R1112" s="32"/>
      <c r="S1112" s="32"/>
      <c r="T1112" s="32"/>
      <c r="U1112" s="32"/>
      <c r="W1112" s="32"/>
      <c r="X1112" s="32"/>
    </row>
    <row r="1113">
      <c r="A1113" s="40"/>
      <c r="B1113" s="40"/>
      <c r="C1113" s="40"/>
      <c r="D1113" s="78"/>
      <c r="E1113" s="79"/>
      <c r="F1113" s="40"/>
      <c r="G1113" s="78"/>
      <c r="H1113" s="78"/>
      <c r="I1113" s="80"/>
      <c r="J1113" s="80"/>
      <c r="K1113" s="79"/>
      <c r="L1113" s="25"/>
      <c r="M1113" s="25"/>
      <c r="N1113" s="63"/>
      <c r="O1113" s="63"/>
      <c r="P1113" s="63"/>
      <c r="Q1113" s="63"/>
      <c r="R1113" s="32"/>
      <c r="S1113" s="32"/>
      <c r="T1113" s="32"/>
      <c r="U1113" s="32"/>
      <c r="W1113" s="32"/>
      <c r="X1113" s="32"/>
    </row>
    <row r="1114">
      <c r="A1114" s="40"/>
      <c r="B1114" s="40"/>
      <c r="C1114" s="40"/>
      <c r="D1114" s="78"/>
      <c r="E1114" s="79"/>
      <c r="F1114" s="40"/>
      <c r="G1114" s="78"/>
      <c r="H1114" s="78"/>
      <c r="I1114" s="80"/>
      <c r="J1114" s="80"/>
      <c r="K1114" s="79"/>
      <c r="L1114" s="25"/>
      <c r="M1114" s="25"/>
      <c r="N1114" s="63"/>
      <c r="O1114" s="63"/>
      <c r="P1114" s="63"/>
      <c r="Q1114" s="63"/>
      <c r="R1114" s="32"/>
      <c r="S1114" s="32"/>
      <c r="T1114" s="32"/>
      <c r="U1114" s="32"/>
      <c r="W1114" s="32"/>
      <c r="X1114" s="32"/>
    </row>
    <row r="1115">
      <c r="A1115" s="40"/>
      <c r="B1115" s="40"/>
      <c r="C1115" s="40"/>
      <c r="D1115" s="78"/>
      <c r="E1115" s="79"/>
      <c r="F1115" s="40"/>
      <c r="G1115" s="78"/>
      <c r="H1115" s="78"/>
      <c r="I1115" s="80"/>
      <c r="J1115" s="80"/>
      <c r="K1115" s="79"/>
      <c r="L1115" s="25"/>
      <c r="M1115" s="25"/>
      <c r="N1115" s="63"/>
      <c r="O1115" s="63"/>
      <c r="P1115" s="63"/>
      <c r="Q1115" s="63"/>
      <c r="R1115" s="32"/>
      <c r="S1115" s="32"/>
      <c r="T1115" s="32"/>
      <c r="U1115" s="32"/>
      <c r="W1115" s="32"/>
      <c r="X1115" s="32"/>
    </row>
    <row r="1116">
      <c r="A1116" s="40"/>
      <c r="B1116" s="40"/>
      <c r="C1116" s="40"/>
      <c r="D1116" s="78"/>
      <c r="E1116" s="79"/>
      <c r="F1116" s="40"/>
      <c r="G1116" s="78"/>
      <c r="H1116" s="78"/>
      <c r="I1116" s="80"/>
      <c r="J1116" s="80"/>
      <c r="K1116" s="79"/>
      <c r="L1116" s="25"/>
      <c r="M1116" s="25"/>
      <c r="N1116" s="63"/>
      <c r="O1116" s="63"/>
      <c r="P1116" s="63"/>
      <c r="Q1116" s="63"/>
      <c r="R1116" s="32"/>
      <c r="S1116" s="32"/>
      <c r="T1116" s="32"/>
      <c r="U1116" s="32"/>
      <c r="W1116" s="32"/>
      <c r="X1116" s="32"/>
    </row>
    <row r="1117">
      <c r="A1117" s="40"/>
      <c r="B1117" s="40"/>
      <c r="C1117" s="40"/>
      <c r="D1117" s="78"/>
      <c r="E1117" s="79"/>
      <c r="F1117" s="40"/>
      <c r="G1117" s="78"/>
      <c r="H1117" s="78"/>
      <c r="I1117" s="80"/>
      <c r="J1117" s="80"/>
      <c r="K1117" s="79"/>
      <c r="L1117" s="25"/>
      <c r="M1117" s="25"/>
      <c r="N1117" s="63"/>
      <c r="O1117" s="63"/>
      <c r="P1117" s="63"/>
      <c r="Q1117" s="63"/>
      <c r="R1117" s="32"/>
      <c r="S1117" s="32"/>
      <c r="T1117" s="32"/>
      <c r="U1117" s="32"/>
      <c r="W1117" s="32"/>
      <c r="X1117" s="32"/>
    </row>
    <row r="1118">
      <c r="A1118" s="40"/>
      <c r="B1118" s="40"/>
      <c r="C1118" s="40"/>
      <c r="D1118" s="78"/>
      <c r="E1118" s="79"/>
      <c r="F1118" s="40"/>
      <c r="G1118" s="78"/>
      <c r="H1118" s="78"/>
      <c r="I1118" s="80"/>
      <c r="J1118" s="80"/>
      <c r="K1118" s="79"/>
      <c r="L1118" s="25"/>
      <c r="M1118" s="25"/>
      <c r="N1118" s="63"/>
      <c r="O1118" s="63"/>
      <c r="P1118" s="63"/>
      <c r="Q1118" s="63"/>
      <c r="R1118" s="32"/>
      <c r="S1118" s="32"/>
      <c r="T1118" s="32"/>
      <c r="U1118" s="32"/>
      <c r="W1118" s="32"/>
      <c r="X1118" s="32"/>
    </row>
    <row r="1119">
      <c r="A1119" s="40"/>
      <c r="B1119" s="40"/>
      <c r="C1119" s="40"/>
      <c r="D1119" s="78"/>
      <c r="E1119" s="79"/>
      <c r="F1119" s="40"/>
      <c r="G1119" s="78"/>
      <c r="H1119" s="78"/>
      <c r="I1119" s="80"/>
      <c r="J1119" s="80"/>
      <c r="K1119" s="79"/>
      <c r="L1119" s="25"/>
      <c r="M1119" s="25"/>
      <c r="N1119" s="63"/>
      <c r="O1119" s="63"/>
      <c r="P1119" s="63"/>
      <c r="Q1119" s="63"/>
      <c r="R1119" s="32"/>
      <c r="S1119" s="32"/>
      <c r="T1119" s="32"/>
      <c r="U1119" s="32"/>
      <c r="W1119" s="32"/>
      <c r="X1119" s="32"/>
    </row>
    <row r="1120">
      <c r="A1120" s="40"/>
      <c r="B1120" s="40"/>
      <c r="C1120" s="40"/>
      <c r="D1120" s="78"/>
      <c r="E1120" s="79"/>
      <c r="F1120" s="40"/>
      <c r="G1120" s="78"/>
      <c r="H1120" s="78"/>
      <c r="I1120" s="80"/>
      <c r="J1120" s="80"/>
      <c r="K1120" s="79"/>
      <c r="L1120" s="25"/>
      <c r="M1120" s="25"/>
      <c r="N1120" s="63"/>
      <c r="O1120" s="63"/>
      <c r="P1120" s="63"/>
      <c r="Q1120" s="63"/>
      <c r="R1120" s="32"/>
      <c r="S1120" s="32"/>
      <c r="T1120" s="32"/>
      <c r="U1120" s="32"/>
      <c r="W1120" s="32"/>
      <c r="X1120" s="32"/>
    </row>
    <row r="1121">
      <c r="A1121" s="40"/>
      <c r="B1121" s="40"/>
      <c r="C1121" s="40"/>
      <c r="D1121" s="78"/>
      <c r="E1121" s="79"/>
      <c r="F1121" s="40"/>
      <c r="G1121" s="78"/>
      <c r="H1121" s="78"/>
      <c r="I1121" s="80"/>
      <c r="J1121" s="80"/>
      <c r="K1121" s="79"/>
      <c r="L1121" s="25"/>
      <c r="M1121" s="25"/>
      <c r="N1121" s="63"/>
      <c r="O1121" s="63"/>
      <c r="P1121" s="63"/>
      <c r="Q1121" s="63"/>
      <c r="R1121" s="32"/>
      <c r="S1121" s="32"/>
      <c r="T1121" s="32"/>
      <c r="U1121" s="32"/>
      <c r="W1121" s="32"/>
      <c r="X1121" s="32"/>
    </row>
    <row r="1122">
      <c r="A1122" s="40"/>
      <c r="B1122" s="40"/>
      <c r="C1122" s="40"/>
      <c r="D1122" s="78"/>
      <c r="E1122" s="79"/>
      <c r="F1122" s="40"/>
      <c r="G1122" s="78"/>
      <c r="H1122" s="78"/>
      <c r="I1122" s="80"/>
      <c r="J1122" s="80"/>
      <c r="K1122" s="79"/>
      <c r="L1122" s="25"/>
      <c r="M1122" s="25"/>
      <c r="N1122" s="63"/>
      <c r="O1122" s="63"/>
      <c r="P1122" s="63"/>
      <c r="Q1122" s="63"/>
      <c r="R1122" s="32"/>
      <c r="S1122" s="32"/>
      <c r="T1122" s="32"/>
      <c r="U1122" s="32"/>
      <c r="W1122" s="32"/>
      <c r="X1122" s="32"/>
    </row>
    <row r="1123">
      <c r="A1123" s="40"/>
      <c r="B1123" s="40"/>
      <c r="C1123" s="40"/>
      <c r="D1123" s="78"/>
      <c r="E1123" s="79"/>
      <c r="F1123" s="40"/>
      <c r="G1123" s="78"/>
      <c r="H1123" s="78"/>
      <c r="I1123" s="80"/>
      <c r="J1123" s="80"/>
      <c r="K1123" s="79"/>
      <c r="L1123" s="25"/>
      <c r="M1123" s="25"/>
      <c r="N1123" s="63"/>
      <c r="O1123" s="63"/>
      <c r="P1123" s="63"/>
      <c r="Q1123" s="63"/>
      <c r="R1123" s="32"/>
      <c r="S1123" s="32"/>
      <c r="T1123" s="32"/>
      <c r="U1123" s="32"/>
      <c r="W1123" s="32"/>
      <c r="X1123" s="32"/>
    </row>
    <row r="1124">
      <c r="A1124" s="40"/>
      <c r="B1124" s="40"/>
      <c r="C1124" s="40"/>
      <c r="D1124" s="78"/>
      <c r="E1124" s="79"/>
      <c r="F1124" s="40"/>
      <c r="G1124" s="78"/>
      <c r="H1124" s="78"/>
      <c r="I1124" s="80"/>
      <c r="J1124" s="80"/>
      <c r="K1124" s="79"/>
      <c r="L1124" s="25"/>
      <c r="M1124" s="25"/>
      <c r="N1124" s="63"/>
      <c r="O1124" s="63"/>
      <c r="P1124" s="63"/>
      <c r="Q1124" s="63"/>
      <c r="R1124" s="32"/>
      <c r="S1124" s="32"/>
      <c r="T1124" s="32"/>
      <c r="U1124" s="32"/>
      <c r="W1124" s="32"/>
      <c r="X1124" s="32"/>
    </row>
    <row r="1125">
      <c r="A1125" s="40"/>
      <c r="B1125" s="40"/>
      <c r="C1125" s="40"/>
      <c r="D1125" s="78"/>
      <c r="E1125" s="79"/>
      <c r="F1125" s="40"/>
      <c r="G1125" s="78"/>
      <c r="H1125" s="78"/>
      <c r="I1125" s="80"/>
      <c r="J1125" s="80"/>
      <c r="K1125" s="79"/>
      <c r="L1125" s="25"/>
      <c r="M1125" s="25"/>
      <c r="N1125" s="63"/>
      <c r="O1125" s="63"/>
      <c r="P1125" s="63"/>
      <c r="Q1125" s="63"/>
      <c r="R1125" s="32"/>
      <c r="S1125" s="32"/>
      <c r="T1125" s="32"/>
      <c r="U1125" s="32"/>
      <c r="W1125" s="32"/>
      <c r="X1125" s="32"/>
    </row>
    <row r="1126">
      <c r="A1126" s="40"/>
      <c r="B1126" s="40"/>
      <c r="C1126" s="40"/>
      <c r="D1126" s="78"/>
      <c r="E1126" s="79"/>
      <c r="F1126" s="40"/>
      <c r="G1126" s="78"/>
      <c r="H1126" s="78"/>
      <c r="I1126" s="80"/>
      <c r="J1126" s="80"/>
      <c r="K1126" s="79"/>
      <c r="L1126" s="25"/>
      <c r="M1126" s="25"/>
      <c r="N1126" s="63"/>
      <c r="O1126" s="63"/>
      <c r="P1126" s="63"/>
      <c r="Q1126" s="63"/>
      <c r="R1126" s="32"/>
      <c r="S1126" s="32"/>
      <c r="T1126" s="32"/>
      <c r="U1126" s="32"/>
      <c r="W1126" s="32"/>
      <c r="X1126" s="32"/>
    </row>
    <row r="1127">
      <c r="A1127" s="40"/>
      <c r="B1127" s="40"/>
      <c r="C1127" s="40"/>
      <c r="D1127" s="78"/>
      <c r="E1127" s="79"/>
      <c r="F1127" s="40"/>
      <c r="G1127" s="78"/>
      <c r="H1127" s="78"/>
      <c r="I1127" s="80"/>
      <c r="J1127" s="80"/>
      <c r="K1127" s="79"/>
      <c r="L1127" s="25"/>
      <c r="M1127" s="25"/>
      <c r="N1127" s="63"/>
      <c r="O1127" s="63"/>
      <c r="P1127" s="63"/>
      <c r="Q1127" s="63"/>
      <c r="R1127" s="32"/>
      <c r="S1127" s="32"/>
      <c r="T1127" s="32"/>
      <c r="U1127" s="32"/>
      <c r="W1127" s="32"/>
      <c r="X1127" s="32"/>
    </row>
    <row r="1128">
      <c r="A1128" s="40"/>
      <c r="B1128" s="40"/>
      <c r="C1128" s="40"/>
      <c r="D1128" s="78"/>
      <c r="E1128" s="79"/>
      <c r="F1128" s="40"/>
      <c r="G1128" s="78"/>
      <c r="H1128" s="78"/>
      <c r="I1128" s="80"/>
      <c r="J1128" s="80"/>
      <c r="K1128" s="79"/>
      <c r="L1128" s="25"/>
      <c r="M1128" s="25"/>
      <c r="N1128" s="63"/>
      <c r="O1128" s="63"/>
      <c r="P1128" s="63"/>
      <c r="Q1128" s="63"/>
      <c r="R1128" s="32"/>
      <c r="S1128" s="32"/>
      <c r="T1128" s="32"/>
      <c r="U1128" s="32"/>
      <c r="W1128" s="32"/>
      <c r="X1128" s="32"/>
    </row>
    <row r="1129">
      <c r="A1129" s="40"/>
      <c r="B1129" s="40"/>
      <c r="C1129" s="40"/>
      <c r="D1129" s="78"/>
      <c r="E1129" s="79"/>
      <c r="F1129" s="40"/>
      <c r="G1129" s="78"/>
      <c r="H1129" s="78"/>
      <c r="I1129" s="80"/>
      <c r="J1129" s="80"/>
      <c r="K1129" s="79"/>
      <c r="L1129" s="25"/>
      <c r="M1129" s="25"/>
      <c r="N1129" s="63"/>
      <c r="O1129" s="63"/>
      <c r="P1129" s="63"/>
      <c r="Q1129" s="63"/>
      <c r="R1129" s="32"/>
      <c r="S1129" s="32"/>
      <c r="T1129" s="32"/>
      <c r="U1129" s="32"/>
      <c r="W1129" s="32"/>
      <c r="X1129" s="32"/>
    </row>
    <row r="1130">
      <c r="A1130" s="40"/>
      <c r="B1130" s="40"/>
      <c r="C1130" s="40"/>
      <c r="D1130" s="78"/>
      <c r="E1130" s="79"/>
      <c r="F1130" s="40"/>
      <c r="G1130" s="78"/>
      <c r="H1130" s="78"/>
      <c r="I1130" s="80"/>
      <c r="J1130" s="80"/>
      <c r="K1130" s="79"/>
      <c r="L1130" s="25"/>
      <c r="M1130" s="25"/>
      <c r="N1130" s="63"/>
      <c r="O1130" s="63"/>
      <c r="P1130" s="63"/>
      <c r="Q1130" s="63"/>
      <c r="R1130" s="32"/>
      <c r="S1130" s="32"/>
      <c r="T1130" s="32"/>
      <c r="U1130" s="32"/>
      <c r="W1130" s="32"/>
      <c r="X1130" s="32"/>
    </row>
    <row r="1131">
      <c r="A1131" s="40"/>
      <c r="B1131" s="40"/>
      <c r="C1131" s="40"/>
      <c r="D1131" s="78"/>
      <c r="E1131" s="79"/>
      <c r="F1131" s="40"/>
      <c r="G1131" s="78"/>
      <c r="H1131" s="78"/>
      <c r="I1131" s="80"/>
      <c r="J1131" s="80"/>
      <c r="K1131" s="79"/>
      <c r="L1131" s="25"/>
      <c r="M1131" s="25"/>
      <c r="N1131" s="63"/>
      <c r="O1131" s="63"/>
      <c r="P1131" s="63"/>
      <c r="Q1131" s="63"/>
      <c r="R1131" s="32"/>
      <c r="S1131" s="32"/>
      <c r="T1131" s="32"/>
      <c r="U1131" s="32"/>
      <c r="W1131" s="32"/>
      <c r="X1131" s="32"/>
    </row>
    <row r="1132">
      <c r="A1132" s="40"/>
      <c r="B1132" s="40"/>
      <c r="C1132" s="40"/>
      <c r="D1132" s="78"/>
      <c r="E1132" s="79"/>
      <c r="F1132" s="40"/>
      <c r="G1132" s="78"/>
      <c r="H1132" s="78"/>
      <c r="I1132" s="80"/>
      <c r="J1132" s="80"/>
      <c r="K1132" s="79"/>
      <c r="L1132" s="25"/>
      <c r="M1132" s="25"/>
      <c r="N1132" s="63"/>
      <c r="O1132" s="63"/>
      <c r="P1132" s="63"/>
      <c r="Q1132" s="63"/>
      <c r="R1132" s="32"/>
      <c r="S1132" s="32"/>
      <c r="T1132" s="32"/>
      <c r="U1132" s="32"/>
      <c r="W1132" s="32"/>
      <c r="X1132" s="32"/>
    </row>
    <row r="1133">
      <c r="A1133" s="40"/>
      <c r="B1133" s="40"/>
      <c r="C1133" s="40"/>
      <c r="D1133" s="78"/>
      <c r="E1133" s="79"/>
      <c r="F1133" s="40"/>
      <c r="G1133" s="78"/>
      <c r="H1133" s="78"/>
      <c r="I1133" s="80"/>
      <c r="J1133" s="80"/>
      <c r="K1133" s="79"/>
      <c r="L1133" s="25"/>
      <c r="M1133" s="25"/>
      <c r="N1133" s="63"/>
      <c r="O1133" s="63"/>
      <c r="P1133" s="63"/>
      <c r="Q1133" s="63"/>
      <c r="R1133" s="32"/>
      <c r="S1133" s="32"/>
      <c r="T1133" s="32"/>
      <c r="U1133" s="32"/>
      <c r="W1133" s="32"/>
      <c r="X1133" s="32"/>
    </row>
    <row r="1134">
      <c r="A1134" s="40"/>
      <c r="B1134" s="40"/>
      <c r="C1134" s="40"/>
      <c r="D1134" s="78"/>
      <c r="E1134" s="79"/>
      <c r="F1134" s="40"/>
      <c r="G1134" s="78"/>
      <c r="H1134" s="78"/>
      <c r="I1134" s="80"/>
      <c r="J1134" s="80"/>
      <c r="K1134" s="79"/>
      <c r="L1134" s="25"/>
      <c r="M1134" s="25"/>
      <c r="N1134" s="63"/>
      <c r="O1134" s="63"/>
      <c r="P1134" s="63"/>
      <c r="Q1134" s="63"/>
      <c r="R1134" s="32"/>
      <c r="S1134" s="32"/>
      <c r="T1134" s="32"/>
      <c r="U1134" s="32"/>
      <c r="W1134" s="32"/>
      <c r="X1134" s="32"/>
    </row>
    <row r="1135">
      <c r="A1135" s="40"/>
      <c r="B1135" s="40"/>
      <c r="C1135" s="40"/>
      <c r="D1135" s="78"/>
      <c r="E1135" s="79"/>
      <c r="F1135" s="40"/>
      <c r="G1135" s="78"/>
      <c r="H1135" s="78"/>
      <c r="I1135" s="80"/>
      <c r="J1135" s="80"/>
      <c r="K1135" s="79"/>
      <c r="L1135" s="25"/>
      <c r="M1135" s="25"/>
      <c r="N1135" s="63"/>
      <c r="O1135" s="63"/>
      <c r="P1135" s="63"/>
      <c r="Q1135" s="63"/>
      <c r="R1135" s="32"/>
      <c r="S1135" s="32"/>
      <c r="T1135" s="32"/>
      <c r="U1135" s="32"/>
      <c r="W1135" s="32"/>
      <c r="X1135" s="32"/>
    </row>
    <row r="1136">
      <c r="A1136" s="40"/>
      <c r="B1136" s="40"/>
      <c r="C1136" s="40"/>
      <c r="D1136" s="78"/>
      <c r="E1136" s="79"/>
      <c r="F1136" s="40"/>
      <c r="G1136" s="78"/>
      <c r="H1136" s="78"/>
      <c r="I1136" s="80"/>
      <c r="J1136" s="80"/>
      <c r="K1136" s="79"/>
      <c r="L1136" s="25"/>
      <c r="M1136" s="25"/>
      <c r="N1136" s="63"/>
      <c r="O1136" s="63"/>
      <c r="P1136" s="63"/>
      <c r="Q1136" s="63"/>
      <c r="R1136" s="32"/>
      <c r="S1136" s="32"/>
      <c r="T1136" s="32"/>
      <c r="U1136" s="32"/>
      <c r="W1136" s="32"/>
      <c r="X1136" s="32"/>
    </row>
    <row r="1137">
      <c r="A1137" s="40"/>
      <c r="B1137" s="40"/>
      <c r="C1137" s="40"/>
      <c r="D1137" s="78"/>
      <c r="E1137" s="79"/>
      <c r="F1137" s="40"/>
      <c r="G1137" s="78"/>
      <c r="H1137" s="78"/>
      <c r="I1137" s="80"/>
      <c r="J1137" s="80"/>
      <c r="K1137" s="79"/>
      <c r="L1137" s="25"/>
      <c r="M1137" s="25"/>
      <c r="N1137" s="63"/>
      <c r="O1137" s="63"/>
      <c r="P1137" s="63"/>
      <c r="Q1137" s="63"/>
      <c r="R1137" s="32"/>
      <c r="S1137" s="32"/>
      <c r="T1137" s="32"/>
      <c r="U1137" s="32"/>
      <c r="W1137" s="32"/>
      <c r="X1137" s="32"/>
    </row>
    <row r="1138">
      <c r="A1138" s="40"/>
      <c r="B1138" s="40"/>
      <c r="C1138" s="40"/>
      <c r="D1138" s="78"/>
      <c r="E1138" s="79"/>
      <c r="F1138" s="40"/>
      <c r="G1138" s="78"/>
      <c r="H1138" s="78"/>
      <c r="I1138" s="80"/>
      <c r="J1138" s="80"/>
      <c r="K1138" s="79"/>
      <c r="L1138" s="25"/>
      <c r="M1138" s="25"/>
      <c r="N1138" s="63"/>
      <c r="O1138" s="63"/>
      <c r="P1138" s="63"/>
      <c r="Q1138" s="63"/>
      <c r="R1138" s="32"/>
      <c r="S1138" s="32"/>
      <c r="T1138" s="32"/>
      <c r="U1138" s="32"/>
      <c r="W1138" s="32"/>
      <c r="X1138" s="32"/>
    </row>
    <row r="1139">
      <c r="A1139" s="40"/>
      <c r="B1139" s="40"/>
      <c r="C1139" s="40"/>
      <c r="D1139" s="78"/>
      <c r="E1139" s="79"/>
      <c r="F1139" s="40"/>
      <c r="G1139" s="78"/>
      <c r="H1139" s="78"/>
      <c r="I1139" s="80"/>
      <c r="J1139" s="80"/>
      <c r="K1139" s="79"/>
      <c r="L1139" s="25"/>
      <c r="M1139" s="25"/>
      <c r="N1139" s="63"/>
      <c r="O1139" s="63"/>
      <c r="P1139" s="63"/>
      <c r="Q1139" s="63"/>
      <c r="R1139" s="32"/>
      <c r="S1139" s="32"/>
      <c r="T1139" s="32"/>
      <c r="U1139" s="32"/>
      <c r="W1139" s="32"/>
      <c r="X1139" s="32"/>
    </row>
    <row r="1140">
      <c r="A1140" s="40"/>
      <c r="B1140" s="40"/>
      <c r="C1140" s="40"/>
      <c r="D1140" s="78"/>
      <c r="E1140" s="79"/>
      <c r="F1140" s="40"/>
      <c r="G1140" s="78"/>
      <c r="H1140" s="78"/>
      <c r="I1140" s="80"/>
      <c r="J1140" s="80"/>
      <c r="K1140" s="79"/>
      <c r="L1140" s="25"/>
      <c r="M1140" s="25"/>
      <c r="N1140" s="63"/>
      <c r="O1140" s="63"/>
      <c r="P1140" s="63"/>
      <c r="Q1140" s="63"/>
      <c r="R1140" s="32"/>
      <c r="S1140" s="32"/>
      <c r="T1140" s="32"/>
      <c r="U1140" s="32"/>
      <c r="W1140" s="32"/>
      <c r="X1140" s="32"/>
    </row>
    <row r="1141">
      <c r="A1141" s="40"/>
      <c r="B1141" s="40"/>
      <c r="C1141" s="40"/>
      <c r="D1141" s="78"/>
      <c r="E1141" s="79"/>
      <c r="F1141" s="40"/>
      <c r="G1141" s="78"/>
      <c r="H1141" s="78"/>
      <c r="I1141" s="80"/>
      <c r="J1141" s="80"/>
      <c r="K1141" s="79"/>
      <c r="L1141" s="25"/>
      <c r="M1141" s="25"/>
      <c r="N1141" s="63"/>
      <c r="O1141" s="63"/>
      <c r="P1141" s="63"/>
      <c r="Q1141" s="63"/>
      <c r="R1141" s="32"/>
      <c r="S1141" s="32"/>
      <c r="T1141" s="32"/>
      <c r="U1141" s="32"/>
      <c r="W1141" s="32"/>
      <c r="X1141" s="32"/>
    </row>
    <row r="1142">
      <c r="A1142" s="40"/>
      <c r="B1142" s="40"/>
      <c r="C1142" s="40"/>
      <c r="D1142" s="78"/>
      <c r="E1142" s="79"/>
      <c r="F1142" s="40"/>
      <c r="G1142" s="78"/>
      <c r="H1142" s="78"/>
      <c r="I1142" s="80"/>
      <c r="J1142" s="80"/>
      <c r="K1142" s="79"/>
      <c r="L1142" s="25"/>
      <c r="M1142" s="25"/>
      <c r="N1142" s="63"/>
      <c r="O1142" s="63"/>
      <c r="P1142" s="63"/>
      <c r="Q1142" s="63"/>
      <c r="R1142" s="32"/>
      <c r="S1142" s="32"/>
      <c r="T1142" s="32"/>
      <c r="U1142" s="32"/>
      <c r="W1142" s="32"/>
      <c r="X1142" s="32"/>
    </row>
    <row r="1143">
      <c r="A1143" s="40"/>
      <c r="B1143" s="40"/>
      <c r="C1143" s="40"/>
      <c r="D1143" s="78"/>
      <c r="E1143" s="79"/>
      <c r="F1143" s="40"/>
      <c r="G1143" s="78"/>
      <c r="H1143" s="78"/>
      <c r="I1143" s="80"/>
      <c r="J1143" s="80"/>
      <c r="K1143" s="79"/>
      <c r="L1143" s="25"/>
      <c r="M1143" s="25"/>
      <c r="N1143" s="63"/>
      <c r="O1143" s="63"/>
      <c r="P1143" s="63"/>
      <c r="Q1143" s="63"/>
      <c r="R1143" s="32"/>
      <c r="S1143" s="32"/>
      <c r="T1143" s="32"/>
      <c r="U1143" s="32"/>
      <c r="W1143" s="32"/>
      <c r="X1143" s="32"/>
    </row>
    <row r="1144">
      <c r="A1144" s="40"/>
      <c r="B1144" s="40"/>
      <c r="C1144" s="40"/>
      <c r="D1144" s="78"/>
      <c r="E1144" s="79"/>
      <c r="F1144" s="40"/>
      <c r="G1144" s="78"/>
      <c r="H1144" s="78"/>
      <c r="I1144" s="80"/>
      <c r="J1144" s="80"/>
      <c r="K1144" s="79"/>
      <c r="L1144" s="25"/>
      <c r="M1144" s="25"/>
      <c r="N1144" s="63"/>
      <c r="O1144" s="63"/>
      <c r="P1144" s="63"/>
      <c r="Q1144" s="63"/>
      <c r="R1144" s="32"/>
      <c r="S1144" s="32"/>
      <c r="T1144" s="32"/>
      <c r="U1144" s="32"/>
      <c r="W1144" s="32"/>
      <c r="X1144" s="32"/>
    </row>
    <row r="1145">
      <c r="A1145" s="40"/>
      <c r="B1145" s="40"/>
      <c r="C1145" s="40"/>
      <c r="D1145" s="78"/>
      <c r="E1145" s="79"/>
      <c r="F1145" s="40"/>
      <c r="G1145" s="78"/>
      <c r="H1145" s="78"/>
      <c r="I1145" s="80"/>
      <c r="J1145" s="80"/>
      <c r="K1145" s="79"/>
      <c r="L1145" s="25"/>
      <c r="M1145" s="25"/>
      <c r="N1145" s="63"/>
      <c r="O1145" s="63"/>
      <c r="P1145" s="63"/>
      <c r="Q1145" s="63"/>
      <c r="R1145" s="32"/>
      <c r="S1145" s="32"/>
      <c r="T1145" s="32"/>
      <c r="U1145" s="32"/>
      <c r="W1145" s="32"/>
      <c r="X1145" s="32"/>
    </row>
    <row r="1146">
      <c r="A1146" s="40"/>
      <c r="B1146" s="40"/>
      <c r="C1146" s="40"/>
      <c r="D1146" s="78"/>
      <c r="E1146" s="79"/>
      <c r="F1146" s="40"/>
      <c r="G1146" s="78"/>
      <c r="H1146" s="78"/>
      <c r="I1146" s="80"/>
      <c r="J1146" s="80"/>
      <c r="K1146" s="79"/>
      <c r="L1146" s="25"/>
      <c r="M1146" s="25"/>
      <c r="N1146" s="63"/>
      <c r="O1146" s="63"/>
      <c r="P1146" s="63"/>
      <c r="Q1146" s="63"/>
      <c r="R1146" s="32"/>
      <c r="S1146" s="32"/>
      <c r="T1146" s="32"/>
      <c r="U1146" s="32"/>
      <c r="W1146" s="32"/>
      <c r="X1146" s="32"/>
    </row>
    <row r="1147">
      <c r="A1147" s="40"/>
      <c r="B1147" s="40"/>
      <c r="C1147" s="40"/>
      <c r="D1147" s="78"/>
      <c r="E1147" s="79"/>
      <c r="F1147" s="40"/>
      <c r="G1147" s="78"/>
      <c r="H1147" s="78"/>
      <c r="I1147" s="80"/>
      <c r="J1147" s="80"/>
      <c r="K1147" s="79"/>
      <c r="L1147" s="25"/>
      <c r="M1147" s="25"/>
      <c r="N1147" s="63"/>
      <c r="O1147" s="63"/>
      <c r="P1147" s="63"/>
      <c r="Q1147" s="63"/>
      <c r="R1147" s="32"/>
      <c r="S1147" s="32"/>
      <c r="T1147" s="32"/>
      <c r="U1147" s="32"/>
      <c r="W1147" s="32"/>
      <c r="X1147" s="32"/>
    </row>
    <row r="1148">
      <c r="A1148" s="40"/>
      <c r="B1148" s="40"/>
      <c r="C1148" s="40"/>
      <c r="D1148" s="78"/>
      <c r="E1148" s="79"/>
      <c r="F1148" s="40"/>
      <c r="G1148" s="78"/>
      <c r="H1148" s="78"/>
      <c r="I1148" s="80"/>
      <c r="J1148" s="80"/>
      <c r="K1148" s="79"/>
      <c r="L1148" s="25"/>
      <c r="M1148" s="25"/>
      <c r="N1148" s="63"/>
      <c r="O1148" s="63"/>
      <c r="P1148" s="63"/>
      <c r="Q1148" s="63"/>
      <c r="R1148" s="32"/>
      <c r="S1148" s="32"/>
      <c r="T1148" s="32"/>
      <c r="U1148" s="32"/>
      <c r="W1148" s="32"/>
      <c r="X1148" s="32"/>
    </row>
    <row r="1149">
      <c r="A1149" s="40"/>
      <c r="B1149" s="40"/>
      <c r="C1149" s="40"/>
      <c r="D1149" s="78"/>
      <c r="E1149" s="79"/>
      <c r="F1149" s="40"/>
      <c r="G1149" s="78"/>
      <c r="H1149" s="78"/>
      <c r="I1149" s="80"/>
      <c r="J1149" s="80"/>
      <c r="K1149" s="79"/>
      <c r="L1149" s="25"/>
      <c r="M1149" s="25"/>
      <c r="N1149" s="63"/>
      <c r="O1149" s="63"/>
      <c r="P1149" s="63"/>
      <c r="Q1149" s="63"/>
      <c r="R1149" s="32"/>
      <c r="S1149" s="32"/>
      <c r="T1149" s="32"/>
      <c r="U1149" s="32"/>
      <c r="W1149" s="32"/>
      <c r="X1149" s="32"/>
    </row>
    <row r="1150">
      <c r="A1150" s="40"/>
      <c r="B1150" s="40"/>
      <c r="C1150" s="40"/>
      <c r="D1150" s="78"/>
      <c r="E1150" s="79"/>
      <c r="F1150" s="40"/>
      <c r="G1150" s="78"/>
      <c r="H1150" s="78"/>
      <c r="I1150" s="80"/>
      <c r="J1150" s="80"/>
      <c r="K1150" s="79"/>
      <c r="L1150" s="25"/>
      <c r="M1150" s="25"/>
      <c r="N1150" s="63"/>
      <c r="O1150" s="63"/>
      <c r="P1150" s="63"/>
      <c r="Q1150" s="63"/>
      <c r="R1150" s="32"/>
      <c r="S1150" s="32"/>
      <c r="T1150" s="32"/>
      <c r="U1150" s="32"/>
      <c r="W1150" s="32"/>
      <c r="X1150" s="32"/>
    </row>
    <row r="1151">
      <c r="A1151" s="40"/>
      <c r="B1151" s="40"/>
      <c r="C1151" s="40"/>
      <c r="D1151" s="78"/>
      <c r="E1151" s="79"/>
      <c r="F1151" s="40"/>
      <c r="G1151" s="78"/>
      <c r="H1151" s="78"/>
      <c r="I1151" s="80"/>
      <c r="J1151" s="80"/>
      <c r="K1151" s="79"/>
      <c r="L1151" s="25"/>
      <c r="M1151" s="25"/>
      <c r="N1151" s="63"/>
      <c r="O1151" s="63"/>
      <c r="P1151" s="63"/>
      <c r="Q1151" s="63"/>
      <c r="R1151" s="32"/>
      <c r="S1151" s="32"/>
      <c r="T1151" s="32"/>
      <c r="U1151" s="32"/>
      <c r="W1151" s="32"/>
      <c r="X1151" s="32"/>
    </row>
    <row r="1152">
      <c r="A1152" s="40"/>
      <c r="B1152" s="40"/>
      <c r="C1152" s="40"/>
      <c r="D1152" s="78"/>
      <c r="E1152" s="79"/>
      <c r="F1152" s="40"/>
      <c r="G1152" s="78"/>
      <c r="H1152" s="78"/>
      <c r="I1152" s="80"/>
      <c r="J1152" s="80"/>
      <c r="K1152" s="79"/>
      <c r="L1152" s="25"/>
      <c r="M1152" s="25"/>
      <c r="N1152" s="63"/>
      <c r="O1152" s="63"/>
      <c r="P1152" s="63"/>
      <c r="Q1152" s="63"/>
      <c r="R1152" s="32"/>
      <c r="S1152" s="32"/>
      <c r="T1152" s="32"/>
      <c r="U1152" s="32"/>
      <c r="W1152" s="32"/>
      <c r="X1152" s="32"/>
    </row>
    <row r="1153">
      <c r="A1153" s="40"/>
      <c r="B1153" s="40"/>
      <c r="C1153" s="40"/>
      <c r="D1153" s="78"/>
      <c r="E1153" s="79"/>
      <c r="F1153" s="40"/>
      <c r="G1153" s="78"/>
      <c r="H1153" s="78"/>
      <c r="I1153" s="80"/>
      <c r="J1153" s="80"/>
      <c r="K1153" s="79"/>
      <c r="L1153" s="25"/>
      <c r="M1153" s="25"/>
      <c r="N1153" s="63"/>
      <c r="O1153" s="63"/>
      <c r="P1153" s="63"/>
      <c r="Q1153" s="63"/>
      <c r="R1153" s="32"/>
      <c r="S1153" s="32"/>
      <c r="T1153" s="32"/>
      <c r="U1153" s="32"/>
      <c r="W1153" s="32"/>
      <c r="X1153" s="32"/>
    </row>
    <row r="1154">
      <c r="A1154" s="40"/>
      <c r="B1154" s="40"/>
      <c r="C1154" s="40"/>
      <c r="D1154" s="78"/>
      <c r="E1154" s="79"/>
      <c r="F1154" s="40"/>
      <c r="G1154" s="78"/>
      <c r="H1154" s="78"/>
      <c r="I1154" s="80"/>
      <c r="J1154" s="80"/>
      <c r="K1154" s="79"/>
      <c r="L1154" s="25"/>
      <c r="M1154" s="25"/>
      <c r="N1154" s="63"/>
      <c r="O1154" s="63"/>
      <c r="P1154" s="63"/>
      <c r="Q1154" s="63"/>
      <c r="R1154" s="32"/>
      <c r="S1154" s="32"/>
      <c r="T1154" s="32"/>
      <c r="U1154" s="32"/>
      <c r="W1154" s="32"/>
      <c r="X1154" s="32"/>
    </row>
    <row r="1155">
      <c r="A1155" s="40"/>
      <c r="B1155" s="40"/>
      <c r="C1155" s="40"/>
      <c r="D1155" s="78"/>
      <c r="E1155" s="79"/>
      <c r="F1155" s="40"/>
      <c r="G1155" s="78"/>
      <c r="H1155" s="78"/>
      <c r="I1155" s="80"/>
      <c r="J1155" s="80"/>
      <c r="K1155" s="79"/>
      <c r="L1155" s="25"/>
      <c r="M1155" s="25"/>
      <c r="N1155" s="63"/>
      <c r="O1155" s="63"/>
      <c r="P1155" s="63"/>
      <c r="Q1155" s="63"/>
      <c r="R1155" s="32"/>
      <c r="S1155" s="32"/>
      <c r="T1155" s="32"/>
      <c r="U1155" s="32"/>
      <c r="W1155" s="32"/>
      <c r="X1155" s="32"/>
    </row>
    <row r="1156">
      <c r="A1156" s="40"/>
      <c r="B1156" s="40"/>
      <c r="C1156" s="40"/>
      <c r="D1156" s="78"/>
      <c r="E1156" s="79"/>
      <c r="F1156" s="40"/>
      <c r="G1156" s="78"/>
      <c r="H1156" s="78"/>
      <c r="I1156" s="80"/>
      <c r="J1156" s="80"/>
      <c r="K1156" s="79"/>
      <c r="L1156" s="25"/>
      <c r="M1156" s="25"/>
      <c r="N1156" s="63"/>
      <c r="O1156" s="63"/>
      <c r="P1156" s="63"/>
      <c r="Q1156" s="63"/>
      <c r="R1156" s="32"/>
      <c r="S1156" s="32"/>
      <c r="T1156" s="32"/>
      <c r="U1156" s="32"/>
      <c r="W1156" s="32"/>
      <c r="X1156" s="32"/>
    </row>
    <row r="1157">
      <c r="A1157" s="40"/>
      <c r="B1157" s="40"/>
      <c r="C1157" s="40"/>
      <c r="D1157" s="78"/>
      <c r="E1157" s="79"/>
      <c r="F1157" s="40"/>
      <c r="G1157" s="78"/>
      <c r="H1157" s="78"/>
      <c r="I1157" s="80"/>
      <c r="J1157" s="80"/>
      <c r="K1157" s="79"/>
      <c r="L1157" s="25"/>
      <c r="M1157" s="25"/>
      <c r="N1157" s="63"/>
      <c r="O1157" s="63"/>
      <c r="P1157" s="63"/>
      <c r="Q1157" s="63"/>
      <c r="R1157" s="32"/>
      <c r="S1157" s="32"/>
      <c r="T1157" s="32"/>
      <c r="U1157" s="32"/>
      <c r="W1157" s="32"/>
      <c r="X1157" s="32"/>
    </row>
    <row r="1158">
      <c r="A1158" s="40"/>
      <c r="B1158" s="40"/>
      <c r="C1158" s="40"/>
      <c r="D1158" s="78"/>
      <c r="E1158" s="79"/>
      <c r="F1158" s="40"/>
      <c r="G1158" s="78"/>
      <c r="H1158" s="78"/>
      <c r="I1158" s="80"/>
      <c r="J1158" s="80"/>
      <c r="K1158" s="79"/>
      <c r="L1158" s="25"/>
      <c r="M1158" s="25"/>
      <c r="N1158" s="63"/>
      <c r="O1158" s="63"/>
      <c r="P1158" s="63"/>
      <c r="Q1158" s="63"/>
      <c r="R1158" s="32"/>
      <c r="S1158" s="32"/>
      <c r="T1158" s="32"/>
      <c r="U1158" s="32"/>
      <c r="W1158" s="32"/>
      <c r="X1158" s="32"/>
    </row>
    <row r="1159">
      <c r="A1159" s="40"/>
      <c r="B1159" s="40"/>
      <c r="C1159" s="40"/>
      <c r="D1159" s="78"/>
      <c r="E1159" s="79"/>
      <c r="F1159" s="40"/>
      <c r="G1159" s="78"/>
      <c r="H1159" s="78"/>
      <c r="I1159" s="80"/>
      <c r="J1159" s="80"/>
      <c r="K1159" s="79"/>
      <c r="L1159" s="25"/>
      <c r="M1159" s="25"/>
      <c r="N1159" s="63"/>
      <c r="O1159" s="63"/>
      <c r="P1159" s="63"/>
      <c r="Q1159" s="63"/>
      <c r="R1159" s="32"/>
      <c r="S1159" s="32"/>
      <c r="T1159" s="32"/>
      <c r="U1159" s="32"/>
      <c r="W1159" s="32"/>
      <c r="X1159" s="32"/>
    </row>
    <row r="1160">
      <c r="A1160" s="40"/>
      <c r="B1160" s="40"/>
      <c r="C1160" s="40"/>
      <c r="D1160" s="78"/>
      <c r="E1160" s="79"/>
      <c r="F1160" s="40"/>
      <c r="G1160" s="78"/>
      <c r="H1160" s="78"/>
      <c r="I1160" s="80"/>
      <c r="J1160" s="80"/>
      <c r="K1160" s="79"/>
      <c r="L1160" s="25"/>
      <c r="M1160" s="25"/>
      <c r="N1160" s="63"/>
      <c r="O1160" s="63"/>
      <c r="P1160" s="63"/>
      <c r="Q1160" s="63"/>
      <c r="R1160" s="32"/>
      <c r="S1160" s="32"/>
      <c r="T1160" s="32"/>
      <c r="U1160" s="32"/>
      <c r="W1160" s="32"/>
      <c r="X1160" s="32"/>
    </row>
    <row r="1161">
      <c r="A1161" s="40"/>
      <c r="B1161" s="40"/>
      <c r="C1161" s="40"/>
      <c r="D1161" s="78"/>
      <c r="E1161" s="79"/>
      <c r="F1161" s="40"/>
      <c r="G1161" s="78"/>
      <c r="H1161" s="78"/>
      <c r="I1161" s="80"/>
      <c r="J1161" s="80"/>
      <c r="K1161" s="79"/>
      <c r="L1161" s="25"/>
      <c r="M1161" s="25"/>
      <c r="N1161" s="63"/>
      <c r="O1161" s="63"/>
      <c r="P1161" s="63"/>
      <c r="Q1161" s="63"/>
      <c r="R1161" s="32"/>
      <c r="S1161" s="32"/>
      <c r="T1161" s="32"/>
      <c r="U1161" s="32"/>
      <c r="W1161" s="32"/>
      <c r="X1161" s="32"/>
    </row>
    <row r="1162">
      <c r="A1162" s="40"/>
      <c r="B1162" s="40"/>
      <c r="C1162" s="40"/>
      <c r="D1162" s="78"/>
      <c r="E1162" s="79"/>
      <c r="F1162" s="40"/>
      <c r="G1162" s="78"/>
      <c r="H1162" s="78"/>
      <c r="I1162" s="80"/>
      <c r="J1162" s="80"/>
      <c r="K1162" s="79"/>
      <c r="L1162" s="25"/>
      <c r="M1162" s="25"/>
      <c r="N1162" s="63"/>
      <c r="O1162" s="63"/>
      <c r="P1162" s="63"/>
      <c r="Q1162" s="63"/>
      <c r="R1162" s="32"/>
      <c r="S1162" s="32"/>
      <c r="T1162" s="32"/>
      <c r="U1162" s="32"/>
      <c r="W1162" s="32"/>
      <c r="X1162" s="32"/>
    </row>
    <row r="1163">
      <c r="A1163" s="40"/>
      <c r="B1163" s="40"/>
      <c r="C1163" s="40"/>
      <c r="D1163" s="78"/>
      <c r="E1163" s="79"/>
      <c r="F1163" s="40"/>
      <c r="G1163" s="78"/>
      <c r="H1163" s="78"/>
      <c r="I1163" s="80"/>
      <c r="J1163" s="80"/>
      <c r="K1163" s="79"/>
      <c r="L1163" s="25"/>
      <c r="M1163" s="25"/>
      <c r="N1163" s="63"/>
      <c r="O1163" s="63"/>
      <c r="P1163" s="63"/>
      <c r="Q1163" s="63"/>
      <c r="R1163" s="32"/>
      <c r="S1163" s="32"/>
      <c r="T1163" s="32"/>
      <c r="U1163" s="32"/>
      <c r="W1163" s="32"/>
      <c r="X1163" s="32"/>
    </row>
    <row r="1164">
      <c r="A1164" s="40"/>
      <c r="B1164" s="40"/>
      <c r="C1164" s="40"/>
      <c r="D1164" s="78"/>
      <c r="E1164" s="79"/>
      <c r="F1164" s="40"/>
      <c r="G1164" s="78"/>
      <c r="H1164" s="78"/>
      <c r="I1164" s="80"/>
      <c r="J1164" s="80"/>
      <c r="K1164" s="79"/>
      <c r="L1164" s="25"/>
      <c r="M1164" s="25"/>
      <c r="N1164" s="63"/>
      <c r="O1164" s="63"/>
      <c r="P1164" s="63"/>
      <c r="Q1164" s="63"/>
      <c r="R1164" s="32"/>
      <c r="S1164" s="32"/>
      <c r="T1164" s="32"/>
      <c r="U1164" s="32"/>
      <c r="W1164" s="32"/>
      <c r="X1164" s="32"/>
    </row>
    <row r="1165">
      <c r="A1165" s="40"/>
      <c r="B1165" s="40"/>
      <c r="C1165" s="40"/>
      <c r="D1165" s="78"/>
      <c r="E1165" s="79"/>
      <c r="F1165" s="40"/>
      <c r="G1165" s="78"/>
      <c r="H1165" s="78"/>
      <c r="I1165" s="80"/>
      <c r="J1165" s="80"/>
      <c r="K1165" s="79"/>
      <c r="L1165" s="25"/>
      <c r="M1165" s="25"/>
      <c r="N1165" s="63"/>
      <c r="O1165" s="63"/>
      <c r="P1165" s="63"/>
      <c r="Q1165" s="63"/>
      <c r="R1165" s="32"/>
      <c r="S1165" s="32"/>
      <c r="T1165" s="32"/>
      <c r="U1165" s="32"/>
      <c r="W1165" s="32"/>
      <c r="X1165" s="32"/>
    </row>
    <row r="1166">
      <c r="A1166" s="40"/>
      <c r="B1166" s="40"/>
      <c r="C1166" s="40"/>
      <c r="D1166" s="78"/>
      <c r="E1166" s="79"/>
      <c r="F1166" s="40"/>
      <c r="G1166" s="78"/>
      <c r="H1166" s="78"/>
      <c r="I1166" s="80"/>
      <c r="J1166" s="80"/>
      <c r="K1166" s="79"/>
      <c r="L1166" s="25"/>
      <c r="M1166" s="25"/>
      <c r="N1166" s="63"/>
      <c r="O1166" s="63"/>
      <c r="P1166" s="63"/>
      <c r="Q1166" s="63"/>
      <c r="R1166" s="32"/>
      <c r="S1166" s="32"/>
      <c r="T1166" s="32"/>
      <c r="U1166" s="32"/>
      <c r="W1166" s="32"/>
      <c r="X1166" s="32"/>
    </row>
    <row r="1167">
      <c r="A1167" s="40"/>
      <c r="B1167" s="40"/>
      <c r="C1167" s="40"/>
      <c r="D1167" s="78"/>
      <c r="E1167" s="79"/>
      <c r="F1167" s="40"/>
      <c r="G1167" s="78"/>
      <c r="H1167" s="78"/>
      <c r="I1167" s="80"/>
      <c r="J1167" s="80"/>
      <c r="K1167" s="79"/>
      <c r="L1167" s="25"/>
      <c r="M1167" s="25"/>
      <c r="N1167" s="63"/>
      <c r="O1167" s="63"/>
      <c r="P1167" s="63"/>
      <c r="Q1167" s="63"/>
      <c r="R1167" s="32"/>
      <c r="S1167" s="32"/>
      <c r="T1167" s="32"/>
      <c r="U1167" s="32"/>
      <c r="W1167" s="32"/>
      <c r="X1167" s="32"/>
    </row>
    <row r="1168">
      <c r="A1168" s="40"/>
      <c r="B1168" s="40"/>
      <c r="C1168" s="40"/>
      <c r="D1168" s="78"/>
      <c r="E1168" s="79"/>
      <c r="F1168" s="40"/>
      <c r="G1168" s="78"/>
      <c r="H1168" s="78"/>
      <c r="I1168" s="80"/>
      <c r="J1168" s="80"/>
      <c r="K1168" s="79"/>
      <c r="L1168" s="25"/>
      <c r="M1168" s="25"/>
      <c r="N1168" s="63"/>
      <c r="O1168" s="63"/>
      <c r="P1168" s="63"/>
      <c r="Q1168" s="63"/>
      <c r="R1168" s="32"/>
      <c r="S1168" s="32"/>
      <c r="T1168" s="32"/>
      <c r="U1168" s="32"/>
      <c r="W1168" s="32"/>
      <c r="X1168" s="32"/>
    </row>
    <row r="1169">
      <c r="A1169" s="40"/>
      <c r="B1169" s="40"/>
      <c r="C1169" s="40"/>
      <c r="D1169" s="78"/>
      <c r="E1169" s="79"/>
      <c r="F1169" s="40"/>
      <c r="G1169" s="78"/>
      <c r="H1169" s="78"/>
      <c r="I1169" s="80"/>
      <c r="J1169" s="80"/>
      <c r="K1169" s="79"/>
      <c r="L1169" s="25"/>
      <c r="M1169" s="25"/>
      <c r="N1169" s="63"/>
      <c r="O1169" s="63"/>
      <c r="P1169" s="63"/>
      <c r="Q1169" s="63"/>
      <c r="R1169" s="32"/>
      <c r="S1169" s="32"/>
      <c r="T1169" s="32"/>
      <c r="U1169" s="32"/>
      <c r="W1169" s="32"/>
      <c r="X1169" s="32"/>
    </row>
    <row r="1170">
      <c r="A1170" s="40"/>
      <c r="B1170" s="40"/>
      <c r="C1170" s="40"/>
      <c r="D1170" s="78"/>
      <c r="E1170" s="79"/>
      <c r="F1170" s="40"/>
      <c r="G1170" s="78"/>
      <c r="H1170" s="78"/>
      <c r="I1170" s="80"/>
      <c r="J1170" s="80"/>
      <c r="K1170" s="79"/>
      <c r="L1170" s="25"/>
      <c r="M1170" s="25"/>
      <c r="N1170" s="63"/>
      <c r="O1170" s="63"/>
      <c r="P1170" s="63"/>
      <c r="Q1170" s="63"/>
      <c r="R1170" s="32"/>
      <c r="S1170" s="32"/>
      <c r="T1170" s="32"/>
      <c r="U1170" s="32"/>
      <c r="W1170" s="32"/>
      <c r="X1170" s="32"/>
    </row>
    <row r="1171">
      <c r="A1171" s="40"/>
      <c r="B1171" s="40"/>
      <c r="C1171" s="40"/>
      <c r="D1171" s="78"/>
      <c r="E1171" s="79"/>
      <c r="F1171" s="40"/>
      <c r="G1171" s="78"/>
      <c r="H1171" s="78"/>
      <c r="I1171" s="80"/>
      <c r="J1171" s="80"/>
      <c r="K1171" s="79"/>
      <c r="L1171" s="25"/>
      <c r="M1171" s="25"/>
      <c r="N1171" s="63"/>
      <c r="O1171" s="63"/>
      <c r="P1171" s="63"/>
      <c r="Q1171" s="63"/>
      <c r="R1171" s="32"/>
      <c r="S1171" s="32"/>
      <c r="T1171" s="32"/>
      <c r="U1171" s="32"/>
      <c r="W1171" s="32"/>
      <c r="X1171" s="32"/>
    </row>
    <row r="1172">
      <c r="A1172" s="40"/>
      <c r="B1172" s="40"/>
      <c r="C1172" s="40"/>
      <c r="D1172" s="78"/>
      <c r="E1172" s="79"/>
      <c r="F1172" s="40"/>
      <c r="G1172" s="78"/>
      <c r="H1172" s="78"/>
      <c r="I1172" s="80"/>
      <c r="J1172" s="80"/>
      <c r="K1172" s="79"/>
      <c r="L1172" s="25"/>
      <c r="M1172" s="25"/>
      <c r="N1172" s="63"/>
      <c r="O1172" s="63"/>
      <c r="P1172" s="63"/>
      <c r="Q1172" s="63"/>
      <c r="R1172" s="32"/>
      <c r="S1172" s="32"/>
      <c r="T1172" s="32"/>
      <c r="U1172" s="32"/>
      <c r="W1172" s="32"/>
      <c r="X1172" s="32"/>
    </row>
    <row r="1173">
      <c r="A1173" s="40"/>
      <c r="B1173" s="40"/>
      <c r="C1173" s="40"/>
      <c r="D1173" s="78"/>
      <c r="E1173" s="79"/>
      <c r="F1173" s="40"/>
      <c r="G1173" s="78"/>
      <c r="H1173" s="78"/>
      <c r="I1173" s="80"/>
      <c r="J1173" s="80"/>
      <c r="K1173" s="79"/>
      <c r="L1173" s="25"/>
      <c r="M1173" s="25"/>
      <c r="N1173" s="63"/>
      <c r="O1173" s="63"/>
      <c r="P1173" s="63"/>
      <c r="Q1173" s="63"/>
      <c r="R1173" s="32"/>
      <c r="S1173" s="32"/>
      <c r="T1173" s="32"/>
      <c r="U1173" s="32"/>
      <c r="W1173" s="32"/>
      <c r="X1173" s="32"/>
    </row>
    <row r="1174">
      <c r="A1174" s="40"/>
      <c r="B1174" s="40"/>
      <c r="C1174" s="40"/>
      <c r="D1174" s="78"/>
      <c r="E1174" s="79"/>
      <c r="F1174" s="40"/>
      <c r="G1174" s="78"/>
      <c r="H1174" s="78"/>
      <c r="I1174" s="80"/>
      <c r="J1174" s="80"/>
      <c r="K1174" s="79"/>
      <c r="L1174" s="25"/>
      <c r="M1174" s="25"/>
      <c r="N1174" s="63"/>
      <c r="O1174" s="63"/>
      <c r="P1174" s="63"/>
      <c r="Q1174" s="63"/>
      <c r="R1174" s="32"/>
      <c r="S1174" s="32"/>
      <c r="T1174" s="32"/>
      <c r="U1174" s="32"/>
      <c r="W1174" s="32"/>
      <c r="X1174" s="32"/>
    </row>
    <row r="1175">
      <c r="A1175" s="40"/>
      <c r="B1175" s="40"/>
      <c r="C1175" s="40"/>
      <c r="D1175" s="78"/>
      <c r="E1175" s="79"/>
      <c r="F1175" s="40"/>
      <c r="G1175" s="78"/>
      <c r="H1175" s="78"/>
      <c r="I1175" s="80"/>
      <c r="J1175" s="80"/>
      <c r="K1175" s="79"/>
      <c r="L1175" s="25"/>
      <c r="M1175" s="25"/>
      <c r="N1175" s="63"/>
      <c r="O1175" s="63"/>
      <c r="P1175" s="63"/>
      <c r="Q1175" s="63"/>
      <c r="R1175" s="32"/>
      <c r="S1175" s="32"/>
      <c r="T1175" s="32"/>
      <c r="U1175" s="32"/>
      <c r="W1175" s="32"/>
      <c r="X1175" s="32"/>
    </row>
    <row r="1176">
      <c r="A1176" s="40"/>
      <c r="B1176" s="40"/>
      <c r="C1176" s="40"/>
      <c r="D1176" s="78"/>
      <c r="E1176" s="79"/>
      <c r="F1176" s="40"/>
      <c r="G1176" s="78"/>
      <c r="H1176" s="78"/>
      <c r="I1176" s="80"/>
      <c r="J1176" s="80"/>
      <c r="K1176" s="79"/>
      <c r="L1176" s="25"/>
      <c r="M1176" s="25"/>
      <c r="N1176" s="63"/>
      <c r="O1176" s="63"/>
      <c r="P1176" s="63"/>
      <c r="Q1176" s="63"/>
      <c r="R1176" s="32"/>
      <c r="S1176" s="32"/>
      <c r="T1176" s="32"/>
      <c r="U1176" s="32"/>
      <c r="W1176" s="32"/>
      <c r="X1176" s="32"/>
    </row>
    <row r="1177">
      <c r="A1177" s="40"/>
      <c r="B1177" s="40"/>
      <c r="C1177" s="40"/>
      <c r="D1177" s="78"/>
      <c r="E1177" s="79"/>
      <c r="F1177" s="40"/>
      <c r="G1177" s="78"/>
      <c r="H1177" s="78"/>
      <c r="I1177" s="80"/>
      <c r="J1177" s="80"/>
      <c r="K1177" s="79"/>
      <c r="L1177" s="25"/>
      <c r="M1177" s="25"/>
      <c r="N1177" s="63"/>
      <c r="O1177" s="63"/>
      <c r="P1177" s="63"/>
      <c r="Q1177" s="63"/>
      <c r="R1177" s="32"/>
      <c r="S1177" s="32"/>
      <c r="T1177" s="32"/>
      <c r="U1177" s="32"/>
      <c r="W1177" s="32"/>
      <c r="X1177" s="32"/>
    </row>
    <row r="1178">
      <c r="A1178" s="40"/>
      <c r="B1178" s="40"/>
      <c r="C1178" s="40"/>
      <c r="D1178" s="78"/>
      <c r="E1178" s="79"/>
      <c r="F1178" s="40"/>
      <c r="G1178" s="78"/>
      <c r="H1178" s="78"/>
      <c r="I1178" s="80"/>
      <c r="J1178" s="80"/>
      <c r="K1178" s="79"/>
      <c r="L1178" s="25"/>
      <c r="M1178" s="25"/>
      <c r="N1178" s="63"/>
      <c r="O1178" s="63"/>
      <c r="P1178" s="63"/>
      <c r="Q1178" s="63"/>
      <c r="R1178" s="32"/>
      <c r="S1178" s="32"/>
      <c r="T1178" s="32"/>
      <c r="U1178" s="32"/>
      <c r="W1178" s="32"/>
      <c r="X1178" s="32"/>
    </row>
    <row r="1179">
      <c r="A1179" s="40"/>
      <c r="B1179" s="40"/>
      <c r="C1179" s="40"/>
      <c r="D1179" s="78"/>
      <c r="E1179" s="79"/>
      <c r="F1179" s="40"/>
      <c r="G1179" s="78"/>
      <c r="H1179" s="78"/>
      <c r="I1179" s="80"/>
      <c r="J1179" s="80"/>
      <c r="K1179" s="79"/>
      <c r="L1179" s="25"/>
      <c r="M1179" s="25"/>
      <c r="N1179" s="63"/>
      <c r="O1179" s="63"/>
      <c r="P1179" s="63"/>
      <c r="Q1179" s="63"/>
      <c r="R1179" s="32"/>
      <c r="S1179" s="32"/>
      <c r="T1179" s="32"/>
      <c r="U1179" s="32"/>
      <c r="W1179" s="32"/>
      <c r="X1179" s="32"/>
    </row>
    <row r="1180">
      <c r="A1180" s="40"/>
      <c r="B1180" s="40"/>
      <c r="C1180" s="40"/>
      <c r="D1180" s="78"/>
      <c r="E1180" s="79"/>
      <c r="F1180" s="40"/>
      <c r="G1180" s="78"/>
      <c r="H1180" s="78"/>
      <c r="I1180" s="80"/>
      <c r="J1180" s="80"/>
      <c r="K1180" s="79"/>
      <c r="L1180" s="25"/>
      <c r="M1180" s="25"/>
      <c r="N1180" s="63"/>
      <c r="O1180" s="63"/>
      <c r="P1180" s="63"/>
      <c r="Q1180" s="63"/>
      <c r="R1180" s="32"/>
      <c r="S1180" s="32"/>
      <c r="T1180" s="32"/>
      <c r="U1180" s="32"/>
      <c r="W1180" s="32"/>
      <c r="X1180" s="32"/>
    </row>
    <row r="1181">
      <c r="A1181" s="40"/>
      <c r="B1181" s="40"/>
      <c r="C1181" s="40"/>
      <c r="D1181" s="78"/>
      <c r="E1181" s="79"/>
      <c r="F1181" s="40"/>
      <c r="G1181" s="78"/>
      <c r="H1181" s="78"/>
      <c r="I1181" s="80"/>
      <c r="J1181" s="80"/>
      <c r="K1181" s="79"/>
      <c r="L1181" s="25"/>
      <c r="M1181" s="25"/>
      <c r="N1181" s="63"/>
      <c r="O1181" s="63"/>
      <c r="P1181" s="63"/>
      <c r="Q1181" s="63"/>
      <c r="R1181" s="32"/>
      <c r="S1181" s="32"/>
      <c r="T1181" s="32"/>
      <c r="U1181" s="32"/>
      <c r="W1181" s="32"/>
      <c r="X1181" s="32"/>
    </row>
    <row r="1182">
      <c r="A1182" s="40"/>
      <c r="B1182" s="40"/>
      <c r="C1182" s="40"/>
      <c r="D1182" s="78"/>
      <c r="E1182" s="79"/>
      <c r="F1182" s="40"/>
      <c r="G1182" s="78"/>
      <c r="H1182" s="78"/>
      <c r="I1182" s="80"/>
      <c r="J1182" s="80"/>
      <c r="K1182" s="79"/>
      <c r="L1182" s="25"/>
      <c r="M1182" s="25"/>
      <c r="N1182" s="63"/>
      <c r="O1182" s="63"/>
      <c r="P1182" s="63"/>
      <c r="Q1182" s="63"/>
      <c r="R1182" s="32"/>
      <c r="S1182" s="32"/>
      <c r="T1182" s="32"/>
      <c r="U1182" s="32"/>
      <c r="W1182" s="32"/>
      <c r="X1182" s="32"/>
    </row>
    <row r="1183">
      <c r="A1183" s="40"/>
      <c r="B1183" s="40"/>
      <c r="C1183" s="40"/>
      <c r="D1183" s="78"/>
      <c r="E1183" s="79"/>
      <c r="F1183" s="40"/>
      <c r="G1183" s="78"/>
      <c r="H1183" s="78"/>
      <c r="I1183" s="80"/>
      <c r="J1183" s="80"/>
      <c r="K1183" s="79"/>
      <c r="L1183" s="25"/>
      <c r="M1183" s="25"/>
      <c r="N1183" s="63"/>
      <c r="O1183" s="63"/>
      <c r="P1183" s="63"/>
      <c r="Q1183" s="63"/>
      <c r="R1183" s="32"/>
      <c r="S1183" s="32"/>
      <c r="T1183" s="32"/>
      <c r="U1183" s="32"/>
      <c r="W1183" s="32"/>
      <c r="X1183" s="32"/>
    </row>
    <row r="1184">
      <c r="A1184" s="40"/>
      <c r="B1184" s="40"/>
      <c r="C1184" s="40"/>
      <c r="D1184" s="78"/>
      <c r="E1184" s="79"/>
      <c r="F1184" s="40"/>
      <c r="G1184" s="78"/>
      <c r="H1184" s="78"/>
      <c r="I1184" s="80"/>
      <c r="J1184" s="80"/>
      <c r="K1184" s="79"/>
      <c r="L1184" s="25"/>
      <c r="M1184" s="25"/>
      <c r="N1184" s="63"/>
      <c r="O1184" s="63"/>
      <c r="P1184" s="63"/>
      <c r="Q1184" s="63"/>
      <c r="R1184" s="32"/>
      <c r="S1184" s="32"/>
      <c r="T1184" s="32"/>
      <c r="U1184" s="32"/>
      <c r="W1184" s="32"/>
      <c r="X1184" s="32"/>
    </row>
    <row r="1185">
      <c r="A1185" s="40"/>
      <c r="B1185" s="40"/>
      <c r="C1185" s="40"/>
      <c r="D1185" s="78"/>
      <c r="E1185" s="79"/>
      <c r="F1185" s="40"/>
      <c r="G1185" s="78"/>
      <c r="H1185" s="78"/>
      <c r="I1185" s="80"/>
      <c r="J1185" s="80"/>
      <c r="K1185" s="79"/>
      <c r="L1185" s="25"/>
      <c r="M1185" s="25"/>
      <c r="N1185" s="63"/>
      <c r="O1185" s="63"/>
      <c r="P1185" s="63"/>
      <c r="Q1185" s="63"/>
      <c r="R1185" s="32"/>
      <c r="S1185" s="32"/>
      <c r="T1185" s="32"/>
      <c r="U1185" s="32"/>
      <c r="W1185" s="32"/>
      <c r="X1185" s="32"/>
    </row>
    <row r="1186">
      <c r="A1186" s="40"/>
      <c r="B1186" s="40"/>
      <c r="C1186" s="40"/>
      <c r="D1186" s="78"/>
      <c r="E1186" s="79"/>
      <c r="F1186" s="40"/>
      <c r="G1186" s="78"/>
      <c r="H1186" s="78"/>
      <c r="I1186" s="80"/>
      <c r="J1186" s="80"/>
      <c r="K1186" s="79"/>
      <c r="L1186" s="25"/>
      <c r="M1186" s="25"/>
      <c r="N1186" s="63"/>
      <c r="O1186" s="63"/>
      <c r="P1186" s="63"/>
      <c r="Q1186" s="63"/>
      <c r="R1186" s="32"/>
      <c r="S1186" s="32"/>
      <c r="T1186" s="32"/>
      <c r="U1186" s="32"/>
      <c r="W1186" s="32"/>
      <c r="X1186" s="32"/>
    </row>
    <row r="1187">
      <c r="A1187" s="40"/>
      <c r="B1187" s="40"/>
      <c r="C1187" s="40"/>
      <c r="D1187" s="78"/>
      <c r="E1187" s="79"/>
      <c r="F1187" s="40"/>
      <c r="G1187" s="78"/>
      <c r="H1187" s="78"/>
      <c r="I1187" s="80"/>
      <c r="J1187" s="80"/>
      <c r="K1187" s="79"/>
      <c r="L1187" s="25"/>
      <c r="M1187" s="25"/>
      <c r="N1187" s="63"/>
      <c r="O1187" s="63"/>
      <c r="P1187" s="63"/>
      <c r="Q1187" s="63"/>
      <c r="R1187" s="32"/>
      <c r="S1187" s="32"/>
      <c r="T1187" s="32"/>
      <c r="U1187" s="32"/>
      <c r="W1187" s="32"/>
      <c r="X1187" s="32"/>
    </row>
    <row r="1188">
      <c r="A1188" s="40"/>
      <c r="B1188" s="40"/>
      <c r="C1188" s="40"/>
      <c r="D1188" s="78"/>
      <c r="E1188" s="79"/>
      <c r="F1188" s="40"/>
      <c r="G1188" s="78"/>
      <c r="H1188" s="78"/>
      <c r="I1188" s="80"/>
      <c r="J1188" s="80"/>
      <c r="K1188" s="79"/>
      <c r="L1188" s="25"/>
      <c r="M1188" s="25"/>
      <c r="N1188" s="63"/>
      <c r="O1188" s="63"/>
      <c r="P1188" s="63"/>
      <c r="Q1188" s="63"/>
      <c r="R1188" s="32"/>
      <c r="S1188" s="32"/>
      <c r="T1188" s="32"/>
      <c r="U1188" s="32"/>
      <c r="W1188" s="32"/>
      <c r="X1188" s="32"/>
    </row>
    <row r="1189">
      <c r="A1189" s="40"/>
      <c r="B1189" s="40"/>
      <c r="C1189" s="40"/>
      <c r="D1189" s="78"/>
      <c r="E1189" s="79"/>
      <c r="F1189" s="40"/>
      <c r="G1189" s="78"/>
      <c r="H1189" s="78"/>
      <c r="I1189" s="80"/>
      <c r="J1189" s="80"/>
      <c r="K1189" s="79"/>
      <c r="L1189" s="25"/>
      <c r="M1189" s="25"/>
      <c r="N1189" s="63"/>
      <c r="O1189" s="63"/>
      <c r="P1189" s="63"/>
      <c r="Q1189" s="63"/>
      <c r="R1189" s="32"/>
      <c r="S1189" s="32"/>
      <c r="T1189" s="32"/>
      <c r="U1189" s="32"/>
      <c r="W1189" s="32"/>
      <c r="X1189" s="32"/>
    </row>
    <row r="1190">
      <c r="A1190" s="40"/>
      <c r="B1190" s="40"/>
      <c r="C1190" s="40"/>
      <c r="D1190" s="78"/>
      <c r="E1190" s="79"/>
      <c r="F1190" s="40"/>
      <c r="G1190" s="78"/>
      <c r="H1190" s="78"/>
      <c r="I1190" s="80"/>
      <c r="J1190" s="80"/>
      <c r="K1190" s="79"/>
      <c r="L1190" s="25"/>
      <c r="M1190" s="25"/>
      <c r="N1190" s="63"/>
      <c r="O1190" s="63"/>
      <c r="P1190" s="63"/>
      <c r="Q1190" s="63"/>
      <c r="R1190" s="32"/>
      <c r="S1190" s="32"/>
      <c r="T1190" s="32"/>
      <c r="U1190" s="32"/>
      <c r="W1190" s="32"/>
      <c r="X1190" s="32"/>
    </row>
    <row r="1191">
      <c r="A1191" s="40"/>
      <c r="B1191" s="40"/>
      <c r="C1191" s="40"/>
      <c r="D1191" s="78"/>
      <c r="E1191" s="79"/>
      <c r="F1191" s="40"/>
      <c r="G1191" s="78"/>
      <c r="H1191" s="78"/>
      <c r="I1191" s="80"/>
      <c r="J1191" s="80"/>
      <c r="K1191" s="79"/>
      <c r="L1191" s="25"/>
      <c r="M1191" s="25"/>
      <c r="N1191" s="63"/>
      <c r="O1191" s="63"/>
      <c r="P1191" s="63"/>
      <c r="Q1191" s="63"/>
      <c r="R1191" s="32"/>
      <c r="S1191" s="32"/>
      <c r="T1191" s="32"/>
      <c r="U1191" s="32"/>
      <c r="W1191" s="32"/>
      <c r="X1191" s="32"/>
    </row>
    <row r="1192">
      <c r="A1192" s="40"/>
      <c r="B1192" s="40"/>
      <c r="C1192" s="40"/>
      <c r="D1192" s="78"/>
      <c r="E1192" s="79"/>
      <c r="F1192" s="40"/>
      <c r="G1192" s="78"/>
      <c r="H1192" s="78"/>
      <c r="I1192" s="80"/>
      <c r="J1192" s="80"/>
      <c r="K1192" s="79"/>
      <c r="L1192" s="25"/>
      <c r="M1192" s="25"/>
      <c r="N1192" s="63"/>
      <c r="O1192" s="63"/>
      <c r="P1192" s="63"/>
      <c r="Q1192" s="63"/>
      <c r="R1192" s="32"/>
      <c r="S1192" s="32"/>
      <c r="T1192" s="32"/>
      <c r="U1192" s="32"/>
      <c r="W1192" s="32"/>
      <c r="X1192" s="32"/>
    </row>
    <row r="1193">
      <c r="A1193" s="40"/>
      <c r="B1193" s="40"/>
      <c r="C1193" s="40"/>
      <c r="D1193" s="78"/>
      <c r="E1193" s="79"/>
      <c r="F1193" s="40"/>
      <c r="G1193" s="78"/>
      <c r="H1193" s="78"/>
      <c r="I1193" s="80"/>
      <c r="J1193" s="80"/>
      <c r="K1193" s="79"/>
      <c r="L1193" s="25"/>
      <c r="M1193" s="25"/>
      <c r="N1193" s="63"/>
      <c r="O1193" s="63"/>
      <c r="P1193" s="63"/>
      <c r="Q1193" s="63"/>
      <c r="R1193" s="32"/>
      <c r="S1193" s="32"/>
      <c r="T1193" s="32"/>
      <c r="U1193" s="32"/>
      <c r="W1193" s="32"/>
      <c r="X1193" s="32"/>
    </row>
    <row r="1194">
      <c r="A1194" s="40"/>
      <c r="B1194" s="40"/>
      <c r="C1194" s="40"/>
      <c r="D1194" s="78"/>
      <c r="E1194" s="79"/>
      <c r="F1194" s="40"/>
      <c r="G1194" s="78"/>
      <c r="H1194" s="78"/>
      <c r="I1194" s="80"/>
      <c r="J1194" s="80"/>
      <c r="K1194" s="79"/>
      <c r="L1194" s="25"/>
      <c r="M1194" s="25"/>
      <c r="N1194" s="63"/>
      <c r="O1194" s="63"/>
      <c r="P1194" s="63"/>
      <c r="Q1194" s="63"/>
      <c r="R1194" s="32"/>
      <c r="S1194" s="32"/>
      <c r="T1194" s="32"/>
      <c r="U1194" s="32"/>
      <c r="W1194" s="32"/>
      <c r="X1194" s="32"/>
    </row>
    <row r="1195">
      <c r="A1195" s="40"/>
      <c r="B1195" s="40"/>
      <c r="C1195" s="40"/>
      <c r="D1195" s="78"/>
      <c r="E1195" s="79"/>
      <c r="F1195" s="40"/>
      <c r="G1195" s="78"/>
      <c r="H1195" s="78"/>
      <c r="I1195" s="80"/>
      <c r="J1195" s="80"/>
      <c r="K1195" s="79"/>
      <c r="L1195" s="25"/>
      <c r="M1195" s="25"/>
      <c r="N1195" s="63"/>
      <c r="O1195" s="63"/>
      <c r="P1195" s="63"/>
      <c r="Q1195" s="63"/>
      <c r="R1195" s="32"/>
      <c r="S1195" s="32"/>
      <c r="T1195" s="32"/>
      <c r="U1195" s="32"/>
      <c r="W1195" s="32"/>
      <c r="X1195" s="32"/>
    </row>
    <row r="1196">
      <c r="A1196" s="40"/>
      <c r="B1196" s="40"/>
      <c r="C1196" s="40"/>
      <c r="D1196" s="78"/>
      <c r="E1196" s="79"/>
      <c r="F1196" s="40"/>
      <c r="G1196" s="78"/>
      <c r="H1196" s="78"/>
      <c r="I1196" s="80"/>
      <c r="J1196" s="80"/>
      <c r="K1196" s="79"/>
      <c r="L1196" s="25"/>
      <c r="M1196" s="25"/>
      <c r="N1196" s="63"/>
      <c r="O1196" s="63"/>
      <c r="P1196" s="63"/>
      <c r="Q1196" s="63"/>
      <c r="R1196" s="32"/>
      <c r="S1196" s="32"/>
      <c r="T1196" s="32"/>
      <c r="U1196" s="32"/>
      <c r="W1196" s="32"/>
      <c r="X1196" s="32"/>
    </row>
    <row r="1197">
      <c r="A1197" s="40"/>
      <c r="B1197" s="40"/>
      <c r="C1197" s="40"/>
      <c r="D1197" s="78"/>
      <c r="E1197" s="79"/>
      <c r="F1197" s="40"/>
      <c r="G1197" s="78"/>
      <c r="H1197" s="78"/>
      <c r="I1197" s="80"/>
      <c r="J1197" s="80"/>
      <c r="K1197" s="79"/>
      <c r="L1197" s="25"/>
      <c r="M1197" s="25"/>
      <c r="N1197" s="63"/>
      <c r="O1197" s="63"/>
      <c r="P1197" s="63"/>
      <c r="Q1197" s="63"/>
      <c r="R1197" s="32"/>
      <c r="S1197" s="32"/>
      <c r="T1197" s="32"/>
      <c r="U1197" s="32"/>
      <c r="W1197" s="32"/>
      <c r="X1197" s="32"/>
    </row>
    <row r="1198">
      <c r="A1198" s="40"/>
      <c r="B1198" s="40"/>
      <c r="C1198" s="40"/>
      <c r="D1198" s="78"/>
      <c r="E1198" s="79"/>
      <c r="F1198" s="40"/>
      <c r="G1198" s="78"/>
      <c r="H1198" s="78"/>
      <c r="I1198" s="80"/>
      <c r="J1198" s="80"/>
      <c r="K1198" s="79"/>
      <c r="L1198" s="25"/>
      <c r="M1198" s="25"/>
      <c r="N1198" s="63"/>
      <c r="O1198" s="63"/>
      <c r="P1198" s="63"/>
      <c r="Q1198" s="63"/>
      <c r="R1198" s="32"/>
      <c r="S1198" s="32"/>
      <c r="T1198" s="32"/>
      <c r="U1198" s="32"/>
      <c r="W1198" s="32"/>
      <c r="X1198" s="32"/>
    </row>
    <row r="1199">
      <c r="A1199" s="40"/>
      <c r="B1199" s="40"/>
      <c r="C1199" s="40"/>
      <c r="D1199" s="78"/>
      <c r="E1199" s="79"/>
      <c r="F1199" s="40"/>
      <c r="G1199" s="78"/>
      <c r="H1199" s="78"/>
      <c r="I1199" s="80"/>
      <c r="J1199" s="80"/>
      <c r="K1199" s="79"/>
      <c r="L1199" s="25"/>
      <c r="M1199" s="25"/>
      <c r="N1199" s="63"/>
      <c r="O1199" s="63"/>
      <c r="P1199" s="63"/>
      <c r="Q1199" s="63"/>
      <c r="R1199" s="32"/>
      <c r="S1199" s="32"/>
      <c r="T1199" s="32"/>
      <c r="U1199" s="32"/>
      <c r="W1199" s="32"/>
      <c r="X1199" s="32"/>
    </row>
    <row r="1200">
      <c r="A1200" s="40"/>
      <c r="B1200" s="40"/>
      <c r="C1200" s="40"/>
      <c r="D1200" s="78"/>
      <c r="E1200" s="79"/>
      <c r="F1200" s="40"/>
      <c r="G1200" s="78"/>
      <c r="H1200" s="78"/>
      <c r="I1200" s="80"/>
      <c r="J1200" s="80"/>
      <c r="K1200" s="79"/>
      <c r="L1200" s="25"/>
      <c r="M1200" s="25"/>
      <c r="N1200" s="63"/>
      <c r="O1200" s="63"/>
      <c r="P1200" s="63"/>
      <c r="Q1200" s="63"/>
      <c r="R1200" s="32"/>
      <c r="S1200" s="32"/>
      <c r="T1200" s="32"/>
      <c r="U1200" s="32"/>
      <c r="W1200" s="32"/>
      <c r="X1200" s="32"/>
    </row>
    <row r="1201">
      <c r="A1201" s="40"/>
      <c r="B1201" s="40"/>
      <c r="C1201" s="40"/>
      <c r="D1201" s="78"/>
      <c r="E1201" s="79"/>
      <c r="F1201" s="40"/>
      <c r="G1201" s="78"/>
      <c r="H1201" s="78"/>
      <c r="I1201" s="80"/>
      <c r="J1201" s="80"/>
      <c r="K1201" s="79"/>
      <c r="L1201" s="25"/>
      <c r="M1201" s="25"/>
      <c r="N1201" s="63"/>
      <c r="O1201" s="63"/>
      <c r="P1201" s="63"/>
      <c r="Q1201" s="63"/>
      <c r="R1201" s="32"/>
      <c r="S1201" s="32"/>
      <c r="T1201" s="32"/>
      <c r="U1201" s="32"/>
      <c r="W1201" s="32"/>
      <c r="X1201" s="32"/>
    </row>
    <row r="1202">
      <c r="A1202" s="40"/>
      <c r="B1202" s="40"/>
      <c r="C1202" s="40"/>
      <c r="D1202" s="78"/>
      <c r="E1202" s="79"/>
      <c r="F1202" s="40"/>
      <c r="G1202" s="78"/>
      <c r="H1202" s="78"/>
      <c r="I1202" s="80"/>
      <c r="J1202" s="80"/>
      <c r="K1202" s="79"/>
      <c r="L1202" s="25"/>
      <c r="M1202" s="25"/>
      <c r="N1202" s="63"/>
      <c r="O1202" s="63"/>
      <c r="P1202" s="63"/>
      <c r="Q1202" s="63"/>
      <c r="R1202" s="32"/>
      <c r="S1202" s="32"/>
      <c r="T1202" s="32"/>
      <c r="U1202" s="32"/>
      <c r="W1202" s="32"/>
      <c r="X1202" s="32"/>
    </row>
    <row r="1203">
      <c r="A1203" s="40"/>
      <c r="B1203" s="40"/>
      <c r="C1203" s="40"/>
      <c r="D1203" s="78"/>
      <c r="E1203" s="79"/>
      <c r="F1203" s="40"/>
      <c r="G1203" s="78"/>
      <c r="H1203" s="78"/>
      <c r="I1203" s="80"/>
      <c r="J1203" s="80"/>
      <c r="K1203" s="79"/>
      <c r="L1203" s="25"/>
      <c r="M1203" s="25"/>
      <c r="N1203" s="63"/>
      <c r="O1203" s="63"/>
      <c r="P1203" s="63"/>
      <c r="Q1203" s="63"/>
      <c r="R1203" s="32"/>
      <c r="S1203" s="32"/>
      <c r="T1203" s="32"/>
      <c r="U1203" s="32"/>
      <c r="W1203" s="32"/>
      <c r="X1203" s="32"/>
    </row>
    <row r="1204">
      <c r="A1204" s="40"/>
      <c r="B1204" s="40"/>
      <c r="C1204" s="40"/>
      <c r="D1204" s="78"/>
      <c r="E1204" s="79"/>
      <c r="F1204" s="40"/>
      <c r="G1204" s="78"/>
      <c r="H1204" s="78"/>
      <c r="I1204" s="80"/>
      <c r="J1204" s="80"/>
      <c r="K1204" s="79"/>
      <c r="L1204" s="25"/>
      <c r="M1204" s="25"/>
      <c r="N1204" s="63"/>
      <c r="O1204" s="63"/>
      <c r="P1204" s="63"/>
      <c r="Q1204" s="63"/>
      <c r="R1204" s="32"/>
      <c r="S1204" s="32"/>
      <c r="T1204" s="32"/>
      <c r="U1204" s="32"/>
      <c r="W1204" s="32"/>
      <c r="X1204" s="32"/>
    </row>
    <row r="1205">
      <c r="A1205" s="40"/>
      <c r="B1205" s="40"/>
      <c r="C1205" s="40"/>
      <c r="D1205" s="78"/>
      <c r="E1205" s="79"/>
      <c r="F1205" s="40"/>
      <c r="G1205" s="78"/>
      <c r="H1205" s="78"/>
      <c r="I1205" s="80"/>
      <c r="J1205" s="80"/>
      <c r="K1205" s="79"/>
      <c r="L1205" s="25"/>
      <c r="M1205" s="25"/>
      <c r="N1205" s="63"/>
      <c r="O1205" s="63"/>
      <c r="P1205" s="63"/>
      <c r="Q1205" s="63"/>
      <c r="R1205" s="32"/>
      <c r="S1205" s="32"/>
      <c r="T1205" s="32"/>
      <c r="U1205" s="32"/>
      <c r="W1205" s="32"/>
      <c r="X1205" s="32"/>
    </row>
    <row r="1206">
      <c r="A1206" s="40"/>
      <c r="B1206" s="40"/>
      <c r="C1206" s="40"/>
      <c r="D1206" s="78"/>
      <c r="E1206" s="79"/>
      <c r="F1206" s="40"/>
      <c r="G1206" s="78"/>
      <c r="H1206" s="78"/>
      <c r="I1206" s="80"/>
      <c r="J1206" s="80"/>
      <c r="K1206" s="79"/>
      <c r="L1206" s="25"/>
      <c r="M1206" s="25"/>
      <c r="N1206" s="63"/>
      <c r="O1206" s="63"/>
      <c r="P1206" s="63"/>
      <c r="Q1206" s="63"/>
      <c r="R1206" s="32"/>
      <c r="S1206" s="32"/>
      <c r="T1206" s="32"/>
      <c r="U1206" s="32"/>
      <c r="W1206" s="32"/>
      <c r="X1206" s="32"/>
    </row>
    <row r="1207">
      <c r="A1207" s="40"/>
      <c r="B1207" s="40"/>
      <c r="C1207" s="40"/>
      <c r="D1207" s="78"/>
      <c r="E1207" s="79"/>
      <c r="F1207" s="40"/>
      <c r="G1207" s="78"/>
      <c r="H1207" s="78"/>
      <c r="I1207" s="80"/>
      <c r="J1207" s="80"/>
      <c r="K1207" s="79"/>
      <c r="L1207" s="25"/>
      <c r="M1207" s="25"/>
      <c r="N1207" s="63"/>
      <c r="O1207" s="63"/>
      <c r="P1207" s="63"/>
      <c r="Q1207" s="63"/>
      <c r="R1207" s="32"/>
      <c r="S1207" s="32"/>
      <c r="T1207" s="32"/>
      <c r="U1207" s="32"/>
      <c r="W1207" s="32"/>
      <c r="X1207" s="32"/>
    </row>
    <row r="1208">
      <c r="A1208" s="40"/>
      <c r="B1208" s="40"/>
      <c r="C1208" s="40"/>
      <c r="D1208" s="78"/>
      <c r="E1208" s="79"/>
      <c r="F1208" s="40"/>
      <c r="G1208" s="78"/>
      <c r="H1208" s="78"/>
      <c r="I1208" s="80"/>
      <c r="J1208" s="80"/>
      <c r="K1208" s="79"/>
      <c r="L1208" s="25"/>
      <c r="M1208" s="25"/>
      <c r="N1208" s="63"/>
      <c r="O1208" s="63"/>
      <c r="P1208" s="63"/>
      <c r="Q1208" s="63"/>
      <c r="R1208" s="32"/>
      <c r="S1208" s="32"/>
      <c r="T1208" s="32"/>
      <c r="U1208" s="32"/>
      <c r="W1208" s="32"/>
      <c r="X1208" s="32"/>
    </row>
    <row r="1209">
      <c r="A1209" s="40"/>
      <c r="B1209" s="40"/>
      <c r="C1209" s="40"/>
      <c r="D1209" s="78"/>
      <c r="E1209" s="79"/>
      <c r="F1209" s="40"/>
      <c r="G1209" s="78"/>
      <c r="H1209" s="78"/>
      <c r="I1209" s="80"/>
      <c r="J1209" s="80"/>
      <c r="K1209" s="79"/>
      <c r="L1209" s="25"/>
      <c r="M1209" s="25"/>
      <c r="N1209" s="63"/>
      <c r="O1209" s="63"/>
      <c r="P1209" s="63"/>
      <c r="Q1209" s="63"/>
      <c r="R1209" s="32"/>
      <c r="S1209" s="32"/>
      <c r="T1209" s="32"/>
      <c r="U1209" s="32"/>
      <c r="W1209" s="32"/>
      <c r="X1209" s="32"/>
    </row>
    <row r="1210">
      <c r="A1210" s="40"/>
      <c r="B1210" s="40"/>
      <c r="C1210" s="40"/>
      <c r="D1210" s="78"/>
      <c r="E1210" s="79"/>
      <c r="F1210" s="40"/>
      <c r="G1210" s="78"/>
      <c r="H1210" s="78"/>
      <c r="I1210" s="80"/>
      <c r="J1210" s="80"/>
      <c r="K1210" s="79"/>
      <c r="L1210" s="25"/>
      <c r="M1210" s="25"/>
      <c r="N1210" s="63"/>
      <c r="O1210" s="63"/>
      <c r="P1210" s="63"/>
      <c r="Q1210" s="63"/>
      <c r="R1210" s="32"/>
      <c r="S1210" s="32"/>
      <c r="T1210" s="32"/>
      <c r="U1210" s="32"/>
      <c r="W1210" s="32"/>
      <c r="X1210" s="32"/>
    </row>
    <row r="1211">
      <c r="A1211" s="40"/>
      <c r="B1211" s="40"/>
      <c r="C1211" s="40"/>
      <c r="D1211" s="78"/>
      <c r="E1211" s="79"/>
      <c r="F1211" s="40"/>
      <c r="G1211" s="78"/>
      <c r="H1211" s="78"/>
      <c r="I1211" s="80"/>
      <c r="J1211" s="80"/>
      <c r="K1211" s="79"/>
      <c r="L1211" s="25"/>
      <c r="M1211" s="25"/>
      <c r="N1211" s="63"/>
      <c r="O1211" s="63"/>
      <c r="P1211" s="63"/>
      <c r="Q1211" s="63"/>
      <c r="R1211" s="32"/>
      <c r="S1211" s="32"/>
      <c r="T1211" s="32"/>
      <c r="U1211" s="32"/>
      <c r="W1211" s="32"/>
      <c r="X1211" s="32"/>
    </row>
    <row r="1212">
      <c r="A1212" s="40"/>
      <c r="B1212" s="40"/>
      <c r="C1212" s="40"/>
      <c r="D1212" s="78"/>
      <c r="E1212" s="79"/>
      <c r="F1212" s="40"/>
      <c r="G1212" s="78"/>
      <c r="H1212" s="78"/>
      <c r="I1212" s="80"/>
      <c r="J1212" s="80"/>
      <c r="K1212" s="79"/>
      <c r="L1212" s="25"/>
      <c r="M1212" s="25"/>
      <c r="N1212" s="63"/>
      <c r="O1212" s="63"/>
      <c r="P1212" s="63"/>
      <c r="Q1212" s="63"/>
      <c r="R1212" s="32"/>
      <c r="S1212" s="32"/>
      <c r="T1212" s="32"/>
      <c r="U1212" s="32"/>
      <c r="W1212" s="32"/>
      <c r="X1212" s="32"/>
    </row>
    <row r="1213">
      <c r="A1213" s="40"/>
      <c r="B1213" s="40"/>
      <c r="C1213" s="40"/>
      <c r="D1213" s="78"/>
      <c r="E1213" s="79"/>
      <c r="F1213" s="40"/>
      <c r="G1213" s="78"/>
      <c r="H1213" s="78"/>
      <c r="I1213" s="80"/>
      <c r="J1213" s="80"/>
      <c r="K1213" s="79"/>
      <c r="L1213" s="25"/>
      <c r="M1213" s="25"/>
      <c r="N1213" s="63"/>
      <c r="O1213" s="63"/>
      <c r="P1213" s="63"/>
      <c r="Q1213" s="63"/>
      <c r="R1213" s="32"/>
      <c r="S1213" s="32"/>
      <c r="T1213" s="32"/>
      <c r="U1213" s="32"/>
      <c r="W1213" s="32"/>
      <c r="X1213" s="32"/>
    </row>
    <row r="1214">
      <c r="A1214" s="40"/>
      <c r="B1214" s="40"/>
      <c r="C1214" s="40"/>
      <c r="D1214" s="78"/>
      <c r="E1214" s="79"/>
      <c r="F1214" s="40"/>
      <c r="G1214" s="78"/>
      <c r="H1214" s="78"/>
      <c r="I1214" s="80"/>
      <c r="J1214" s="80"/>
      <c r="K1214" s="79"/>
      <c r="L1214" s="25"/>
      <c r="M1214" s="25"/>
      <c r="N1214" s="63"/>
      <c r="O1214" s="63"/>
      <c r="P1214" s="63"/>
      <c r="Q1214" s="63"/>
      <c r="R1214" s="32"/>
      <c r="S1214" s="32"/>
      <c r="T1214" s="32"/>
      <c r="U1214" s="32"/>
      <c r="W1214" s="32"/>
      <c r="X1214" s="32"/>
    </row>
    <row r="1215">
      <c r="A1215" s="40"/>
      <c r="B1215" s="40"/>
      <c r="C1215" s="40"/>
      <c r="D1215" s="78"/>
      <c r="E1215" s="79"/>
      <c r="F1215" s="40"/>
      <c r="G1215" s="78"/>
      <c r="H1215" s="78"/>
      <c r="I1215" s="80"/>
      <c r="J1215" s="80"/>
      <c r="K1215" s="79"/>
      <c r="L1215" s="25"/>
      <c r="M1215" s="25"/>
      <c r="N1215" s="63"/>
      <c r="O1215" s="63"/>
      <c r="P1215" s="63"/>
      <c r="Q1215" s="63"/>
      <c r="R1215" s="32"/>
      <c r="S1215" s="32"/>
      <c r="T1215" s="32"/>
      <c r="U1215" s="32"/>
      <c r="W1215" s="32"/>
      <c r="X1215" s="32"/>
    </row>
    <row r="1216">
      <c r="A1216" s="40"/>
      <c r="B1216" s="40"/>
      <c r="C1216" s="40"/>
      <c r="D1216" s="78"/>
      <c r="E1216" s="79"/>
      <c r="F1216" s="40"/>
      <c r="G1216" s="78"/>
      <c r="H1216" s="78"/>
      <c r="I1216" s="80"/>
      <c r="J1216" s="80"/>
      <c r="K1216" s="79"/>
      <c r="L1216" s="25"/>
      <c r="M1216" s="25"/>
      <c r="N1216" s="63"/>
      <c r="O1216" s="63"/>
      <c r="P1216" s="63"/>
      <c r="Q1216" s="63"/>
      <c r="R1216" s="32"/>
      <c r="S1216" s="32"/>
      <c r="T1216" s="32"/>
      <c r="U1216" s="32"/>
      <c r="W1216" s="32"/>
      <c r="X1216" s="32"/>
    </row>
    <row r="1217">
      <c r="A1217" s="40"/>
      <c r="B1217" s="40"/>
      <c r="C1217" s="40"/>
      <c r="D1217" s="78"/>
      <c r="E1217" s="79"/>
      <c r="F1217" s="40"/>
      <c r="G1217" s="78"/>
      <c r="H1217" s="78"/>
      <c r="I1217" s="80"/>
      <c r="J1217" s="80"/>
      <c r="K1217" s="79"/>
      <c r="L1217" s="25"/>
      <c r="M1217" s="25"/>
      <c r="N1217" s="63"/>
      <c r="O1217" s="63"/>
      <c r="P1217" s="63"/>
      <c r="Q1217" s="63"/>
      <c r="R1217" s="32"/>
      <c r="S1217" s="32"/>
      <c r="T1217" s="32"/>
      <c r="U1217" s="32"/>
      <c r="W1217" s="32"/>
      <c r="X1217" s="32"/>
    </row>
    <row r="1218">
      <c r="A1218" s="40"/>
      <c r="B1218" s="40"/>
      <c r="C1218" s="40"/>
      <c r="D1218" s="78"/>
      <c r="E1218" s="79"/>
      <c r="F1218" s="40"/>
      <c r="G1218" s="78"/>
      <c r="H1218" s="78"/>
      <c r="I1218" s="80"/>
      <c r="J1218" s="80"/>
      <c r="K1218" s="79"/>
      <c r="L1218" s="25"/>
      <c r="M1218" s="25"/>
      <c r="N1218" s="63"/>
      <c r="O1218" s="63"/>
      <c r="P1218" s="63"/>
      <c r="Q1218" s="63"/>
      <c r="R1218" s="32"/>
      <c r="S1218" s="32"/>
      <c r="T1218" s="32"/>
      <c r="U1218" s="32"/>
      <c r="W1218" s="32"/>
      <c r="X1218" s="32"/>
    </row>
    <row r="1219">
      <c r="A1219" s="40"/>
      <c r="B1219" s="40"/>
      <c r="C1219" s="40"/>
      <c r="D1219" s="78"/>
      <c r="E1219" s="79"/>
      <c r="F1219" s="40"/>
      <c r="G1219" s="78"/>
      <c r="H1219" s="78"/>
      <c r="I1219" s="80"/>
      <c r="J1219" s="80"/>
      <c r="K1219" s="79"/>
      <c r="L1219" s="25"/>
      <c r="M1219" s="25"/>
      <c r="N1219" s="63"/>
      <c r="O1219" s="63"/>
      <c r="P1219" s="63"/>
      <c r="Q1219" s="63"/>
      <c r="R1219" s="32"/>
      <c r="S1219" s="32"/>
      <c r="T1219" s="32"/>
      <c r="U1219" s="32"/>
      <c r="W1219" s="32"/>
      <c r="X1219" s="32"/>
    </row>
    <row r="1220">
      <c r="A1220" s="40"/>
      <c r="B1220" s="40"/>
      <c r="C1220" s="40"/>
      <c r="D1220" s="78"/>
      <c r="E1220" s="79"/>
      <c r="F1220" s="40"/>
      <c r="G1220" s="78"/>
      <c r="H1220" s="78"/>
      <c r="I1220" s="80"/>
      <c r="J1220" s="80"/>
      <c r="K1220" s="79"/>
      <c r="L1220" s="25"/>
      <c r="M1220" s="25"/>
      <c r="N1220" s="63"/>
      <c r="O1220" s="63"/>
      <c r="P1220" s="63"/>
      <c r="Q1220" s="63"/>
      <c r="R1220" s="32"/>
      <c r="S1220" s="32"/>
      <c r="T1220" s="32"/>
      <c r="U1220" s="32"/>
      <c r="W1220" s="32"/>
      <c r="X1220" s="32"/>
    </row>
    <row r="1221">
      <c r="A1221" s="40"/>
      <c r="B1221" s="40"/>
      <c r="C1221" s="40"/>
      <c r="D1221" s="78"/>
      <c r="E1221" s="79"/>
      <c r="F1221" s="40"/>
      <c r="G1221" s="78"/>
      <c r="H1221" s="78"/>
      <c r="I1221" s="80"/>
      <c r="J1221" s="80"/>
      <c r="K1221" s="79"/>
      <c r="L1221" s="25"/>
      <c r="M1221" s="25"/>
      <c r="N1221" s="63"/>
      <c r="O1221" s="63"/>
      <c r="P1221" s="63"/>
      <c r="Q1221" s="63"/>
      <c r="R1221" s="32"/>
      <c r="S1221" s="32"/>
      <c r="T1221" s="32"/>
      <c r="U1221" s="32"/>
      <c r="W1221" s="32"/>
      <c r="X1221" s="32"/>
    </row>
    <row r="1222">
      <c r="A1222" s="40"/>
      <c r="B1222" s="40"/>
      <c r="C1222" s="40"/>
      <c r="D1222" s="78"/>
      <c r="E1222" s="79"/>
      <c r="F1222" s="40"/>
      <c r="G1222" s="78"/>
      <c r="H1222" s="78"/>
      <c r="I1222" s="80"/>
      <c r="J1222" s="80"/>
      <c r="K1222" s="79"/>
      <c r="L1222" s="25"/>
      <c r="M1222" s="25"/>
      <c r="N1222" s="63"/>
      <c r="O1222" s="63"/>
      <c r="P1222" s="63"/>
      <c r="Q1222" s="63"/>
      <c r="R1222" s="32"/>
      <c r="S1222" s="32"/>
      <c r="T1222" s="32"/>
      <c r="U1222" s="32"/>
      <c r="W1222" s="32"/>
      <c r="X1222" s="32"/>
    </row>
    <row r="1223">
      <c r="A1223" s="40"/>
      <c r="B1223" s="40"/>
      <c r="C1223" s="40"/>
      <c r="D1223" s="78"/>
      <c r="E1223" s="79"/>
      <c r="F1223" s="40"/>
      <c r="G1223" s="78"/>
      <c r="H1223" s="78"/>
      <c r="I1223" s="80"/>
      <c r="J1223" s="80"/>
      <c r="K1223" s="79"/>
      <c r="L1223" s="25"/>
      <c r="M1223" s="25"/>
      <c r="N1223" s="63"/>
      <c r="O1223" s="63"/>
      <c r="P1223" s="63"/>
      <c r="Q1223" s="63"/>
      <c r="R1223" s="32"/>
      <c r="S1223" s="32"/>
      <c r="T1223" s="32"/>
      <c r="U1223" s="32"/>
      <c r="W1223" s="32"/>
      <c r="X1223" s="32"/>
    </row>
    <row r="1224">
      <c r="A1224" s="40"/>
      <c r="B1224" s="40"/>
      <c r="C1224" s="40"/>
      <c r="D1224" s="78"/>
      <c r="E1224" s="79"/>
      <c r="F1224" s="40"/>
      <c r="G1224" s="78"/>
      <c r="H1224" s="78"/>
      <c r="I1224" s="80"/>
      <c r="J1224" s="80"/>
      <c r="K1224" s="79"/>
      <c r="L1224" s="25"/>
      <c r="M1224" s="25"/>
      <c r="N1224" s="63"/>
      <c r="O1224" s="63"/>
      <c r="P1224" s="63"/>
      <c r="Q1224" s="63"/>
      <c r="R1224" s="32"/>
      <c r="S1224" s="32"/>
      <c r="T1224" s="32"/>
      <c r="U1224" s="32"/>
      <c r="W1224" s="32"/>
      <c r="X1224" s="32"/>
    </row>
    <row r="1225">
      <c r="A1225" s="40"/>
      <c r="B1225" s="40"/>
      <c r="C1225" s="40"/>
      <c r="D1225" s="78"/>
      <c r="E1225" s="79"/>
      <c r="F1225" s="40"/>
      <c r="G1225" s="78"/>
      <c r="H1225" s="78"/>
      <c r="I1225" s="80"/>
      <c r="J1225" s="80"/>
      <c r="K1225" s="79"/>
      <c r="L1225" s="25"/>
      <c r="M1225" s="25"/>
      <c r="N1225" s="63"/>
      <c r="O1225" s="63"/>
      <c r="P1225" s="63"/>
      <c r="Q1225" s="63"/>
      <c r="R1225" s="32"/>
      <c r="S1225" s="32"/>
      <c r="T1225" s="32"/>
      <c r="U1225" s="32"/>
      <c r="W1225" s="32"/>
      <c r="X1225" s="32"/>
    </row>
    <row r="1226">
      <c r="A1226" s="40"/>
      <c r="B1226" s="40"/>
      <c r="C1226" s="40"/>
      <c r="D1226" s="78"/>
      <c r="E1226" s="79"/>
      <c r="F1226" s="40"/>
      <c r="G1226" s="78"/>
      <c r="H1226" s="78"/>
      <c r="I1226" s="80"/>
      <c r="J1226" s="80"/>
      <c r="K1226" s="79"/>
      <c r="L1226" s="25"/>
      <c r="M1226" s="25"/>
      <c r="N1226" s="63"/>
      <c r="O1226" s="63"/>
      <c r="P1226" s="63"/>
      <c r="Q1226" s="63"/>
      <c r="R1226" s="32"/>
      <c r="S1226" s="32"/>
      <c r="T1226" s="32"/>
      <c r="U1226" s="32"/>
      <c r="W1226" s="32"/>
      <c r="X1226" s="32"/>
    </row>
    <row r="1227">
      <c r="A1227" s="40"/>
      <c r="B1227" s="40"/>
      <c r="C1227" s="40"/>
      <c r="D1227" s="78"/>
      <c r="E1227" s="79"/>
      <c r="F1227" s="40"/>
      <c r="G1227" s="78"/>
      <c r="H1227" s="78"/>
      <c r="I1227" s="80"/>
      <c r="J1227" s="80"/>
      <c r="K1227" s="79"/>
      <c r="L1227" s="25"/>
      <c r="M1227" s="25"/>
      <c r="N1227" s="63"/>
      <c r="O1227" s="63"/>
      <c r="P1227" s="63"/>
      <c r="Q1227" s="63"/>
      <c r="R1227" s="32"/>
      <c r="S1227" s="32"/>
      <c r="T1227" s="32"/>
      <c r="U1227" s="32"/>
      <c r="W1227" s="32"/>
      <c r="X1227" s="32"/>
    </row>
    <row r="1228">
      <c r="A1228" s="40"/>
      <c r="B1228" s="40"/>
      <c r="C1228" s="40"/>
      <c r="D1228" s="78"/>
      <c r="E1228" s="79"/>
      <c r="F1228" s="40"/>
      <c r="G1228" s="78"/>
      <c r="H1228" s="78"/>
      <c r="I1228" s="80"/>
      <c r="J1228" s="80"/>
      <c r="K1228" s="79"/>
      <c r="L1228" s="25"/>
      <c r="M1228" s="25"/>
      <c r="N1228" s="63"/>
      <c r="O1228" s="63"/>
      <c r="P1228" s="63"/>
      <c r="Q1228" s="63"/>
      <c r="R1228" s="32"/>
      <c r="S1228" s="32"/>
      <c r="T1228" s="32"/>
      <c r="U1228" s="32"/>
      <c r="W1228" s="32"/>
      <c r="X1228" s="32"/>
    </row>
    <row r="1229">
      <c r="A1229" s="40"/>
      <c r="B1229" s="40"/>
      <c r="C1229" s="40"/>
      <c r="D1229" s="78"/>
      <c r="E1229" s="79"/>
      <c r="F1229" s="40"/>
      <c r="G1229" s="78"/>
      <c r="H1229" s="78"/>
      <c r="I1229" s="80"/>
      <c r="J1229" s="80"/>
      <c r="K1229" s="79"/>
      <c r="L1229" s="25"/>
      <c r="M1229" s="25"/>
      <c r="N1229" s="63"/>
      <c r="O1229" s="63"/>
      <c r="P1229" s="63"/>
      <c r="Q1229" s="63"/>
      <c r="R1229" s="32"/>
      <c r="S1229" s="32"/>
      <c r="T1229" s="32"/>
      <c r="U1229" s="32"/>
      <c r="W1229" s="32"/>
      <c r="X1229" s="32"/>
    </row>
    <row r="1230">
      <c r="A1230" s="40"/>
      <c r="B1230" s="40"/>
      <c r="C1230" s="40"/>
      <c r="D1230" s="78"/>
      <c r="E1230" s="79"/>
      <c r="F1230" s="40"/>
      <c r="G1230" s="78"/>
      <c r="H1230" s="78"/>
      <c r="I1230" s="80"/>
      <c r="J1230" s="80"/>
      <c r="K1230" s="79"/>
      <c r="L1230" s="25"/>
      <c r="M1230" s="25"/>
      <c r="N1230" s="63"/>
      <c r="O1230" s="63"/>
      <c r="P1230" s="63"/>
      <c r="Q1230" s="63"/>
      <c r="R1230" s="32"/>
      <c r="S1230" s="32"/>
      <c r="T1230" s="32"/>
      <c r="U1230" s="32"/>
      <c r="W1230" s="32"/>
      <c r="X1230" s="32"/>
    </row>
    <row r="1231">
      <c r="A1231" s="40"/>
      <c r="B1231" s="40"/>
      <c r="C1231" s="40"/>
      <c r="D1231" s="78"/>
      <c r="E1231" s="79"/>
      <c r="F1231" s="40"/>
      <c r="G1231" s="78"/>
      <c r="H1231" s="78"/>
      <c r="I1231" s="80"/>
      <c r="J1231" s="80"/>
      <c r="K1231" s="79"/>
      <c r="L1231" s="25"/>
      <c r="M1231" s="25"/>
      <c r="N1231" s="63"/>
      <c r="O1231" s="63"/>
      <c r="P1231" s="63"/>
      <c r="Q1231" s="63"/>
      <c r="R1231" s="32"/>
      <c r="S1231" s="32"/>
      <c r="T1231" s="32"/>
      <c r="U1231" s="32"/>
      <c r="W1231" s="32"/>
      <c r="X1231" s="32"/>
    </row>
    <row r="1232">
      <c r="A1232" s="40"/>
      <c r="B1232" s="40"/>
      <c r="C1232" s="40"/>
      <c r="D1232" s="78"/>
      <c r="E1232" s="79"/>
      <c r="F1232" s="40"/>
      <c r="G1232" s="78"/>
      <c r="H1232" s="78"/>
      <c r="I1232" s="80"/>
      <c r="J1232" s="80"/>
      <c r="K1232" s="79"/>
      <c r="L1232" s="25"/>
      <c r="M1232" s="25"/>
      <c r="N1232" s="63"/>
      <c r="O1232" s="63"/>
      <c r="P1232" s="63"/>
      <c r="Q1232" s="63"/>
      <c r="R1232" s="32"/>
      <c r="S1232" s="32"/>
      <c r="T1232" s="32"/>
      <c r="U1232" s="32"/>
      <c r="W1232" s="32"/>
      <c r="X1232" s="32"/>
    </row>
    <row r="1233">
      <c r="A1233" s="40"/>
      <c r="B1233" s="40"/>
      <c r="C1233" s="40"/>
      <c r="D1233" s="78"/>
      <c r="E1233" s="79"/>
      <c r="F1233" s="40"/>
      <c r="G1233" s="78"/>
      <c r="H1233" s="78"/>
      <c r="I1233" s="80"/>
      <c r="J1233" s="80"/>
      <c r="K1233" s="79"/>
      <c r="L1233" s="25"/>
      <c r="M1233" s="25"/>
      <c r="N1233" s="63"/>
      <c r="O1233" s="63"/>
      <c r="P1233" s="63"/>
      <c r="Q1233" s="63"/>
      <c r="R1233" s="32"/>
      <c r="S1233" s="32"/>
      <c r="T1233" s="32"/>
      <c r="U1233" s="32"/>
      <c r="W1233" s="32"/>
      <c r="X1233" s="32"/>
    </row>
    <row r="1234">
      <c r="A1234" s="40"/>
      <c r="B1234" s="40"/>
      <c r="C1234" s="40"/>
      <c r="D1234" s="78"/>
      <c r="E1234" s="79"/>
      <c r="F1234" s="40"/>
      <c r="G1234" s="78"/>
      <c r="H1234" s="78"/>
      <c r="I1234" s="80"/>
      <c r="J1234" s="80"/>
      <c r="K1234" s="79"/>
      <c r="L1234" s="25"/>
      <c r="M1234" s="25"/>
      <c r="N1234" s="63"/>
      <c r="O1234" s="63"/>
      <c r="P1234" s="63"/>
      <c r="Q1234" s="63"/>
      <c r="R1234" s="32"/>
      <c r="S1234" s="32"/>
      <c r="T1234" s="32"/>
      <c r="U1234" s="32"/>
      <c r="W1234" s="32"/>
      <c r="X1234" s="32"/>
    </row>
    <row r="1235">
      <c r="A1235" s="40"/>
      <c r="B1235" s="40"/>
      <c r="C1235" s="40"/>
      <c r="D1235" s="78"/>
      <c r="E1235" s="79"/>
      <c r="F1235" s="40"/>
      <c r="G1235" s="78"/>
      <c r="H1235" s="78"/>
      <c r="I1235" s="80"/>
      <c r="J1235" s="80"/>
      <c r="K1235" s="79"/>
      <c r="L1235" s="25"/>
      <c r="M1235" s="25"/>
      <c r="N1235" s="63"/>
      <c r="O1235" s="63"/>
      <c r="P1235" s="63"/>
      <c r="Q1235" s="63"/>
      <c r="R1235" s="32"/>
      <c r="S1235" s="32"/>
      <c r="T1235" s="32"/>
      <c r="U1235" s="32"/>
      <c r="W1235" s="32"/>
      <c r="X1235" s="32"/>
    </row>
    <row r="1236">
      <c r="A1236" s="40"/>
      <c r="B1236" s="40"/>
      <c r="C1236" s="40"/>
      <c r="D1236" s="78"/>
      <c r="E1236" s="79"/>
      <c r="F1236" s="40"/>
      <c r="G1236" s="78"/>
      <c r="H1236" s="78"/>
      <c r="I1236" s="80"/>
      <c r="J1236" s="80"/>
      <c r="K1236" s="79"/>
      <c r="L1236" s="25"/>
      <c r="M1236" s="25"/>
      <c r="N1236" s="63"/>
      <c r="O1236" s="63"/>
      <c r="P1236" s="63"/>
      <c r="Q1236" s="63"/>
      <c r="R1236" s="32"/>
      <c r="S1236" s="32"/>
      <c r="T1236" s="32"/>
      <c r="U1236" s="32"/>
      <c r="W1236" s="32"/>
      <c r="X1236" s="32"/>
    </row>
    <row r="1237">
      <c r="A1237" s="40"/>
      <c r="B1237" s="40"/>
      <c r="C1237" s="40"/>
      <c r="D1237" s="78"/>
      <c r="E1237" s="79"/>
      <c r="F1237" s="40"/>
      <c r="G1237" s="78"/>
      <c r="H1237" s="78"/>
      <c r="I1237" s="80"/>
      <c r="J1237" s="80"/>
      <c r="K1237" s="79"/>
      <c r="L1237" s="25"/>
      <c r="M1237" s="25"/>
      <c r="N1237" s="63"/>
      <c r="O1237" s="63"/>
      <c r="P1237" s="63"/>
      <c r="Q1237" s="63"/>
      <c r="R1237" s="32"/>
      <c r="S1237" s="32"/>
      <c r="T1237" s="32"/>
      <c r="U1237" s="32"/>
      <c r="W1237" s="32"/>
      <c r="X1237" s="32"/>
    </row>
    <row r="1238">
      <c r="A1238" s="40"/>
      <c r="B1238" s="40"/>
      <c r="C1238" s="40"/>
      <c r="D1238" s="78"/>
      <c r="E1238" s="79"/>
      <c r="F1238" s="40"/>
      <c r="G1238" s="78"/>
      <c r="H1238" s="78"/>
      <c r="I1238" s="80"/>
      <c r="J1238" s="80"/>
      <c r="K1238" s="79"/>
      <c r="L1238" s="25"/>
      <c r="M1238" s="25"/>
      <c r="N1238" s="63"/>
      <c r="O1238" s="63"/>
      <c r="P1238" s="63"/>
      <c r="Q1238" s="63"/>
      <c r="R1238" s="32"/>
      <c r="S1238" s="32"/>
      <c r="T1238" s="32"/>
      <c r="U1238" s="32"/>
      <c r="W1238" s="32"/>
      <c r="X1238" s="32"/>
    </row>
    <row r="1239">
      <c r="A1239" s="40"/>
      <c r="B1239" s="40"/>
      <c r="C1239" s="40"/>
      <c r="D1239" s="78"/>
      <c r="E1239" s="79"/>
      <c r="F1239" s="40"/>
      <c r="G1239" s="78"/>
      <c r="H1239" s="78"/>
      <c r="I1239" s="80"/>
      <c r="J1239" s="80"/>
      <c r="K1239" s="79"/>
      <c r="L1239" s="25"/>
      <c r="M1239" s="25"/>
      <c r="N1239" s="63"/>
      <c r="O1239" s="63"/>
      <c r="P1239" s="63"/>
      <c r="Q1239" s="63"/>
      <c r="R1239" s="32"/>
      <c r="S1239" s="32"/>
      <c r="T1239" s="32"/>
      <c r="U1239" s="32"/>
      <c r="W1239" s="32"/>
      <c r="X1239" s="32"/>
    </row>
    <row r="1240">
      <c r="A1240" s="40"/>
      <c r="B1240" s="40"/>
      <c r="C1240" s="40"/>
      <c r="D1240" s="78"/>
      <c r="E1240" s="79"/>
      <c r="F1240" s="40"/>
      <c r="G1240" s="78"/>
      <c r="H1240" s="78"/>
      <c r="I1240" s="80"/>
      <c r="J1240" s="80"/>
      <c r="K1240" s="79"/>
      <c r="L1240" s="25"/>
      <c r="M1240" s="25"/>
      <c r="N1240" s="63"/>
      <c r="O1240" s="63"/>
      <c r="P1240" s="63"/>
      <c r="Q1240" s="63"/>
      <c r="R1240" s="32"/>
      <c r="S1240" s="32"/>
      <c r="T1240" s="32"/>
      <c r="U1240" s="32"/>
      <c r="W1240" s="32"/>
      <c r="X1240" s="32"/>
    </row>
    <row r="1241">
      <c r="A1241" s="40"/>
      <c r="B1241" s="40"/>
      <c r="C1241" s="40"/>
      <c r="D1241" s="78"/>
      <c r="E1241" s="79"/>
      <c r="F1241" s="40"/>
      <c r="G1241" s="78"/>
      <c r="H1241" s="78"/>
      <c r="I1241" s="80"/>
      <c r="J1241" s="80"/>
      <c r="K1241" s="79"/>
      <c r="L1241" s="25"/>
      <c r="M1241" s="25"/>
      <c r="N1241" s="63"/>
      <c r="O1241" s="63"/>
      <c r="P1241" s="63"/>
      <c r="Q1241" s="63"/>
      <c r="R1241" s="32"/>
      <c r="S1241" s="32"/>
      <c r="T1241" s="32"/>
      <c r="U1241" s="32"/>
      <c r="W1241" s="32"/>
      <c r="X1241" s="32"/>
    </row>
    <row r="1242">
      <c r="A1242" s="40"/>
      <c r="B1242" s="40"/>
      <c r="C1242" s="40"/>
      <c r="D1242" s="78"/>
      <c r="E1242" s="79"/>
      <c r="F1242" s="40"/>
      <c r="G1242" s="78"/>
      <c r="H1242" s="78"/>
      <c r="I1242" s="80"/>
      <c r="J1242" s="80"/>
      <c r="K1242" s="79"/>
      <c r="L1242" s="25"/>
      <c r="M1242" s="25"/>
      <c r="N1242" s="63"/>
      <c r="O1242" s="63"/>
      <c r="P1242" s="63"/>
      <c r="Q1242" s="63"/>
      <c r="R1242" s="32"/>
      <c r="S1242" s="32"/>
      <c r="T1242" s="32"/>
      <c r="U1242" s="32"/>
      <c r="W1242" s="32"/>
      <c r="X1242" s="32"/>
    </row>
    <row r="1243">
      <c r="A1243" s="40"/>
      <c r="B1243" s="40"/>
      <c r="C1243" s="40"/>
      <c r="D1243" s="78"/>
      <c r="E1243" s="79"/>
      <c r="F1243" s="40"/>
      <c r="G1243" s="78"/>
      <c r="H1243" s="78"/>
      <c r="I1243" s="80"/>
      <c r="J1243" s="80"/>
      <c r="K1243" s="79"/>
      <c r="L1243" s="25"/>
      <c r="M1243" s="25"/>
      <c r="N1243" s="63"/>
      <c r="O1243" s="63"/>
      <c r="P1243" s="63"/>
      <c r="Q1243" s="63"/>
      <c r="R1243" s="32"/>
      <c r="S1243" s="32"/>
      <c r="T1243" s="32"/>
      <c r="U1243" s="32"/>
      <c r="W1243" s="32"/>
      <c r="X1243" s="32"/>
    </row>
    <row r="1244">
      <c r="A1244" s="40"/>
      <c r="B1244" s="40"/>
      <c r="C1244" s="40"/>
      <c r="D1244" s="78"/>
      <c r="E1244" s="79"/>
      <c r="F1244" s="40"/>
      <c r="G1244" s="78"/>
      <c r="H1244" s="78"/>
      <c r="I1244" s="80"/>
      <c r="J1244" s="80"/>
      <c r="K1244" s="79"/>
      <c r="L1244" s="25"/>
      <c r="M1244" s="25"/>
      <c r="N1244" s="63"/>
      <c r="O1244" s="63"/>
      <c r="P1244" s="63"/>
      <c r="Q1244" s="63"/>
      <c r="R1244" s="32"/>
      <c r="S1244" s="32"/>
      <c r="T1244" s="32"/>
      <c r="U1244" s="32"/>
      <c r="W1244" s="32"/>
      <c r="X1244" s="32"/>
    </row>
    <row r="1245">
      <c r="A1245" s="40"/>
      <c r="B1245" s="40"/>
      <c r="C1245" s="40"/>
      <c r="D1245" s="78"/>
      <c r="E1245" s="79"/>
      <c r="F1245" s="40"/>
      <c r="G1245" s="78"/>
      <c r="H1245" s="78"/>
      <c r="I1245" s="80"/>
      <c r="J1245" s="80"/>
      <c r="K1245" s="79"/>
      <c r="L1245" s="25"/>
      <c r="M1245" s="25"/>
      <c r="N1245" s="63"/>
      <c r="O1245" s="63"/>
      <c r="P1245" s="63"/>
      <c r="Q1245" s="63"/>
      <c r="R1245" s="32"/>
      <c r="S1245" s="32"/>
      <c r="T1245" s="32"/>
      <c r="U1245" s="32"/>
      <c r="W1245" s="32"/>
      <c r="X1245" s="32"/>
    </row>
    <row r="1246">
      <c r="A1246" s="40"/>
      <c r="B1246" s="40"/>
      <c r="C1246" s="40"/>
      <c r="D1246" s="78"/>
      <c r="E1246" s="79"/>
      <c r="F1246" s="40"/>
      <c r="G1246" s="78"/>
      <c r="H1246" s="78"/>
      <c r="I1246" s="80"/>
      <c r="J1246" s="80"/>
      <c r="K1246" s="79"/>
      <c r="L1246" s="25"/>
      <c r="M1246" s="25"/>
      <c r="N1246" s="63"/>
      <c r="O1246" s="63"/>
      <c r="P1246" s="63"/>
      <c r="Q1246" s="63"/>
      <c r="R1246" s="32"/>
      <c r="S1246" s="32"/>
      <c r="T1246" s="32"/>
      <c r="U1246" s="32"/>
      <c r="W1246" s="32"/>
      <c r="X1246" s="32"/>
    </row>
    <row r="1247">
      <c r="A1247" s="40"/>
      <c r="B1247" s="40"/>
      <c r="C1247" s="40"/>
      <c r="D1247" s="78"/>
      <c r="E1247" s="79"/>
      <c r="F1247" s="40"/>
      <c r="G1247" s="78"/>
      <c r="H1247" s="78"/>
      <c r="I1247" s="80"/>
      <c r="J1247" s="80"/>
      <c r="K1247" s="79"/>
      <c r="L1247" s="25"/>
      <c r="M1247" s="25"/>
      <c r="N1247" s="63"/>
      <c r="O1247" s="63"/>
      <c r="P1247" s="63"/>
      <c r="Q1247" s="63"/>
      <c r="R1247" s="32"/>
      <c r="S1247" s="32"/>
      <c r="T1247" s="32"/>
      <c r="U1247" s="32"/>
      <c r="W1247" s="32"/>
      <c r="X1247" s="32"/>
    </row>
    <row r="1248">
      <c r="A1248" s="40"/>
      <c r="B1248" s="40"/>
      <c r="C1248" s="40"/>
      <c r="D1248" s="78"/>
      <c r="E1248" s="79"/>
      <c r="F1248" s="40"/>
      <c r="G1248" s="78"/>
      <c r="H1248" s="78"/>
      <c r="I1248" s="80"/>
      <c r="J1248" s="80"/>
      <c r="K1248" s="79"/>
      <c r="L1248" s="25"/>
      <c r="M1248" s="25"/>
      <c r="N1248" s="63"/>
      <c r="O1248" s="63"/>
      <c r="P1248" s="63"/>
      <c r="Q1248" s="63"/>
      <c r="R1248" s="32"/>
      <c r="S1248" s="32"/>
      <c r="T1248" s="32"/>
      <c r="U1248" s="32"/>
      <c r="W1248" s="32"/>
      <c r="X1248" s="32"/>
    </row>
    <row r="1249">
      <c r="A1249" s="40"/>
      <c r="B1249" s="40"/>
      <c r="C1249" s="40"/>
      <c r="D1249" s="78"/>
      <c r="E1249" s="79"/>
      <c r="F1249" s="40"/>
      <c r="G1249" s="78"/>
      <c r="H1249" s="78"/>
      <c r="I1249" s="80"/>
      <c r="J1249" s="80"/>
      <c r="K1249" s="79"/>
      <c r="L1249" s="25"/>
      <c r="M1249" s="25"/>
      <c r="N1249" s="63"/>
      <c r="O1249" s="63"/>
      <c r="P1249" s="63"/>
      <c r="Q1249" s="63"/>
      <c r="R1249" s="32"/>
      <c r="S1249" s="32"/>
      <c r="T1249" s="32"/>
      <c r="U1249" s="32"/>
      <c r="W1249" s="32"/>
      <c r="X1249" s="32"/>
    </row>
    <row r="1250">
      <c r="A1250" s="40"/>
      <c r="B1250" s="40"/>
      <c r="C1250" s="40"/>
      <c r="D1250" s="78"/>
      <c r="E1250" s="79"/>
      <c r="F1250" s="40"/>
      <c r="G1250" s="78"/>
      <c r="H1250" s="78"/>
      <c r="I1250" s="80"/>
      <c r="J1250" s="80"/>
      <c r="K1250" s="79"/>
      <c r="L1250" s="25"/>
      <c r="M1250" s="25"/>
      <c r="N1250" s="63"/>
      <c r="O1250" s="63"/>
      <c r="P1250" s="63"/>
      <c r="Q1250" s="63"/>
      <c r="R1250" s="32"/>
      <c r="S1250" s="32"/>
      <c r="T1250" s="32"/>
      <c r="U1250" s="32"/>
      <c r="W1250" s="32"/>
      <c r="X1250" s="32"/>
    </row>
    <row r="1251">
      <c r="A1251" s="40"/>
      <c r="B1251" s="40"/>
      <c r="C1251" s="40"/>
      <c r="D1251" s="78"/>
      <c r="E1251" s="79"/>
      <c r="F1251" s="40"/>
      <c r="G1251" s="78"/>
      <c r="H1251" s="78"/>
      <c r="I1251" s="80"/>
      <c r="J1251" s="80"/>
      <c r="K1251" s="79"/>
      <c r="L1251" s="25"/>
      <c r="M1251" s="25"/>
      <c r="N1251" s="63"/>
      <c r="O1251" s="63"/>
      <c r="P1251" s="63"/>
      <c r="Q1251" s="63"/>
      <c r="R1251" s="32"/>
      <c r="S1251" s="32"/>
      <c r="T1251" s="32"/>
      <c r="U1251" s="32"/>
      <c r="W1251" s="32"/>
      <c r="X1251" s="32"/>
    </row>
    <row r="1252">
      <c r="A1252" s="40"/>
      <c r="B1252" s="40"/>
      <c r="C1252" s="40"/>
      <c r="D1252" s="78"/>
      <c r="E1252" s="79"/>
      <c r="F1252" s="40"/>
      <c r="G1252" s="78"/>
      <c r="H1252" s="78"/>
      <c r="I1252" s="80"/>
      <c r="J1252" s="80"/>
      <c r="K1252" s="79"/>
      <c r="L1252" s="25"/>
      <c r="M1252" s="25"/>
      <c r="N1252" s="63"/>
      <c r="O1252" s="63"/>
      <c r="P1252" s="63"/>
      <c r="Q1252" s="63"/>
      <c r="R1252" s="32"/>
      <c r="S1252" s="32"/>
      <c r="T1252" s="32"/>
      <c r="U1252" s="32"/>
      <c r="W1252" s="32"/>
      <c r="X1252" s="32"/>
    </row>
    <row r="1253">
      <c r="A1253" s="40"/>
      <c r="B1253" s="40"/>
      <c r="C1253" s="40"/>
      <c r="D1253" s="78"/>
      <c r="E1253" s="79"/>
      <c r="F1253" s="40"/>
      <c r="G1253" s="78"/>
      <c r="H1253" s="78"/>
      <c r="I1253" s="80"/>
      <c r="J1253" s="80"/>
      <c r="K1253" s="79"/>
      <c r="L1253" s="25"/>
      <c r="M1253" s="25"/>
      <c r="N1253" s="63"/>
      <c r="O1253" s="63"/>
      <c r="P1253" s="63"/>
      <c r="Q1253" s="63"/>
      <c r="R1253" s="32"/>
      <c r="S1253" s="32"/>
      <c r="T1253" s="32"/>
      <c r="U1253" s="32"/>
      <c r="W1253" s="32"/>
      <c r="X1253" s="32"/>
    </row>
    <row r="1254">
      <c r="A1254" s="40"/>
      <c r="B1254" s="40"/>
      <c r="C1254" s="40"/>
      <c r="D1254" s="78"/>
      <c r="E1254" s="79"/>
      <c r="F1254" s="40"/>
      <c r="G1254" s="78"/>
      <c r="H1254" s="78"/>
      <c r="I1254" s="80"/>
      <c r="J1254" s="80"/>
      <c r="K1254" s="79"/>
      <c r="L1254" s="25"/>
      <c r="M1254" s="25"/>
      <c r="N1254" s="63"/>
      <c r="O1254" s="63"/>
      <c r="P1254" s="63"/>
      <c r="Q1254" s="63"/>
      <c r="R1254" s="32"/>
      <c r="S1254" s="32"/>
      <c r="T1254" s="32"/>
      <c r="U1254" s="32"/>
      <c r="W1254" s="32"/>
      <c r="X1254" s="32"/>
    </row>
    <row r="1255">
      <c r="A1255" s="40"/>
      <c r="B1255" s="40"/>
      <c r="C1255" s="40"/>
      <c r="D1255" s="78"/>
      <c r="E1255" s="79"/>
      <c r="F1255" s="40"/>
      <c r="G1255" s="78"/>
      <c r="H1255" s="78"/>
      <c r="I1255" s="80"/>
      <c r="J1255" s="80"/>
      <c r="K1255" s="79"/>
      <c r="L1255" s="25"/>
      <c r="M1255" s="25"/>
      <c r="N1255" s="63"/>
      <c r="O1255" s="63"/>
      <c r="P1255" s="63"/>
      <c r="Q1255" s="63"/>
      <c r="R1255" s="32"/>
      <c r="S1255" s="32"/>
      <c r="T1255" s="32"/>
      <c r="U1255" s="32"/>
      <c r="W1255" s="32"/>
      <c r="X1255" s="32"/>
    </row>
    <row r="1256">
      <c r="A1256" s="40"/>
      <c r="B1256" s="40"/>
      <c r="C1256" s="40"/>
      <c r="D1256" s="78"/>
      <c r="E1256" s="79"/>
      <c r="F1256" s="40"/>
      <c r="G1256" s="78"/>
      <c r="H1256" s="78"/>
      <c r="I1256" s="80"/>
      <c r="J1256" s="80"/>
      <c r="K1256" s="79"/>
      <c r="L1256" s="25"/>
      <c r="M1256" s="25"/>
      <c r="N1256" s="63"/>
      <c r="O1256" s="63"/>
      <c r="P1256" s="63"/>
      <c r="Q1256" s="63"/>
      <c r="R1256" s="32"/>
      <c r="S1256" s="32"/>
      <c r="T1256" s="32"/>
      <c r="U1256" s="32"/>
      <c r="W1256" s="32"/>
      <c r="X1256" s="32"/>
    </row>
    <row r="1257">
      <c r="A1257" s="40"/>
      <c r="B1257" s="40"/>
      <c r="C1257" s="40"/>
      <c r="D1257" s="78"/>
      <c r="E1257" s="79"/>
      <c r="F1257" s="40"/>
      <c r="G1257" s="78"/>
      <c r="H1257" s="78"/>
      <c r="I1257" s="80"/>
      <c r="J1257" s="80"/>
      <c r="K1257" s="79"/>
      <c r="L1257" s="25"/>
      <c r="M1257" s="25"/>
      <c r="N1257" s="63"/>
      <c r="O1257" s="63"/>
      <c r="P1257" s="63"/>
      <c r="Q1257" s="63"/>
      <c r="R1257" s="32"/>
      <c r="S1257" s="32"/>
      <c r="T1257" s="32"/>
      <c r="U1257" s="32"/>
      <c r="W1257" s="32"/>
      <c r="X1257" s="32"/>
    </row>
    <row r="1258">
      <c r="A1258" s="40"/>
      <c r="B1258" s="40"/>
      <c r="C1258" s="40"/>
      <c r="D1258" s="78"/>
      <c r="E1258" s="79"/>
      <c r="F1258" s="40"/>
      <c r="G1258" s="78"/>
      <c r="H1258" s="78"/>
      <c r="I1258" s="80"/>
      <c r="J1258" s="80"/>
      <c r="K1258" s="79"/>
      <c r="L1258" s="25"/>
      <c r="M1258" s="25"/>
      <c r="N1258" s="63"/>
      <c r="O1258" s="63"/>
      <c r="P1258" s="63"/>
      <c r="Q1258" s="63"/>
      <c r="R1258" s="32"/>
      <c r="S1258" s="32"/>
      <c r="T1258" s="32"/>
      <c r="U1258" s="32"/>
      <c r="W1258" s="32"/>
      <c r="X1258" s="32"/>
    </row>
    <row r="1259">
      <c r="A1259" s="40"/>
      <c r="B1259" s="40"/>
      <c r="C1259" s="40"/>
      <c r="D1259" s="78"/>
      <c r="E1259" s="79"/>
      <c r="F1259" s="40"/>
      <c r="G1259" s="78"/>
      <c r="H1259" s="78"/>
      <c r="I1259" s="80"/>
      <c r="J1259" s="80"/>
      <c r="K1259" s="79"/>
      <c r="L1259" s="25"/>
      <c r="M1259" s="25"/>
      <c r="N1259" s="63"/>
      <c r="O1259" s="63"/>
      <c r="P1259" s="63"/>
      <c r="Q1259" s="63"/>
      <c r="R1259" s="32"/>
      <c r="S1259" s="32"/>
      <c r="T1259" s="32"/>
      <c r="U1259" s="32"/>
      <c r="W1259" s="32"/>
      <c r="X1259" s="32"/>
    </row>
    <row r="1260">
      <c r="A1260" s="40"/>
      <c r="B1260" s="40"/>
      <c r="C1260" s="40"/>
      <c r="D1260" s="78"/>
      <c r="E1260" s="79"/>
      <c r="F1260" s="40"/>
      <c r="G1260" s="78"/>
      <c r="H1260" s="78"/>
      <c r="I1260" s="80"/>
      <c r="J1260" s="80"/>
      <c r="K1260" s="79"/>
      <c r="L1260" s="25"/>
      <c r="M1260" s="25"/>
      <c r="N1260" s="63"/>
      <c r="O1260" s="63"/>
      <c r="P1260" s="63"/>
      <c r="Q1260" s="63"/>
      <c r="R1260" s="32"/>
      <c r="S1260" s="32"/>
      <c r="T1260" s="32"/>
      <c r="U1260" s="32"/>
      <c r="W1260" s="32"/>
      <c r="X1260" s="32"/>
    </row>
    <row r="1261">
      <c r="A1261" s="40"/>
      <c r="B1261" s="40"/>
      <c r="C1261" s="40"/>
      <c r="D1261" s="78"/>
      <c r="E1261" s="79"/>
      <c r="F1261" s="40"/>
      <c r="G1261" s="78"/>
      <c r="H1261" s="78"/>
      <c r="I1261" s="80"/>
      <c r="J1261" s="80"/>
      <c r="K1261" s="79"/>
      <c r="L1261" s="25"/>
      <c r="M1261" s="25"/>
      <c r="N1261" s="63"/>
      <c r="O1261" s="63"/>
      <c r="P1261" s="63"/>
      <c r="Q1261" s="63"/>
      <c r="R1261" s="32"/>
      <c r="S1261" s="32"/>
      <c r="T1261" s="32"/>
      <c r="U1261" s="32"/>
      <c r="W1261" s="32"/>
      <c r="X1261" s="32"/>
    </row>
    <row r="1262">
      <c r="A1262" s="40"/>
      <c r="B1262" s="40"/>
      <c r="C1262" s="40"/>
      <c r="D1262" s="78"/>
      <c r="E1262" s="79"/>
      <c r="F1262" s="40"/>
      <c r="G1262" s="78"/>
      <c r="H1262" s="78"/>
      <c r="I1262" s="80"/>
      <c r="J1262" s="80"/>
      <c r="K1262" s="79"/>
      <c r="L1262" s="25"/>
      <c r="M1262" s="25"/>
      <c r="N1262" s="63"/>
      <c r="O1262" s="63"/>
      <c r="P1262" s="63"/>
      <c r="Q1262" s="63"/>
      <c r="R1262" s="32"/>
      <c r="S1262" s="32"/>
      <c r="T1262" s="32"/>
      <c r="U1262" s="32"/>
      <c r="W1262" s="32"/>
      <c r="X1262" s="32"/>
    </row>
    <row r="1263">
      <c r="A1263" s="40"/>
      <c r="B1263" s="40"/>
      <c r="C1263" s="40"/>
      <c r="D1263" s="78"/>
      <c r="E1263" s="79"/>
      <c r="F1263" s="40"/>
      <c r="G1263" s="78"/>
      <c r="H1263" s="78"/>
      <c r="I1263" s="80"/>
      <c r="J1263" s="80"/>
      <c r="K1263" s="79"/>
      <c r="L1263" s="25"/>
      <c r="M1263" s="25"/>
      <c r="N1263" s="63"/>
      <c r="O1263" s="63"/>
      <c r="P1263" s="63"/>
      <c r="Q1263" s="63"/>
      <c r="R1263" s="32"/>
      <c r="S1263" s="32"/>
      <c r="T1263" s="32"/>
      <c r="U1263" s="32"/>
      <c r="W1263" s="32"/>
      <c r="X1263" s="32"/>
    </row>
    <row r="1264">
      <c r="A1264" s="40"/>
      <c r="B1264" s="40"/>
      <c r="C1264" s="40"/>
      <c r="D1264" s="78"/>
      <c r="E1264" s="79"/>
      <c r="F1264" s="40"/>
      <c r="G1264" s="78"/>
      <c r="H1264" s="78"/>
      <c r="I1264" s="80"/>
      <c r="J1264" s="80"/>
      <c r="K1264" s="79"/>
      <c r="L1264" s="25"/>
      <c r="M1264" s="25"/>
      <c r="N1264" s="63"/>
      <c r="O1264" s="63"/>
      <c r="P1264" s="63"/>
      <c r="Q1264" s="63"/>
      <c r="R1264" s="32"/>
      <c r="S1264" s="32"/>
      <c r="T1264" s="32"/>
      <c r="U1264" s="32"/>
      <c r="W1264" s="32"/>
      <c r="X1264" s="32"/>
    </row>
    <row r="1265">
      <c r="A1265" s="40"/>
      <c r="B1265" s="40"/>
      <c r="C1265" s="40"/>
      <c r="D1265" s="78"/>
      <c r="E1265" s="79"/>
      <c r="F1265" s="40"/>
      <c r="G1265" s="78"/>
      <c r="H1265" s="78"/>
      <c r="I1265" s="80"/>
      <c r="J1265" s="80"/>
      <c r="K1265" s="79"/>
      <c r="L1265" s="25"/>
      <c r="M1265" s="25"/>
      <c r="N1265" s="63"/>
      <c r="O1265" s="63"/>
      <c r="P1265" s="63"/>
      <c r="Q1265" s="63"/>
      <c r="R1265" s="32"/>
      <c r="S1265" s="32"/>
      <c r="T1265" s="32"/>
      <c r="U1265" s="32"/>
      <c r="W1265" s="32"/>
      <c r="X1265" s="32"/>
    </row>
    <row r="1266">
      <c r="A1266" s="40"/>
      <c r="B1266" s="40"/>
      <c r="C1266" s="40"/>
      <c r="D1266" s="78"/>
      <c r="E1266" s="79"/>
      <c r="F1266" s="40"/>
      <c r="G1266" s="78"/>
      <c r="H1266" s="78"/>
      <c r="I1266" s="80"/>
      <c r="J1266" s="80"/>
      <c r="K1266" s="79"/>
      <c r="L1266" s="25"/>
      <c r="M1266" s="25"/>
      <c r="N1266" s="63"/>
      <c r="O1266" s="63"/>
      <c r="P1266" s="63"/>
      <c r="Q1266" s="63"/>
      <c r="R1266" s="32"/>
      <c r="S1266" s="32"/>
      <c r="T1266" s="32"/>
      <c r="U1266" s="32"/>
      <c r="W1266" s="32"/>
      <c r="X1266" s="32"/>
    </row>
    <row r="1267">
      <c r="A1267" s="40"/>
      <c r="B1267" s="40"/>
      <c r="C1267" s="40"/>
      <c r="D1267" s="78"/>
      <c r="E1267" s="79"/>
      <c r="F1267" s="40"/>
      <c r="G1267" s="78"/>
      <c r="H1267" s="78"/>
      <c r="I1267" s="80"/>
      <c r="J1267" s="80"/>
      <c r="K1267" s="79"/>
      <c r="L1267" s="25"/>
      <c r="M1267" s="25"/>
      <c r="N1267" s="63"/>
      <c r="O1267" s="63"/>
      <c r="P1267" s="63"/>
      <c r="Q1267" s="63"/>
      <c r="R1267" s="32"/>
      <c r="S1267" s="32"/>
      <c r="T1267" s="32"/>
      <c r="U1267" s="32"/>
      <c r="W1267" s="32"/>
      <c r="X1267" s="32"/>
    </row>
    <row r="1268">
      <c r="A1268" s="40"/>
      <c r="B1268" s="40"/>
      <c r="C1268" s="40"/>
      <c r="D1268" s="78"/>
      <c r="E1268" s="79"/>
      <c r="F1268" s="40"/>
      <c r="G1268" s="78"/>
      <c r="H1268" s="78"/>
      <c r="I1268" s="80"/>
      <c r="J1268" s="80"/>
      <c r="K1268" s="79"/>
      <c r="L1268" s="25"/>
      <c r="M1268" s="25"/>
      <c r="N1268" s="63"/>
      <c r="O1268" s="63"/>
      <c r="P1268" s="63"/>
      <c r="Q1268" s="63"/>
      <c r="R1268" s="32"/>
      <c r="S1268" s="32"/>
      <c r="T1268" s="32"/>
      <c r="U1268" s="32"/>
      <c r="W1268" s="32"/>
      <c r="X1268" s="32"/>
    </row>
    <row r="1269">
      <c r="A1269" s="40"/>
      <c r="B1269" s="40"/>
      <c r="C1269" s="40"/>
      <c r="D1269" s="78"/>
      <c r="E1269" s="79"/>
      <c r="F1269" s="40"/>
      <c r="G1269" s="78"/>
      <c r="H1269" s="78"/>
      <c r="I1269" s="80"/>
      <c r="J1269" s="80"/>
      <c r="K1269" s="79"/>
      <c r="L1269" s="25"/>
      <c r="M1269" s="25"/>
      <c r="N1269" s="63"/>
      <c r="O1269" s="63"/>
      <c r="P1269" s="63"/>
      <c r="Q1269" s="63"/>
      <c r="R1269" s="32"/>
      <c r="S1269" s="32"/>
      <c r="T1269" s="32"/>
      <c r="U1269" s="32"/>
      <c r="W1269" s="32"/>
      <c r="X1269" s="32"/>
    </row>
    <row r="1270">
      <c r="A1270" s="40"/>
      <c r="B1270" s="40"/>
      <c r="C1270" s="40"/>
      <c r="D1270" s="78"/>
      <c r="E1270" s="79"/>
      <c r="F1270" s="40"/>
      <c r="G1270" s="78"/>
      <c r="H1270" s="78"/>
      <c r="I1270" s="80"/>
      <c r="J1270" s="80"/>
      <c r="K1270" s="79"/>
      <c r="L1270" s="25"/>
      <c r="M1270" s="25"/>
      <c r="N1270" s="63"/>
      <c r="O1270" s="63"/>
      <c r="P1270" s="63"/>
      <c r="Q1270" s="63"/>
      <c r="R1270" s="32"/>
      <c r="S1270" s="32"/>
      <c r="T1270" s="32"/>
      <c r="U1270" s="32"/>
      <c r="W1270" s="32"/>
      <c r="X1270" s="32"/>
    </row>
    <row r="1271">
      <c r="A1271" s="40"/>
      <c r="B1271" s="40"/>
      <c r="C1271" s="40"/>
      <c r="D1271" s="78"/>
      <c r="E1271" s="79"/>
      <c r="F1271" s="40"/>
      <c r="G1271" s="78"/>
      <c r="H1271" s="78"/>
      <c r="I1271" s="80"/>
      <c r="J1271" s="80"/>
      <c r="K1271" s="79"/>
      <c r="L1271" s="25"/>
      <c r="M1271" s="25"/>
      <c r="N1271" s="63"/>
      <c r="O1271" s="63"/>
      <c r="P1271" s="63"/>
      <c r="Q1271" s="63"/>
      <c r="R1271" s="32"/>
      <c r="S1271" s="32"/>
      <c r="T1271" s="32"/>
      <c r="U1271" s="32"/>
      <c r="W1271" s="32"/>
      <c r="X1271" s="32"/>
    </row>
    <row r="1272">
      <c r="A1272" s="40"/>
      <c r="B1272" s="40"/>
      <c r="C1272" s="40"/>
      <c r="D1272" s="78"/>
      <c r="E1272" s="79"/>
      <c r="F1272" s="40"/>
      <c r="G1272" s="78"/>
      <c r="H1272" s="78"/>
      <c r="I1272" s="80"/>
      <c r="J1272" s="80"/>
      <c r="K1272" s="79"/>
      <c r="L1272" s="25"/>
      <c r="M1272" s="25"/>
      <c r="N1272" s="63"/>
      <c r="O1272" s="63"/>
      <c r="P1272" s="63"/>
      <c r="Q1272" s="63"/>
      <c r="R1272" s="32"/>
      <c r="S1272" s="32"/>
      <c r="T1272" s="32"/>
      <c r="U1272" s="32"/>
      <c r="W1272" s="32"/>
      <c r="X1272" s="32"/>
    </row>
    <row r="1273">
      <c r="A1273" s="40"/>
      <c r="B1273" s="40"/>
      <c r="C1273" s="40"/>
      <c r="D1273" s="78"/>
      <c r="E1273" s="79"/>
      <c r="F1273" s="40"/>
      <c r="G1273" s="78"/>
      <c r="H1273" s="78"/>
      <c r="I1273" s="80"/>
      <c r="J1273" s="80"/>
      <c r="K1273" s="79"/>
      <c r="L1273" s="25"/>
      <c r="M1273" s="25"/>
      <c r="N1273" s="63"/>
      <c r="O1273" s="63"/>
      <c r="P1273" s="63"/>
      <c r="Q1273" s="63"/>
      <c r="R1273" s="32"/>
      <c r="S1273" s="32"/>
      <c r="T1273" s="32"/>
      <c r="U1273" s="32"/>
      <c r="W1273" s="32"/>
      <c r="X1273" s="32"/>
    </row>
    <row r="1274">
      <c r="A1274" s="40"/>
      <c r="B1274" s="40"/>
      <c r="C1274" s="40"/>
      <c r="D1274" s="78"/>
      <c r="E1274" s="79"/>
      <c r="F1274" s="40"/>
      <c r="G1274" s="78"/>
      <c r="H1274" s="78"/>
      <c r="I1274" s="80"/>
      <c r="J1274" s="80"/>
      <c r="K1274" s="79"/>
      <c r="L1274" s="25"/>
      <c r="M1274" s="25"/>
      <c r="N1274" s="63"/>
      <c r="O1274" s="63"/>
      <c r="P1274" s="63"/>
      <c r="Q1274" s="63"/>
      <c r="R1274" s="32"/>
      <c r="S1274" s="32"/>
      <c r="T1274" s="32"/>
      <c r="U1274" s="32"/>
      <c r="W1274" s="32"/>
      <c r="X1274" s="32"/>
    </row>
    <row r="1275">
      <c r="A1275" s="40"/>
      <c r="B1275" s="40"/>
      <c r="C1275" s="40"/>
      <c r="D1275" s="78"/>
      <c r="E1275" s="79"/>
      <c r="F1275" s="40"/>
      <c r="G1275" s="78"/>
      <c r="H1275" s="78"/>
      <c r="I1275" s="80"/>
      <c r="J1275" s="80"/>
      <c r="K1275" s="79"/>
      <c r="L1275" s="25"/>
      <c r="M1275" s="25"/>
      <c r="N1275" s="63"/>
      <c r="O1275" s="63"/>
      <c r="P1275" s="63"/>
      <c r="Q1275" s="63"/>
      <c r="R1275" s="32"/>
      <c r="S1275" s="32"/>
      <c r="T1275" s="32"/>
      <c r="U1275" s="32"/>
      <c r="W1275" s="32"/>
      <c r="X1275" s="32"/>
    </row>
    <row r="1276">
      <c r="A1276" s="40"/>
      <c r="B1276" s="40"/>
      <c r="C1276" s="40"/>
      <c r="D1276" s="78"/>
      <c r="E1276" s="79"/>
      <c r="F1276" s="40"/>
      <c r="G1276" s="78"/>
      <c r="H1276" s="78"/>
      <c r="I1276" s="80"/>
      <c r="J1276" s="80"/>
      <c r="K1276" s="79"/>
      <c r="L1276" s="25"/>
      <c r="M1276" s="25"/>
      <c r="N1276" s="63"/>
      <c r="O1276" s="63"/>
      <c r="P1276" s="63"/>
      <c r="Q1276" s="63"/>
      <c r="R1276" s="32"/>
      <c r="S1276" s="32"/>
      <c r="T1276" s="32"/>
      <c r="U1276" s="32"/>
      <c r="W1276" s="32"/>
      <c r="X1276" s="32"/>
    </row>
    <row r="1277">
      <c r="A1277" s="40"/>
      <c r="B1277" s="40"/>
      <c r="C1277" s="40"/>
      <c r="D1277" s="78"/>
      <c r="E1277" s="79"/>
      <c r="F1277" s="40"/>
      <c r="G1277" s="78"/>
      <c r="H1277" s="78"/>
      <c r="I1277" s="80"/>
      <c r="J1277" s="80"/>
      <c r="K1277" s="79"/>
      <c r="L1277" s="25"/>
      <c r="M1277" s="25"/>
      <c r="N1277" s="63"/>
      <c r="O1277" s="63"/>
      <c r="P1277" s="63"/>
      <c r="Q1277" s="63"/>
      <c r="R1277" s="32"/>
      <c r="S1277" s="32"/>
      <c r="T1277" s="32"/>
      <c r="U1277" s="32"/>
      <c r="W1277" s="32"/>
      <c r="X1277" s="32"/>
    </row>
    <row r="1278">
      <c r="A1278" s="40"/>
      <c r="B1278" s="40"/>
      <c r="C1278" s="40"/>
      <c r="D1278" s="78"/>
      <c r="E1278" s="79"/>
      <c r="F1278" s="40"/>
      <c r="G1278" s="78"/>
      <c r="H1278" s="78"/>
      <c r="I1278" s="80"/>
      <c r="J1278" s="80"/>
      <c r="K1278" s="79"/>
      <c r="L1278" s="25"/>
      <c r="M1278" s="25"/>
      <c r="N1278" s="63"/>
      <c r="O1278" s="63"/>
      <c r="P1278" s="63"/>
      <c r="Q1278" s="63"/>
      <c r="R1278" s="32"/>
      <c r="S1278" s="32"/>
      <c r="T1278" s="32"/>
      <c r="U1278" s="32"/>
      <c r="W1278" s="32"/>
      <c r="X1278" s="32"/>
    </row>
    <row r="1279">
      <c r="A1279" s="40"/>
      <c r="B1279" s="40"/>
      <c r="C1279" s="40"/>
      <c r="D1279" s="78"/>
      <c r="E1279" s="79"/>
      <c r="F1279" s="40"/>
      <c r="G1279" s="78"/>
      <c r="H1279" s="78"/>
      <c r="I1279" s="80"/>
      <c r="J1279" s="80"/>
      <c r="K1279" s="79"/>
      <c r="L1279" s="25"/>
      <c r="M1279" s="25"/>
      <c r="N1279" s="63"/>
      <c r="O1279" s="63"/>
      <c r="P1279" s="63"/>
      <c r="Q1279" s="63"/>
      <c r="R1279" s="32"/>
      <c r="S1279" s="32"/>
      <c r="T1279" s="32"/>
      <c r="U1279" s="32"/>
      <c r="W1279" s="32"/>
      <c r="X1279" s="32"/>
    </row>
    <row r="1280">
      <c r="A1280" s="40"/>
      <c r="B1280" s="40"/>
      <c r="C1280" s="40"/>
      <c r="D1280" s="78"/>
      <c r="E1280" s="79"/>
      <c r="F1280" s="40"/>
      <c r="G1280" s="78"/>
      <c r="H1280" s="78"/>
      <c r="I1280" s="80"/>
      <c r="J1280" s="80"/>
      <c r="K1280" s="79"/>
      <c r="L1280" s="25"/>
      <c r="M1280" s="25"/>
      <c r="N1280" s="63"/>
      <c r="O1280" s="63"/>
      <c r="P1280" s="63"/>
      <c r="Q1280" s="63"/>
      <c r="R1280" s="32"/>
      <c r="S1280" s="32"/>
      <c r="T1280" s="32"/>
      <c r="U1280" s="32"/>
      <c r="W1280" s="32"/>
      <c r="X1280" s="32"/>
    </row>
    <row r="1281">
      <c r="A1281" s="40"/>
      <c r="B1281" s="40"/>
      <c r="C1281" s="40"/>
      <c r="D1281" s="78"/>
      <c r="E1281" s="79"/>
      <c r="F1281" s="40"/>
      <c r="G1281" s="78"/>
      <c r="H1281" s="78"/>
      <c r="I1281" s="80"/>
      <c r="J1281" s="80"/>
      <c r="K1281" s="79"/>
      <c r="L1281" s="25"/>
      <c r="M1281" s="25"/>
      <c r="N1281" s="63"/>
      <c r="O1281" s="63"/>
      <c r="P1281" s="63"/>
      <c r="Q1281" s="63"/>
      <c r="R1281" s="32"/>
      <c r="S1281" s="32"/>
      <c r="T1281" s="32"/>
      <c r="U1281" s="32"/>
      <c r="W1281" s="32"/>
      <c r="X1281" s="32"/>
    </row>
    <row r="1282">
      <c r="A1282" s="40"/>
      <c r="B1282" s="40"/>
      <c r="C1282" s="40"/>
      <c r="D1282" s="78"/>
      <c r="E1282" s="79"/>
      <c r="F1282" s="40"/>
      <c r="G1282" s="78"/>
      <c r="H1282" s="78"/>
      <c r="I1282" s="80"/>
      <c r="J1282" s="80"/>
      <c r="K1282" s="79"/>
      <c r="L1282" s="25"/>
      <c r="M1282" s="25"/>
      <c r="N1282" s="63"/>
      <c r="O1282" s="63"/>
      <c r="P1282" s="63"/>
      <c r="Q1282" s="63"/>
      <c r="R1282" s="32"/>
      <c r="S1282" s="32"/>
      <c r="T1282" s="32"/>
      <c r="U1282" s="32"/>
      <c r="W1282" s="32"/>
      <c r="X1282" s="32"/>
    </row>
    <row r="1283">
      <c r="A1283" s="40"/>
      <c r="B1283" s="40"/>
      <c r="C1283" s="40"/>
      <c r="D1283" s="78"/>
      <c r="E1283" s="79"/>
      <c r="F1283" s="40"/>
      <c r="G1283" s="78"/>
      <c r="H1283" s="78"/>
      <c r="I1283" s="80"/>
      <c r="J1283" s="80"/>
      <c r="K1283" s="79"/>
      <c r="L1283" s="25"/>
      <c r="M1283" s="25"/>
      <c r="N1283" s="63"/>
      <c r="O1283" s="63"/>
      <c r="P1283" s="63"/>
      <c r="Q1283" s="63"/>
      <c r="R1283" s="32"/>
      <c r="S1283" s="32"/>
      <c r="T1283" s="32"/>
      <c r="U1283" s="32"/>
      <c r="W1283" s="32"/>
      <c r="X1283" s="32"/>
    </row>
    <row r="1284">
      <c r="A1284" s="40"/>
      <c r="B1284" s="40"/>
      <c r="C1284" s="40"/>
      <c r="D1284" s="78"/>
      <c r="E1284" s="79"/>
      <c r="F1284" s="40"/>
      <c r="G1284" s="78"/>
      <c r="H1284" s="78"/>
      <c r="I1284" s="80"/>
      <c r="J1284" s="80"/>
      <c r="K1284" s="79"/>
      <c r="L1284" s="25"/>
      <c r="M1284" s="25"/>
      <c r="N1284" s="63"/>
      <c r="O1284" s="63"/>
      <c r="P1284" s="63"/>
      <c r="Q1284" s="63"/>
      <c r="R1284" s="32"/>
      <c r="S1284" s="32"/>
      <c r="T1284" s="32"/>
      <c r="U1284" s="32"/>
      <c r="W1284" s="32"/>
      <c r="X1284" s="32"/>
    </row>
    <row r="1285">
      <c r="A1285" s="40"/>
      <c r="B1285" s="40"/>
      <c r="C1285" s="40"/>
      <c r="D1285" s="78"/>
      <c r="E1285" s="79"/>
      <c r="F1285" s="40"/>
      <c r="G1285" s="78"/>
      <c r="H1285" s="78"/>
      <c r="I1285" s="80"/>
      <c r="J1285" s="80"/>
      <c r="K1285" s="79"/>
      <c r="L1285" s="25"/>
      <c r="M1285" s="25"/>
      <c r="N1285" s="63"/>
      <c r="O1285" s="63"/>
      <c r="P1285" s="63"/>
      <c r="Q1285" s="63"/>
      <c r="R1285" s="32"/>
      <c r="S1285" s="32"/>
      <c r="T1285" s="32"/>
      <c r="U1285" s="32"/>
      <c r="W1285" s="32"/>
      <c r="X1285" s="32"/>
    </row>
    <row r="1286">
      <c r="A1286" s="40"/>
      <c r="B1286" s="40"/>
      <c r="C1286" s="40"/>
      <c r="D1286" s="78"/>
      <c r="E1286" s="79"/>
      <c r="F1286" s="40"/>
      <c r="G1286" s="78"/>
      <c r="H1286" s="78"/>
      <c r="I1286" s="80"/>
      <c r="J1286" s="80"/>
      <c r="K1286" s="79"/>
      <c r="L1286" s="25"/>
      <c r="M1286" s="25"/>
      <c r="N1286" s="63"/>
      <c r="O1286" s="63"/>
      <c r="P1286" s="63"/>
      <c r="Q1286" s="63"/>
      <c r="R1286" s="32"/>
      <c r="S1286" s="32"/>
      <c r="T1286" s="32"/>
      <c r="U1286" s="32"/>
      <c r="W1286" s="32"/>
      <c r="X1286" s="32"/>
    </row>
    <row r="1287">
      <c r="A1287" s="40"/>
      <c r="B1287" s="40"/>
      <c r="C1287" s="40"/>
      <c r="D1287" s="78"/>
      <c r="E1287" s="79"/>
      <c r="F1287" s="40"/>
      <c r="G1287" s="78"/>
      <c r="H1287" s="78"/>
      <c r="I1287" s="80"/>
      <c r="J1287" s="80"/>
      <c r="K1287" s="79"/>
      <c r="L1287" s="25"/>
      <c r="M1287" s="25"/>
      <c r="N1287" s="63"/>
      <c r="O1287" s="63"/>
      <c r="P1287" s="63"/>
      <c r="Q1287" s="63"/>
      <c r="R1287" s="32"/>
      <c r="S1287" s="32"/>
      <c r="T1287" s="32"/>
      <c r="U1287" s="32"/>
      <c r="W1287" s="32"/>
      <c r="X1287" s="32"/>
    </row>
    <row r="1288">
      <c r="A1288" s="40"/>
      <c r="B1288" s="40"/>
      <c r="C1288" s="40"/>
      <c r="D1288" s="78"/>
      <c r="E1288" s="79"/>
      <c r="F1288" s="40"/>
      <c r="G1288" s="78"/>
      <c r="H1288" s="78"/>
      <c r="I1288" s="80"/>
      <c r="J1288" s="80"/>
      <c r="K1288" s="79"/>
      <c r="L1288" s="25"/>
      <c r="M1288" s="25"/>
      <c r="N1288" s="63"/>
      <c r="O1288" s="63"/>
      <c r="P1288" s="63"/>
      <c r="Q1288" s="63"/>
      <c r="R1288" s="32"/>
      <c r="S1288" s="32"/>
      <c r="T1288" s="32"/>
      <c r="U1288" s="32"/>
      <c r="W1288" s="32"/>
      <c r="X1288" s="32"/>
    </row>
    <row r="1289">
      <c r="A1289" s="40"/>
      <c r="B1289" s="40"/>
      <c r="C1289" s="40"/>
      <c r="D1289" s="78"/>
      <c r="E1289" s="79"/>
      <c r="F1289" s="40"/>
      <c r="G1289" s="78"/>
      <c r="H1289" s="78"/>
      <c r="I1289" s="80"/>
      <c r="J1289" s="80"/>
      <c r="K1289" s="79"/>
      <c r="L1289" s="25"/>
      <c r="M1289" s="25"/>
      <c r="N1289" s="63"/>
      <c r="O1289" s="63"/>
      <c r="P1289" s="63"/>
      <c r="Q1289" s="63"/>
      <c r="R1289" s="32"/>
      <c r="S1289" s="32"/>
      <c r="T1289" s="32"/>
      <c r="U1289" s="32"/>
      <c r="W1289" s="32"/>
      <c r="X1289" s="32"/>
    </row>
    <row r="1290">
      <c r="A1290" s="40"/>
      <c r="B1290" s="40"/>
      <c r="C1290" s="40"/>
      <c r="D1290" s="78"/>
      <c r="E1290" s="79"/>
      <c r="F1290" s="40"/>
      <c r="G1290" s="78"/>
      <c r="H1290" s="78"/>
      <c r="I1290" s="80"/>
      <c r="J1290" s="80"/>
      <c r="K1290" s="79"/>
      <c r="L1290" s="25"/>
      <c r="M1290" s="25"/>
      <c r="N1290" s="63"/>
      <c r="O1290" s="63"/>
      <c r="P1290" s="63"/>
      <c r="Q1290" s="63"/>
      <c r="R1290" s="32"/>
      <c r="S1290" s="32"/>
      <c r="T1290" s="32"/>
      <c r="U1290" s="32"/>
      <c r="W1290" s="32"/>
      <c r="X1290" s="32"/>
    </row>
    <row r="1291">
      <c r="A1291" s="40"/>
      <c r="B1291" s="40"/>
      <c r="C1291" s="40"/>
      <c r="D1291" s="78"/>
      <c r="E1291" s="79"/>
      <c r="F1291" s="40"/>
      <c r="G1291" s="78"/>
      <c r="H1291" s="78"/>
      <c r="I1291" s="80"/>
      <c r="J1291" s="80"/>
      <c r="K1291" s="79"/>
      <c r="L1291" s="25"/>
      <c r="M1291" s="25"/>
      <c r="N1291" s="63"/>
      <c r="O1291" s="63"/>
      <c r="P1291" s="63"/>
      <c r="Q1291" s="63"/>
      <c r="R1291" s="32"/>
      <c r="S1291" s="32"/>
      <c r="T1291" s="32"/>
      <c r="U1291" s="32"/>
      <c r="W1291" s="32"/>
      <c r="X1291" s="32"/>
    </row>
    <row r="1292">
      <c r="A1292" s="40"/>
      <c r="B1292" s="40"/>
      <c r="C1292" s="40"/>
      <c r="D1292" s="78"/>
      <c r="E1292" s="79"/>
      <c r="F1292" s="40"/>
      <c r="G1292" s="78"/>
      <c r="H1292" s="78"/>
      <c r="I1292" s="80"/>
      <c r="J1292" s="80"/>
      <c r="K1292" s="79"/>
      <c r="L1292" s="25"/>
      <c r="M1292" s="25"/>
      <c r="N1292" s="63"/>
      <c r="O1292" s="63"/>
      <c r="P1292" s="63"/>
      <c r="Q1292" s="63"/>
      <c r="R1292" s="32"/>
      <c r="S1292" s="32"/>
      <c r="T1292" s="32"/>
      <c r="U1292" s="32"/>
      <c r="W1292" s="32"/>
      <c r="X1292" s="32"/>
    </row>
    <row r="1293">
      <c r="A1293" s="40"/>
      <c r="B1293" s="40"/>
      <c r="C1293" s="40"/>
      <c r="D1293" s="78"/>
      <c r="E1293" s="79"/>
      <c r="F1293" s="40"/>
      <c r="G1293" s="78"/>
      <c r="H1293" s="78"/>
      <c r="I1293" s="80"/>
      <c r="J1293" s="80"/>
      <c r="K1293" s="79"/>
      <c r="L1293" s="25"/>
      <c r="M1293" s="25"/>
      <c r="N1293" s="63"/>
      <c r="O1293" s="63"/>
      <c r="P1293" s="63"/>
      <c r="Q1293" s="63"/>
      <c r="R1293" s="32"/>
      <c r="S1293" s="32"/>
      <c r="T1293" s="32"/>
      <c r="U1293" s="32"/>
      <c r="W1293" s="32"/>
      <c r="X1293" s="32"/>
    </row>
    <row r="1294">
      <c r="A1294" s="40"/>
      <c r="B1294" s="40"/>
      <c r="C1294" s="40"/>
      <c r="D1294" s="78"/>
      <c r="E1294" s="79"/>
      <c r="F1294" s="40"/>
      <c r="G1294" s="78"/>
      <c r="H1294" s="78"/>
      <c r="I1294" s="80"/>
      <c r="J1294" s="80"/>
      <c r="K1294" s="79"/>
      <c r="L1294" s="25"/>
      <c r="M1294" s="25"/>
      <c r="N1294" s="63"/>
      <c r="O1294" s="63"/>
      <c r="P1294" s="63"/>
      <c r="Q1294" s="63"/>
      <c r="R1294" s="32"/>
      <c r="S1294" s="32"/>
      <c r="T1294" s="32"/>
      <c r="U1294" s="32"/>
      <c r="W1294" s="32"/>
      <c r="X1294" s="32"/>
    </row>
    <row r="1295">
      <c r="A1295" s="40"/>
      <c r="B1295" s="40"/>
      <c r="C1295" s="40"/>
      <c r="D1295" s="78"/>
      <c r="E1295" s="79"/>
      <c r="F1295" s="40"/>
      <c r="G1295" s="78"/>
      <c r="H1295" s="78"/>
      <c r="I1295" s="80"/>
      <c r="J1295" s="80"/>
      <c r="K1295" s="79"/>
      <c r="L1295" s="25"/>
      <c r="M1295" s="25"/>
      <c r="N1295" s="63"/>
      <c r="O1295" s="63"/>
      <c r="P1295" s="63"/>
      <c r="Q1295" s="63"/>
      <c r="R1295" s="32"/>
      <c r="S1295" s="32"/>
      <c r="T1295" s="32"/>
      <c r="U1295" s="32"/>
      <c r="W1295" s="32"/>
      <c r="X1295" s="32"/>
    </row>
    <row r="1296">
      <c r="A1296" s="40"/>
      <c r="B1296" s="40"/>
      <c r="C1296" s="40"/>
      <c r="D1296" s="78"/>
      <c r="E1296" s="79"/>
      <c r="F1296" s="40"/>
      <c r="G1296" s="78"/>
      <c r="H1296" s="78"/>
      <c r="I1296" s="80"/>
      <c r="J1296" s="80"/>
      <c r="K1296" s="79"/>
      <c r="L1296" s="25"/>
      <c r="M1296" s="25"/>
      <c r="N1296" s="63"/>
      <c r="O1296" s="63"/>
      <c r="P1296" s="63"/>
      <c r="Q1296" s="63"/>
      <c r="R1296" s="32"/>
      <c r="S1296" s="32"/>
      <c r="T1296" s="32"/>
      <c r="U1296" s="32"/>
      <c r="W1296" s="32"/>
      <c r="X1296" s="32"/>
    </row>
    <row r="1297">
      <c r="A1297" s="40"/>
      <c r="B1297" s="40"/>
      <c r="C1297" s="40"/>
      <c r="D1297" s="78"/>
      <c r="E1297" s="79"/>
      <c r="F1297" s="40"/>
      <c r="G1297" s="78"/>
      <c r="H1297" s="78"/>
      <c r="I1297" s="80"/>
      <c r="J1297" s="80"/>
      <c r="K1297" s="79"/>
      <c r="L1297" s="25"/>
      <c r="M1297" s="25"/>
      <c r="N1297" s="63"/>
      <c r="O1297" s="63"/>
      <c r="P1297" s="63"/>
      <c r="Q1297" s="63"/>
      <c r="R1297" s="32"/>
      <c r="S1297" s="32"/>
      <c r="T1297" s="32"/>
      <c r="U1297" s="32"/>
      <c r="W1297" s="32"/>
      <c r="X1297" s="32"/>
    </row>
    <row r="1298">
      <c r="A1298" s="40"/>
      <c r="B1298" s="40"/>
      <c r="C1298" s="40"/>
      <c r="D1298" s="78"/>
      <c r="E1298" s="79"/>
      <c r="F1298" s="40"/>
      <c r="G1298" s="78"/>
      <c r="H1298" s="78"/>
      <c r="I1298" s="80"/>
      <c r="J1298" s="80"/>
      <c r="K1298" s="79"/>
      <c r="L1298" s="25"/>
      <c r="M1298" s="25"/>
      <c r="N1298" s="63"/>
      <c r="O1298" s="63"/>
      <c r="P1298" s="63"/>
      <c r="Q1298" s="63"/>
      <c r="R1298" s="32"/>
      <c r="S1298" s="32"/>
      <c r="T1298" s="32"/>
      <c r="U1298" s="32"/>
      <c r="W1298" s="32"/>
      <c r="X1298" s="32"/>
    </row>
    <row r="1299">
      <c r="A1299" s="40"/>
      <c r="B1299" s="40"/>
      <c r="C1299" s="40"/>
      <c r="D1299" s="78"/>
      <c r="E1299" s="79"/>
      <c r="F1299" s="40"/>
      <c r="G1299" s="78"/>
      <c r="H1299" s="78"/>
      <c r="I1299" s="80"/>
      <c r="J1299" s="80"/>
      <c r="K1299" s="79"/>
      <c r="L1299" s="25"/>
      <c r="M1299" s="25"/>
      <c r="N1299" s="63"/>
      <c r="O1299" s="63"/>
      <c r="P1299" s="63"/>
      <c r="Q1299" s="63"/>
      <c r="R1299" s="32"/>
      <c r="S1299" s="32"/>
      <c r="T1299" s="32"/>
      <c r="U1299" s="32"/>
      <c r="W1299" s="32"/>
      <c r="X1299" s="32"/>
    </row>
    <row r="1300">
      <c r="A1300" s="40"/>
      <c r="B1300" s="40"/>
      <c r="C1300" s="40"/>
      <c r="D1300" s="78"/>
      <c r="E1300" s="79"/>
      <c r="F1300" s="40"/>
      <c r="G1300" s="78"/>
      <c r="H1300" s="78"/>
      <c r="I1300" s="80"/>
      <c r="J1300" s="80"/>
      <c r="K1300" s="79"/>
      <c r="L1300" s="25"/>
      <c r="M1300" s="25"/>
      <c r="N1300" s="63"/>
      <c r="O1300" s="63"/>
      <c r="P1300" s="63"/>
      <c r="Q1300" s="63"/>
      <c r="R1300" s="32"/>
      <c r="S1300" s="32"/>
      <c r="T1300" s="32"/>
      <c r="U1300" s="32"/>
      <c r="W1300" s="32"/>
      <c r="X1300" s="32"/>
    </row>
    <row r="1301">
      <c r="A1301" s="40"/>
      <c r="B1301" s="40"/>
      <c r="C1301" s="40"/>
      <c r="D1301" s="78"/>
      <c r="E1301" s="79"/>
      <c r="F1301" s="40"/>
      <c r="G1301" s="78"/>
      <c r="H1301" s="78"/>
      <c r="I1301" s="80"/>
      <c r="J1301" s="80"/>
      <c r="K1301" s="79"/>
      <c r="L1301" s="25"/>
      <c r="M1301" s="25"/>
      <c r="N1301" s="63"/>
      <c r="O1301" s="63"/>
      <c r="P1301" s="63"/>
      <c r="Q1301" s="63"/>
      <c r="R1301" s="32"/>
      <c r="S1301" s="32"/>
      <c r="T1301" s="32"/>
      <c r="U1301" s="32"/>
      <c r="W1301" s="32"/>
      <c r="X1301" s="32"/>
    </row>
    <row r="1302">
      <c r="A1302" s="40"/>
      <c r="B1302" s="40"/>
      <c r="C1302" s="40"/>
      <c r="D1302" s="78"/>
      <c r="E1302" s="79"/>
      <c r="F1302" s="40"/>
      <c r="G1302" s="78"/>
      <c r="H1302" s="78"/>
      <c r="I1302" s="80"/>
      <c r="J1302" s="80"/>
      <c r="K1302" s="79"/>
      <c r="L1302" s="25"/>
      <c r="M1302" s="25"/>
      <c r="N1302" s="63"/>
      <c r="O1302" s="63"/>
      <c r="P1302" s="63"/>
      <c r="Q1302" s="63"/>
      <c r="R1302" s="32"/>
      <c r="S1302" s="32"/>
      <c r="T1302" s="32"/>
      <c r="U1302" s="32"/>
      <c r="W1302" s="32"/>
      <c r="X1302" s="32"/>
    </row>
    <row r="1303">
      <c r="A1303" s="40"/>
      <c r="B1303" s="40"/>
      <c r="C1303" s="40"/>
      <c r="D1303" s="78"/>
      <c r="E1303" s="79"/>
      <c r="F1303" s="40"/>
      <c r="G1303" s="78"/>
      <c r="H1303" s="78"/>
      <c r="I1303" s="80"/>
      <c r="J1303" s="80"/>
      <c r="K1303" s="79"/>
      <c r="L1303" s="25"/>
      <c r="M1303" s="25"/>
      <c r="N1303" s="63"/>
      <c r="O1303" s="63"/>
      <c r="P1303" s="63"/>
      <c r="Q1303" s="63"/>
      <c r="R1303" s="32"/>
      <c r="S1303" s="32"/>
      <c r="T1303" s="32"/>
      <c r="U1303" s="32"/>
      <c r="W1303" s="32"/>
      <c r="X1303" s="32"/>
    </row>
    <row r="1304">
      <c r="A1304" s="40"/>
      <c r="B1304" s="40"/>
      <c r="C1304" s="40"/>
      <c r="D1304" s="78"/>
      <c r="E1304" s="79"/>
      <c r="F1304" s="40"/>
      <c r="G1304" s="78"/>
      <c r="H1304" s="78"/>
      <c r="I1304" s="80"/>
      <c r="J1304" s="80"/>
      <c r="K1304" s="79"/>
      <c r="L1304" s="25"/>
      <c r="M1304" s="25"/>
      <c r="N1304" s="63"/>
      <c r="O1304" s="63"/>
      <c r="P1304" s="63"/>
      <c r="Q1304" s="63"/>
      <c r="R1304" s="32"/>
      <c r="S1304" s="32"/>
      <c r="T1304" s="32"/>
      <c r="U1304" s="32"/>
      <c r="W1304" s="32"/>
      <c r="X1304" s="32"/>
    </row>
    <row r="1305">
      <c r="A1305" s="40"/>
      <c r="B1305" s="40"/>
      <c r="C1305" s="40"/>
      <c r="D1305" s="78"/>
      <c r="E1305" s="79"/>
      <c r="F1305" s="40"/>
      <c r="G1305" s="78"/>
      <c r="H1305" s="78"/>
      <c r="I1305" s="80"/>
      <c r="J1305" s="80"/>
      <c r="K1305" s="79"/>
      <c r="L1305" s="25"/>
      <c r="M1305" s="25"/>
      <c r="N1305" s="63"/>
      <c r="O1305" s="63"/>
      <c r="P1305" s="63"/>
      <c r="Q1305" s="63"/>
      <c r="R1305" s="32"/>
      <c r="S1305" s="32"/>
      <c r="T1305" s="32"/>
      <c r="U1305" s="32"/>
      <c r="W1305" s="32"/>
      <c r="X1305" s="32"/>
    </row>
    <row r="1306">
      <c r="A1306" s="40"/>
      <c r="B1306" s="40"/>
      <c r="C1306" s="40"/>
      <c r="D1306" s="78"/>
      <c r="E1306" s="79"/>
      <c r="F1306" s="40"/>
      <c r="G1306" s="78"/>
      <c r="H1306" s="78"/>
      <c r="I1306" s="80"/>
      <c r="J1306" s="80"/>
      <c r="K1306" s="79"/>
      <c r="L1306" s="25"/>
      <c r="M1306" s="25"/>
      <c r="N1306" s="63"/>
      <c r="O1306" s="63"/>
      <c r="P1306" s="63"/>
      <c r="Q1306" s="63"/>
      <c r="R1306" s="32"/>
      <c r="S1306" s="32"/>
      <c r="T1306" s="32"/>
      <c r="U1306" s="32"/>
      <c r="W1306" s="32"/>
      <c r="X1306" s="32"/>
    </row>
    <row r="1307">
      <c r="A1307" s="40"/>
      <c r="B1307" s="40"/>
      <c r="C1307" s="40"/>
      <c r="D1307" s="78"/>
      <c r="E1307" s="79"/>
      <c r="F1307" s="40"/>
      <c r="G1307" s="78"/>
      <c r="H1307" s="78"/>
      <c r="I1307" s="80"/>
      <c r="J1307" s="80"/>
      <c r="K1307" s="79"/>
      <c r="L1307" s="25"/>
      <c r="M1307" s="25"/>
      <c r="N1307" s="63"/>
      <c r="O1307" s="63"/>
      <c r="P1307" s="63"/>
      <c r="Q1307" s="63"/>
      <c r="R1307" s="32"/>
      <c r="S1307" s="32"/>
      <c r="T1307" s="32"/>
      <c r="U1307" s="32"/>
      <c r="W1307" s="32"/>
      <c r="X1307" s="32"/>
    </row>
    <row r="1308">
      <c r="A1308" s="40"/>
      <c r="B1308" s="40"/>
      <c r="C1308" s="40"/>
      <c r="D1308" s="78"/>
      <c r="E1308" s="79"/>
      <c r="F1308" s="40"/>
      <c r="G1308" s="78"/>
      <c r="H1308" s="78"/>
      <c r="I1308" s="80"/>
      <c r="J1308" s="80"/>
      <c r="K1308" s="79"/>
      <c r="L1308" s="25"/>
      <c r="M1308" s="25"/>
      <c r="N1308" s="63"/>
      <c r="O1308" s="63"/>
      <c r="P1308" s="63"/>
      <c r="Q1308" s="63"/>
      <c r="R1308" s="32"/>
      <c r="S1308" s="32"/>
      <c r="T1308" s="32"/>
      <c r="U1308" s="32"/>
      <c r="W1308" s="32"/>
      <c r="X1308" s="32"/>
    </row>
    <row r="1309">
      <c r="A1309" s="40"/>
      <c r="B1309" s="40"/>
      <c r="C1309" s="40"/>
      <c r="D1309" s="78"/>
      <c r="E1309" s="79"/>
      <c r="F1309" s="40"/>
      <c r="G1309" s="78"/>
      <c r="H1309" s="78"/>
      <c r="I1309" s="80"/>
      <c r="J1309" s="80"/>
      <c r="K1309" s="79"/>
      <c r="L1309" s="25"/>
      <c r="M1309" s="25"/>
      <c r="N1309" s="63"/>
      <c r="O1309" s="63"/>
      <c r="P1309" s="63"/>
      <c r="Q1309" s="63"/>
      <c r="R1309" s="32"/>
      <c r="S1309" s="32"/>
      <c r="T1309" s="32"/>
      <c r="U1309" s="32"/>
      <c r="W1309" s="32"/>
      <c r="X1309" s="32"/>
    </row>
    <row r="1310">
      <c r="A1310" s="40"/>
      <c r="B1310" s="40"/>
      <c r="C1310" s="40"/>
      <c r="D1310" s="78"/>
      <c r="E1310" s="79"/>
      <c r="F1310" s="40"/>
      <c r="G1310" s="78"/>
      <c r="H1310" s="78"/>
      <c r="I1310" s="80"/>
      <c r="J1310" s="80"/>
      <c r="K1310" s="79"/>
      <c r="L1310" s="25"/>
      <c r="M1310" s="25"/>
      <c r="N1310" s="63"/>
      <c r="O1310" s="63"/>
      <c r="P1310" s="63"/>
      <c r="Q1310" s="63"/>
      <c r="R1310" s="32"/>
      <c r="S1310" s="32"/>
      <c r="T1310" s="32"/>
      <c r="U1310" s="32"/>
      <c r="W1310" s="32"/>
      <c r="X1310" s="32"/>
    </row>
    <row r="1311">
      <c r="A1311" s="40"/>
      <c r="B1311" s="40"/>
      <c r="C1311" s="40"/>
      <c r="D1311" s="78"/>
      <c r="E1311" s="79"/>
      <c r="F1311" s="40"/>
      <c r="G1311" s="78"/>
      <c r="H1311" s="78"/>
      <c r="I1311" s="80"/>
      <c r="J1311" s="80"/>
      <c r="K1311" s="79"/>
      <c r="L1311" s="25"/>
      <c r="M1311" s="25"/>
      <c r="N1311" s="63"/>
      <c r="O1311" s="63"/>
      <c r="P1311" s="63"/>
      <c r="Q1311" s="63"/>
      <c r="R1311" s="32"/>
      <c r="S1311" s="32"/>
      <c r="T1311" s="32"/>
      <c r="U1311" s="32"/>
      <c r="W1311" s="32"/>
      <c r="X1311" s="32"/>
    </row>
    <row r="1312">
      <c r="A1312" s="40"/>
      <c r="B1312" s="40"/>
      <c r="C1312" s="40"/>
      <c r="D1312" s="78"/>
      <c r="E1312" s="79"/>
      <c r="F1312" s="40"/>
      <c r="G1312" s="78"/>
      <c r="H1312" s="78"/>
      <c r="I1312" s="80"/>
      <c r="J1312" s="80"/>
      <c r="K1312" s="79"/>
      <c r="L1312" s="25"/>
      <c r="M1312" s="25"/>
      <c r="N1312" s="63"/>
      <c r="O1312" s="63"/>
      <c r="P1312" s="63"/>
      <c r="Q1312" s="63"/>
      <c r="R1312" s="32"/>
      <c r="S1312" s="32"/>
      <c r="T1312" s="32"/>
      <c r="U1312" s="32"/>
      <c r="W1312" s="32"/>
      <c r="X1312" s="32"/>
    </row>
    <row r="1313">
      <c r="A1313" s="40"/>
      <c r="B1313" s="40"/>
      <c r="C1313" s="40"/>
      <c r="D1313" s="78"/>
      <c r="E1313" s="79"/>
      <c r="F1313" s="40"/>
      <c r="G1313" s="78"/>
      <c r="H1313" s="78"/>
      <c r="I1313" s="80"/>
      <c r="J1313" s="80"/>
      <c r="K1313" s="79"/>
      <c r="L1313" s="25"/>
      <c r="M1313" s="25"/>
      <c r="N1313" s="63"/>
      <c r="O1313" s="63"/>
      <c r="P1313" s="63"/>
      <c r="Q1313" s="63"/>
      <c r="R1313" s="32"/>
      <c r="S1313" s="32"/>
      <c r="T1313" s="32"/>
      <c r="U1313" s="32"/>
      <c r="W1313" s="32"/>
      <c r="X1313" s="32"/>
    </row>
    <row r="1314">
      <c r="A1314" s="40"/>
      <c r="B1314" s="40"/>
      <c r="C1314" s="40"/>
      <c r="D1314" s="78"/>
      <c r="E1314" s="79"/>
      <c r="F1314" s="40"/>
      <c r="G1314" s="78"/>
      <c r="H1314" s="78"/>
      <c r="I1314" s="80"/>
      <c r="J1314" s="80"/>
      <c r="K1314" s="79"/>
      <c r="L1314" s="25"/>
      <c r="M1314" s="25"/>
      <c r="N1314" s="63"/>
      <c r="O1314" s="63"/>
      <c r="P1314" s="63"/>
      <c r="Q1314" s="63"/>
      <c r="R1314" s="32"/>
      <c r="S1314" s="32"/>
      <c r="T1314" s="32"/>
      <c r="U1314" s="32"/>
      <c r="W1314" s="32"/>
      <c r="X1314" s="32"/>
    </row>
    <row r="1315">
      <c r="A1315" s="40"/>
      <c r="B1315" s="40"/>
      <c r="C1315" s="40"/>
      <c r="D1315" s="78"/>
      <c r="E1315" s="79"/>
      <c r="F1315" s="40"/>
      <c r="G1315" s="78"/>
      <c r="H1315" s="78"/>
      <c r="I1315" s="80"/>
      <c r="J1315" s="80"/>
      <c r="K1315" s="79"/>
      <c r="L1315" s="25"/>
      <c r="M1315" s="25"/>
      <c r="N1315" s="63"/>
      <c r="O1315" s="63"/>
      <c r="P1315" s="63"/>
      <c r="Q1315" s="63"/>
      <c r="R1315" s="32"/>
      <c r="S1315" s="32"/>
      <c r="T1315" s="32"/>
      <c r="U1315" s="32"/>
      <c r="W1315" s="32"/>
      <c r="X1315" s="32"/>
    </row>
    <row r="1316">
      <c r="A1316" s="40"/>
      <c r="B1316" s="40"/>
      <c r="C1316" s="40"/>
      <c r="D1316" s="78"/>
      <c r="E1316" s="79"/>
      <c r="F1316" s="40"/>
      <c r="G1316" s="78"/>
      <c r="H1316" s="78"/>
      <c r="I1316" s="80"/>
      <c r="J1316" s="80"/>
      <c r="K1316" s="79"/>
      <c r="L1316" s="25"/>
      <c r="M1316" s="25"/>
      <c r="N1316" s="63"/>
      <c r="O1316" s="63"/>
      <c r="P1316" s="63"/>
      <c r="Q1316" s="63"/>
      <c r="R1316" s="32"/>
      <c r="S1316" s="32"/>
      <c r="T1316" s="32"/>
      <c r="U1316" s="32"/>
      <c r="W1316" s="32"/>
      <c r="X1316" s="32"/>
    </row>
    <row r="1317">
      <c r="A1317" s="40"/>
      <c r="B1317" s="40"/>
      <c r="C1317" s="40"/>
      <c r="D1317" s="78"/>
      <c r="E1317" s="79"/>
      <c r="F1317" s="40"/>
      <c r="G1317" s="78"/>
      <c r="H1317" s="78"/>
      <c r="I1317" s="80"/>
      <c r="J1317" s="80"/>
      <c r="K1317" s="79"/>
      <c r="L1317" s="25"/>
      <c r="M1317" s="25"/>
      <c r="N1317" s="63"/>
      <c r="O1317" s="63"/>
      <c r="P1317" s="63"/>
      <c r="Q1317" s="63"/>
      <c r="R1317" s="32"/>
      <c r="S1317" s="32"/>
      <c r="T1317" s="32"/>
      <c r="U1317" s="32"/>
      <c r="W1317" s="32"/>
      <c r="X1317" s="32"/>
    </row>
    <row r="1318">
      <c r="A1318" s="40"/>
      <c r="B1318" s="40"/>
      <c r="C1318" s="40"/>
      <c r="D1318" s="78"/>
      <c r="E1318" s="79"/>
      <c r="F1318" s="40"/>
      <c r="G1318" s="78"/>
      <c r="H1318" s="78"/>
      <c r="I1318" s="80"/>
      <c r="J1318" s="80"/>
      <c r="K1318" s="79"/>
      <c r="L1318" s="25"/>
      <c r="M1318" s="25"/>
      <c r="N1318" s="63"/>
      <c r="O1318" s="63"/>
      <c r="P1318" s="63"/>
      <c r="Q1318" s="63"/>
      <c r="R1318" s="32"/>
      <c r="S1318" s="32"/>
      <c r="T1318" s="32"/>
      <c r="U1318" s="32"/>
      <c r="W1318" s="32"/>
      <c r="X1318" s="32"/>
    </row>
    <row r="1319">
      <c r="A1319" s="40"/>
      <c r="B1319" s="40"/>
      <c r="C1319" s="40"/>
      <c r="D1319" s="78"/>
      <c r="E1319" s="79"/>
      <c r="F1319" s="40"/>
      <c r="G1319" s="78"/>
      <c r="H1319" s="78"/>
      <c r="I1319" s="80"/>
      <c r="J1319" s="80"/>
      <c r="K1319" s="79"/>
      <c r="L1319" s="25"/>
      <c r="M1319" s="25"/>
      <c r="N1319" s="63"/>
      <c r="O1319" s="63"/>
      <c r="P1319" s="63"/>
      <c r="Q1319" s="63"/>
      <c r="R1319" s="32"/>
      <c r="S1319" s="32"/>
      <c r="T1319" s="32"/>
      <c r="U1319" s="32"/>
      <c r="W1319" s="32"/>
      <c r="X1319" s="32"/>
    </row>
    <row r="1320">
      <c r="A1320" s="40"/>
      <c r="B1320" s="40"/>
      <c r="C1320" s="40"/>
      <c r="D1320" s="78"/>
      <c r="E1320" s="79"/>
      <c r="F1320" s="40"/>
      <c r="G1320" s="78"/>
      <c r="H1320" s="78"/>
      <c r="I1320" s="80"/>
      <c r="J1320" s="80"/>
      <c r="K1320" s="79"/>
      <c r="L1320" s="25"/>
      <c r="M1320" s="25"/>
      <c r="N1320" s="63"/>
      <c r="O1320" s="63"/>
      <c r="P1320" s="63"/>
      <c r="Q1320" s="63"/>
      <c r="R1320" s="32"/>
      <c r="S1320" s="32"/>
      <c r="T1320" s="32"/>
      <c r="U1320" s="32"/>
      <c r="W1320" s="32"/>
      <c r="X1320" s="32"/>
    </row>
    <row r="1321">
      <c r="A1321" s="40"/>
      <c r="B1321" s="40"/>
      <c r="C1321" s="40"/>
      <c r="D1321" s="78"/>
      <c r="E1321" s="79"/>
      <c r="F1321" s="40"/>
      <c r="G1321" s="78"/>
      <c r="H1321" s="78"/>
      <c r="I1321" s="80"/>
      <c r="J1321" s="80"/>
      <c r="K1321" s="79"/>
      <c r="L1321" s="25"/>
      <c r="M1321" s="25"/>
      <c r="N1321" s="63"/>
      <c r="O1321" s="63"/>
      <c r="P1321" s="63"/>
      <c r="Q1321" s="63"/>
      <c r="R1321" s="32"/>
      <c r="S1321" s="32"/>
      <c r="T1321" s="32"/>
      <c r="U1321" s="32"/>
      <c r="W1321" s="32"/>
      <c r="X1321" s="32"/>
    </row>
    <row r="1322">
      <c r="A1322" s="40"/>
      <c r="B1322" s="40"/>
      <c r="C1322" s="40"/>
      <c r="D1322" s="78"/>
      <c r="E1322" s="79"/>
      <c r="F1322" s="40"/>
      <c r="G1322" s="78"/>
      <c r="H1322" s="78"/>
      <c r="I1322" s="80"/>
      <c r="J1322" s="80"/>
      <c r="K1322" s="79"/>
      <c r="L1322" s="25"/>
      <c r="M1322" s="25"/>
      <c r="N1322" s="63"/>
      <c r="O1322" s="63"/>
      <c r="P1322" s="63"/>
      <c r="Q1322" s="63"/>
      <c r="R1322" s="32"/>
      <c r="S1322" s="32"/>
      <c r="T1322" s="32"/>
      <c r="U1322" s="32"/>
      <c r="W1322" s="32"/>
      <c r="X1322" s="32"/>
    </row>
    <row r="1323">
      <c r="A1323" s="40"/>
      <c r="B1323" s="40"/>
      <c r="C1323" s="40"/>
      <c r="D1323" s="78"/>
      <c r="E1323" s="79"/>
      <c r="F1323" s="40"/>
      <c r="G1323" s="78"/>
      <c r="H1323" s="78"/>
      <c r="I1323" s="80"/>
      <c r="J1323" s="80"/>
      <c r="K1323" s="79"/>
      <c r="L1323" s="25"/>
      <c r="M1323" s="25"/>
      <c r="N1323" s="63"/>
      <c r="O1323" s="63"/>
      <c r="P1323" s="63"/>
      <c r="Q1323" s="63"/>
      <c r="R1323" s="32"/>
      <c r="S1323" s="32"/>
      <c r="T1323" s="32"/>
      <c r="U1323" s="32"/>
      <c r="W1323" s="32"/>
      <c r="X1323" s="32"/>
    </row>
    <row r="1324">
      <c r="A1324" s="40"/>
      <c r="B1324" s="40"/>
      <c r="C1324" s="40"/>
      <c r="D1324" s="78"/>
      <c r="E1324" s="79"/>
      <c r="F1324" s="40"/>
      <c r="G1324" s="78"/>
      <c r="H1324" s="78"/>
      <c r="I1324" s="80"/>
      <c r="J1324" s="80"/>
      <c r="K1324" s="79"/>
      <c r="L1324" s="25"/>
      <c r="M1324" s="25"/>
      <c r="N1324" s="63"/>
      <c r="O1324" s="63"/>
      <c r="P1324" s="63"/>
      <c r="Q1324" s="63"/>
      <c r="R1324" s="32"/>
      <c r="S1324" s="32"/>
      <c r="T1324" s="32"/>
      <c r="U1324" s="32"/>
      <c r="W1324" s="32"/>
      <c r="X1324" s="32"/>
    </row>
    <row r="1325">
      <c r="A1325" s="40"/>
      <c r="B1325" s="40"/>
      <c r="C1325" s="40"/>
      <c r="D1325" s="78"/>
      <c r="E1325" s="79"/>
      <c r="F1325" s="40"/>
      <c r="G1325" s="78"/>
      <c r="H1325" s="78"/>
      <c r="I1325" s="80"/>
      <c r="J1325" s="80"/>
      <c r="K1325" s="79"/>
      <c r="L1325" s="25"/>
      <c r="M1325" s="25"/>
      <c r="N1325" s="63"/>
      <c r="O1325" s="63"/>
      <c r="P1325" s="63"/>
      <c r="Q1325" s="63"/>
      <c r="R1325" s="32"/>
      <c r="S1325" s="32"/>
      <c r="T1325" s="32"/>
      <c r="U1325" s="32"/>
      <c r="W1325" s="32"/>
      <c r="X1325" s="32"/>
    </row>
    <row r="1326">
      <c r="A1326" s="40"/>
      <c r="B1326" s="40"/>
      <c r="C1326" s="40"/>
      <c r="D1326" s="78"/>
      <c r="E1326" s="79"/>
      <c r="F1326" s="40"/>
      <c r="G1326" s="78"/>
      <c r="H1326" s="78"/>
      <c r="I1326" s="80"/>
      <c r="J1326" s="80"/>
      <c r="K1326" s="79"/>
      <c r="L1326" s="25"/>
      <c r="M1326" s="25"/>
      <c r="N1326" s="63"/>
      <c r="O1326" s="63"/>
      <c r="P1326" s="63"/>
      <c r="Q1326" s="63"/>
      <c r="R1326" s="32"/>
      <c r="S1326" s="32"/>
      <c r="T1326" s="32"/>
      <c r="U1326" s="32"/>
      <c r="W1326" s="32"/>
      <c r="X1326" s="32"/>
    </row>
    <row r="1327">
      <c r="A1327" s="40"/>
      <c r="B1327" s="40"/>
      <c r="C1327" s="40"/>
      <c r="D1327" s="78"/>
      <c r="E1327" s="79"/>
      <c r="F1327" s="40"/>
      <c r="G1327" s="78"/>
      <c r="H1327" s="78"/>
      <c r="I1327" s="80"/>
      <c r="J1327" s="80"/>
      <c r="K1327" s="79"/>
      <c r="L1327" s="25"/>
      <c r="M1327" s="25"/>
      <c r="N1327" s="63"/>
      <c r="O1327" s="63"/>
      <c r="P1327" s="63"/>
      <c r="Q1327" s="63"/>
      <c r="R1327" s="32"/>
      <c r="S1327" s="32"/>
      <c r="T1327" s="32"/>
      <c r="U1327" s="32"/>
      <c r="W1327" s="32"/>
      <c r="X1327" s="32"/>
    </row>
    <row r="1328">
      <c r="A1328" s="40"/>
      <c r="B1328" s="40"/>
      <c r="C1328" s="40"/>
      <c r="D1328" s="78"/>
      <c r="E1328" s="79"/>
      <c r="F1328" s="40"/>
      <c r="G1328" s="78"/>
      <c r="H1328" s="78"/>
      <c r="I1328" s="80"/>
      <c r="J1328" s="80"/>
      <c r="K1328" s="79"/>
      <c r="L1328" s="25"/>
      <c r="M1328" s="25"/>
      <c r="N1328" s="63"/>
      <c r="O1328" s="63"/>
      <c r="P1328" s="63"/>
      <c r="Q1328" s="63"/>
      <c r="R1328" s="32"/>
      <c r="S1328" s="32"/>
      <c r="T1328" s="32"/>
      <c r="U1328" s="32"/>
      <c r="W1328" s="32"/>
      <c r="X1328" s="32"/>
    </row>
    <row r="1329">
      <c r="A1329" s="40"/>
      <c r="B1329" s="40"/>
      <c r="C1329" s="40"/>
      <c r="D1329" s="78"/>
      <c r="E1329" s="79"/>
      <c r="F1329" s="40"/>
      <c r="G1329" s="78"/>
      <c r="H1329" s="78"/>
      <c r="I1329" s="80"/>
      <c r="J1329" s="80"/>
      <c r="K1329" s="79"/>
      <c r="L1329" s="25"/>
      <c r="M1329" s="25"/>
      <c r="N1329" s="63"/>
      <c r="O1329" s="63"/>
      <c r="P1329" s="63"/>
      <c r="Q1329" s="63"/>
      <c r="R1329" s="32"/>
      <c r="S1329" s="32"/>
      <c r="T1329" s="32"/>
      <c r="U1329" s="32"/>
      <c r="W1329" s="32"/>
      <c r="X1329" s="32"/>
    </row>
    <row r="1330">
      <c r="A1330" s="40"/>
      <c r="B1330" s="40"/>
      <c r="C1330" s="40"/>
      <c r="D1330" s="78"/>
      <c r="E1330" s="79"/>
      <c r="F1330" s="40"/>
      <c r="G1330" s="78"/>
      <c r="H1330" s="78"/>
      <c r="I1330" s="80"/>
      <c r="J1330" s="80"/>
      <c r="K1330" s="79"/>
      <c r="L1330" s="25"/>
      <c r="M1330" s="25"/>
      <c r="N1330" s="63"/>
      <c r="O1330" s="63"/>
      <c r="P1330" s="63"/>
      <c r="Q1330" s="63"/>
      <c r="R1330" s="32"/>
      <c r="S1330" s="32"/>
      <c r="T1330" s="32"/>
      <c r="U1330" s="32"/>
      <c r="W1330" s="32"/>
      <c r="X1330" s="32"/>
    </row>
    <row r="1331">
      <c r="A1331" s="40"/>
      <c r="B1331" s="40"/>
      <c r="C1331" s="40"/>
      <c r="D1331" s="78"/>
      <c r="E1331" s="79"/>
      <c r="F1331" s="40"/>
      <c r="G1331" s="78"/>
      <c r="H1331" s="78"/>
      <c r="I1331" s="80"/>
      <c r="J1331" s="80"/>
      <c r="K1331" s="79"/>
      <c r="L1331" s="25"/>
      <c r="M1331" s="25"/>
      <c r="N1331" s="63"/>
      <c r="O1331" s="63"/>
      <c r="P1331" s="63"/>
      <c r="Q1331" s="63"/>
      <c r="R1331" s="32"/>
      <c r="S1331" s="32"/>
      <c r="T1331" s="32"/>
      <c r="U1331" s="32"/>
      <c r="W1331" s="32"/>
      <c r="X1331" s="32"/>
    </row>
    <row r="1332">
      <c r="A1332" s="40"/>
      <c r="B1332" s="40"/>
      <c r="C1332" s="40"/>
      <c r="D1332" s="78"/>
      <c r="E1332" s="79"/>
      <c r="F1332" s="40"/>
      <c r="G1332" s="78"/>
      <c r="H1332" s="78"/>
      <c r="I1332" s="80"/>
      <c r="J1332" s="80"/>
      <c r="K1332" s="79"/>
      <c r="L1332" s="25"/>
      <c r="M1332" s="25"/>
      <c r="N1332" s="63"/>
      <c r="O1332" s="63"/>
      <c r="P1332" s="63"/>
      <c r="Q1332" s="63"/>
      <c r="R1332" s="32"/>
      <c r="S1332" s="32"/>
      <c r="T1332" s="32"/>
      <c r="U1332" s="32"/>
      <c r="W1332" s="32"/>
      <c r="X1332" s="32"/>
    </row>
    <row r="1333">
      <c r="A1333" s="40"/>
      <c r="B1333" s="40"/>
      <c r="C1333" s="40"/>
      <c r="D1333" s="78"/>
      <c r="E1333" s="79"/>
      <c r="F1333" s="40"/>
      <c r="G1333" s="78"/>
      <c r="H1333" s="78"/>
      <c r="I1333" s="80"/>
      <c r="J1333" s="80"/>
      <c r="K1333" s="79"/>
      <c r="L1333" s="25"/>
      <c r="M1333" s="25"/>
      <c r="N1333" s="63"/>
      <c r="O1333" s="63"/>
      <c r="P1333" s="63"/>
      <c r="Q1333" s="63"/>
      <c r="R1333" s="32"/>
      <c r="S1333" s="32"/>
      <c r="T1333" s="32"/>
      <c r="U1333" s="32"/>
      <c r="W1333" s="32"/>
      <c r="X1333" s="32"/>
    </row>
    <row r="1334">
      <c r="A1334" s="40"/>
      <c r="B1334" s="40"/>
      <c r="C1334" s="40"/>
      <c r="D1334" s="78"/>
      <c r="E1334" s="79"/>
      <c r="F1334" s="40"/>
      <c r="G1334" s="78"/>
      <c r="H1334" s="78"/>
      <c r="I1334" s="80"/>
      <c r="J1334" s="80"/>
      <c r="K1334" s="79"/>
      <c r="L1334" s="25"/>
      <c r="M1334" s="25"/>
      <c r="N1334" s="63"/>
      <c r="O1334" s="63"/>
      <c r="P1334" s="63"/>
      <c r="Q1334" s="63"/>
      <c r="R1334" s="32"/>
      <c r="S1334" s="32"/>
      <c r="T1334" s="32"/>
      <c r="U1334" s="32"/>
      <c r="W1334" s="32"/>
      <c r="X1334" s="32"/>
    </row>
    <row r="1335">
      <c r="A1335" s="40"/>
      <c r="B1335" s="40"/>
      <c r="C1335" s="40"/>
      <c r="D1335" s="78"/>
      <c r="E1335" s="79"/>
      <c r="F1335" s="40"/>
      <c r="G1335" s="78"/>
      <c r="H1335" s="78"/>
      <c r="I1335" s="80"/>
      <c r="J1335" s="80"/>
      <c r="K1335" s="79"/>
      <c r="L1335" s="25"/>
      <c r="M1335" s="25"/>
      <c r="N1335" s="63"/>
      <c r="O1335" s="63"/>
      <c r="P1335" s="63"/>
      <c r="Q1335" s="63"/>
      <c r="R1335" s="32"/>
      <c r="S1335" s="32"/>
      <c r="T1335" s="32"/>
      <c r="U1335" s="32"/>
      <c r="W1335" s="32"/>
      <c r="X1335" s="32"/>
    </row>
    <row r="1336">
      <c r="A1336" s="40"/>
      <c r="B1336" s="40"/>
      <c r="C1336" s="40"/>
      <c r="D1336" s="78"/>
      <c r="E1336" s="79"/>
      <c r="F1336" s="40"/>
      <c r="G1336" s="78"/>
      <c r="H1336" s="78"/>
      <c r="I1336" s="80"/>
      <c r="J1336" s="80"/>
      <c r="K1336" s="79"/>
      <c r="L1336" s="25"/>
      <c r="M1336" s="25"/>
      <c r="N1336" s="63"/>
      <c r="O1336" s="63"/>
      <c r="P1336" s="63"/>
      <c r="Q1336" s="63"/>
      <c r="R1336" s="32"/>
      <c r="S1336" s="32"/>
      <c r="T1336" s="32"/>
      <c r="U1336" s="32"/>
      <c r="W1336" s="32"/>
      <c r="X1336" s="32"/>
    </row>
    <row r="1337">
      <c r="A1337" s="40"/>
      <c r="B1337" s="40"/>
      <c r="C1337" s="40"/>
      <c r="D1337" s="78"/>
      <c r="E1337" s="79"/>
      <c r="F1337" s="40"/>
      <c r="G1337" s="78"/>
      <c r="H1337" s="78"/>
      <c r="I1337" s="80"/>
      <c r="J1337" s="80"/>
      <c r="K1337" s="79"/>
      <c r="L1337" s="25"/>
      <c r="M1337" s="25"/>
      <c r="N1337" s="63"/>
      <c r="O1337" s="63"/>
      <c r="P1337" s="63"/>
      <c r="Q1337" s="63"/>
      <c r="R1337" s="32"/>
      <c r="S1337" s="32"/>
      <c r="T1337" s="32"/>
      <c r="U1337" s="32"/>
      <c r="W1337" s="32"/>
      <c r="X1337" s="32"/>
    </row>
    <row r="1338">
      <c r="A1338" s="40"/>
      <c r="B1338" s="40"/>
      <c r="C1338" s="40"/>
      <c r="D1338" s="78"/>
      <c r="E1338" s="79"/>
      <c r="F1338" s="40"/>
      <c r="G1338" s="78"/>
      <c r="H1338" s="78"/>
      <c r="I1338" s="80"/>
      <c r="J1338" s="80"/>
      <c r="K1338" s="79"/>
      <c r="L1338" s="25"/>
      <c r="M1338" s="25"/>
      <c r="N1338" s="63"/>
      <c r="O1338" s="63"/>
      <c r="P1338" s="63"/>
      <c r="Q1338" s="63"/>
      <c r="R1338" s="32"/>
      <c r="S1338" s="32"/>
      <c r="T1338" s="32"/>
      <c r="U1338" s="32"/>
      <c r="W1338" s="32"/>
      <c r="X1338" s="32"/>
    </row>
    <row r="1339">
      <c r="A1339" s="40"/>
      <c r="B1339" s="40"/>
      <c r="C1339" s="40"/>
      <c r="D1339" s="78"/>
      <c r="E1339" s="79"/>
      <c r="F1339" s="40"/>
      <c r="G1339" s="78"/>
      <c r="H1339" s="78"/>
      <c r="I1339" s="80"/>
      <c r="J1339" s="80"/>
      <c r="K1339" s="79"/>
      <c r="L1339" s="25"/>
      <c r="M1339" s="25"/>
      <c r="N1339" s="63"/>
      <c r="O1339" s="63"/>
      <c r="P1339" s="63"/>
      <c r="Q1339" s="63"/>
      <c r="R1339" s="32"/>
      <c r="S1339" s="32"/>
      <c r="T1339" s="32"/>
      <c r="U1339" s="32"/>
      <c r="W1339" s="32"/>
      <c r="X1339" s="32"/>
    </row>
    <row r="1340">
      <c r="A1340" s="40"/>
      <c r="B1340" s="40"/>
      <c r="C1340" s="40"/>
      <c r="D1340" s="78"/>
      <c r="E1340" s="79"/>
      <c r="F1340" s="40"/>
      <c r="G1340" s="78"/>
      <c r="H1340" s="78"/>
      <c r="I1340" s="80"/>
      <c r="J1340" s="80"/>
      <c r="K1340" s="79"/>
      <c r="L1340" s="25"/>
      <c r="M1340" s="25"/>
      <c r="N1340" s="63"/>
      <c r="O1340" s="63"/>
      <c r="P1340" s="63"/>
      <c r="Q1340" s="63"/>
      <c r="R1340" s="32"/>
      <c r="S1340" s="32"/>
      <c r="T1340" s="32"/>
      <c r="U1340" s="32"/>
      <c r="W1340" s="32"/>
      <c r="X1340" s="32"/>
    </row>
    <row r="1341">
      <c r="A1341" s="40"/>
      <c r="B1341" s="40"/>
      <c r="C1341" s="40"/>
      <c r="D1341" s="78"/>
      <c r="E1341" s="79"/>
      <c r="F1341" s="40"/>
      <c r="G1341" s="78"/>
      <c r="H1341" s="78"/>
      <c r="I1341" s="80"/>
      <c r="J1341" s="80"/>
      <c r="K1341" s="79"/>
      <c r="L1341" s="25"/>
      <c r="M1341" s="25"/>
      <c r="N1341" s="63"/>
      <c r="O1341" s="63"/>
      <c r="P1341" s="63"/>
      <c r="Q1341" s="63"/>
      <c r="R1341" s="32"/>
      <c r="S1341" s="32"/>
      <c r="T1341" s="32"/>
      <c r="U1341" s="32"/>
      <c r="W1341" s="32"/>
      <c r="X1341" s="32"/>
    </row>
    <row r="1342">
      <c r="A1342" s="40"/>
      <c r="B1342" s="40"/>
      <c r="C1342" s="40"/>
      <c r="D1342" s="78"/>
      <c r="E1342" s="79"/>
      <c r="F1342" s="40"/>
      <c r="G1342" s="78"/>
      <c r="H1342" s="78"/>
      <c r="I1342" s="80"/>
      <c r="J1342" s="80"/>
      <c r="K1342" s="79"/>
      <c r="L1342" s="25"/>
      <c r="M1342" s="25"/>
      <c r="N1342" s="63"/>
      <c r="O1342" s="63"/>
      <c r="P1342" s="63"/>
      <c r="Q1342" s="63"/>
      <c r="R1342" s="32"/>
      <c r="S1342" s="32"/>
      <c r="T1342" s="32"/>
      <c r="U1342" s="32"/>
      <c r="W1342" s="32"/>
      <c r="X1342" s="32"/>
    </row>
    <row r="1343">
      <c r="A1343" s="40"/>
      <c r="B1343" s="40"/>
      <c r="C1343" s="40"/>
      <c r="D1343" s="78"/>
      <c r="E1343" s="79"/>
      <c r="F1343" s="40"/>
      <c r="G1343" s="78"/>
      <c r="H1343" s="78"/>
      <c r="I1343" s="80"/>
      <c r="J1343" s="80"/>
      <c r="K1343" s="79"/>
      <c r="L1343" s="25"/>
      <c r="M1343" s="25"/>
      <c r="N1343" s="63"/>
      <c r="O1343" s="63"/>
      <c r="P1343" s="63"/>
      <c r="Q1343" s="63"/>
      <c r="R1343" s="32"/>
      <c r="S1343" s="32"/>
      <c r="T1343" s="32"/>
      <c r="U1343" s="32"/>
      <c r="W1343" s="32"/>
      <c r="X1343" s="32"/>
    </row>
    <row r="1344">
      <c r="A1344" s="40"/>
      <c r="B1344" s="40"/>
      <c r="C1344" s="40"/>
      <c r="D1344" s="78"/>
      <c r="E1344" s="79"/>
      <c r="F1344" s="40"/>
      <c r="G1344" s="78"/>
      <c r="H1344" s="78"/>
      <c r="I1344" s="80"/>
      <c r="J1344" s="80"/>
      <c r="K1344" s="79"/>
      <c r="L1344" s="25"/>
      <c r="M1344" s="25"/>
      <c r="N1344" s="63"/>
      <c r="O1344" s="63"/>
      <c r="P1344" s="63"/>
      <c r="Q1344" s="63"/>
      <c r="R1344" s="32"/>
      <c r="S1344" s="32"/>
      <c r="T1344" s="32"/>
      <c r="U1344" s="32"/>
      <c r="W1344" s="32"/>
      <c r="X1344" s="32"/>
    </row>
    <row r="1345">
      <c r="A1345" s="40"/>
      <c r="B1345" s="40"/>
      <c r="C1345" s="40"/>
      <c r="D1345" s="78"/>
      <c r="E1345" s="79"/>
      <c r="F1345" s="40"/>
      <c r="G1345" s="78"/>
      <c r="H1345" s="78"/>
      <c r="I1345" s="80"/>
      <c r="J1345" s="80"/>
      <c r="K1345" s="79"/>
      <c r="L1345" s="25"/>
      <c r="M1345" s="25"/>
      <c r="N1345" s="63"/>
      <c r="O1345" s="63"/>
      <c r="P1345" s="63"/>
      <c r="Q1345" s="63"/>
      <c r="R1345" s="32"/>
      <c r="S1345" s="32"/>
      <c r="T1345" s="32"/>
      <c r="U1345" s="32"/>
      <c r="W1345" s="32"/>
      <c r="X1345" s="32"/>
    </row>
    <row r="1346">
      <c r="A1346" s="40"/>
      <c r="B1346" s="40"/>
      <c r="C1346" s="40"/>
      <c r="D1346" s="78"/>
      <c r="E1346" s="79"/>
      <c r="F1346" s="40"/>
      <c r="G1346" s="78"/>
      <c r="H1346" s="78"/>
      <c r="I1346" s="80"/>
      <c r="J1346" s="80"/>
      <c r="K1346" s="79"/>
      <c r="L1346" s="25"/>
      <c r="M1346" s="25"/>
      <c r="N1346" s="63"/>
      <c r="O1346" s="63"/>
      <c r="P1346" s="63"/>
      <c r="Q1346" s="63"/>
      <c r="R1346" s="32"/>
      <c r="S1346" s="32"/>
      <c r="T1346" s="32"/>
      <c r="U1346" s="32"/>
      <c r="W1346" s="32"/>
      <c r="X1346" s="32"/>
    </row>
    <row r="1347">
      <c r="A1347" s="40"/>
      <c r="B1347" s="40"/>
      <c r="C1347" s="40"/>
      <c r="D1347" s="78"/>
      <c r="E1347" s="79"/>
      <c r="F1347" s="40"/>
      <c r="G1347" s="78"/>
      <c r="H1347" s="78"/>
      <c r="I1347" s="80"/>
      <c r="J1347" s="80"/>
      <c r="K1347" s="79"/>
      <c r="L1347" s="25"/>
      <c r="M1347" s="25"/>
      <c r="N1347" s="63"/>
      <c r="O1347" s="63"/>
      <c r="P1347" s="63"/>
      <c r="Q1347" s="63"/>
      <c r="R1347" s="32"/>
      <c r="S1347" s="32"/>
      <c r="T1347" s="32"/>
      <c r="U1347" s="32"/>
      <c r="W1347" s="32"/>
      <c r="X1347" s="32"/>
    </row>
    <row r="1348">
      <c r="A1348" s="40"/>
      <c r="B1348" s="40"/>
      <c r="C1348" s="40"/>
      <c r="D1348" s="78"/>
      <c r="E1348" s="79"/>
      <c r="F1348" s="40"/>
      <c r="G1348" s="78"/>
      <c r="H1348" s="78"/>
      <c r="I1348" s="80"/>
      <c r="J1348" s="80"/>
      <c r="K1348" s="79"/>
      <c r="L1348" s="25"/>
      <c r="M1348" s="25"/>
      <c r="N1348" s="63"/>
      <c r="O1348" s="63"/>
      <c r="P1348" s="63"/>
      <c r="Q1348" s="63"/>
      <c r="R1348" s="32"/>
      <c r="S1348" s="32"/>
      <c r="T1348" s="32"/>
      <c r="U1348" s="32"/>
      <c r="W1348" s="32"/>
      <c r="X1348" s="32"/>
    </row>
    <row r="1349">
      <c r="A1349" s="40"/>
      <c r="B1349" s="40"/>
      <c r="C1349" s="40"/>
      <c r="D1349" s="78"/>
      <c r="E1349" s="79"/>
      <c r="F1349" s="40"/>
      <c r="G1349" s="78"/>
      <c r="H1349" s="78"/>
      <c r="I1349" s="80"/>
      <c r="J1349" s="80"/>
      <c r="K1349" s="79"/>
      <c r="L1349" s="25"/>
      <c r="M1349" s="25"/>
      <c r="N1349" s="63"/>
      <c r="O1349" s="63"/>
      <c r="P1349" s="63"/>
      <c r="Q1349" s="63"/>
      <c r="R1349" s="32"/>
      <c r="S1349" s="32"/>
      <c r="T1349" s="32"/>
      <c r="U1349" s="32"/>
      <c r="W1349" s="32"/>
      <c r="X1349" s="32"/>
    </row>
    <row r="1350">
      <c r="A1350" s="40"/>
      <c r="B1350" s="40"/>
      <c r="C1350" s="40"/>
      <c r="D1350" s="78"/>
      <c r="E1350" s="79"/>
      <c r="F1350" s="40"/>
      <c r="G1350" s="78"/>
      <c r="H1350" s="78"/>
      <c r="I1350" s="80"/>
      <c r="J1350" s="80"/>
      <c r="K1350" s="79"/>
      <c r="L1350" s="25"/>
      <c r="M1350" s="25"/>
      <c r="N1350" s="63"/>
      <c r="O1350" s="63"/>
      <c r="P1350" s="63"/>
      <c r="Q1350" s="63"/>
      <c r="R1350" s="32"/>
      <c r="S1350" s="32"/>
      <c r="T1350" s="32"/>
      <c r="U1350" s="32"/>
      <c r="W1350" s="32"/>
      <c r="X1350" s="32"/>
    </row>
    <row r="1351">
      <c r="A1351" s="40"/>
      <c r="B1351" s="40"/>
      <c r="C1351" s="40"/>
      <c r="D1351" s="78"/>
      <c r="E1351" s="79"/>
      <c r="F1351" s="40"/>
      <c r="G1351" s="78"/>
      <c r="H1351" s="78"/>
      <c r="I1351" s="80"/>
      <c r="J1351" s="80"/>
      <c r="K1351" s="79"/>
      <c r="L1351" s="25"/>
      <c r="M1351" s="25"/>
      <c r="N1351" s="63"/>
      <c r="O1351" s="63"/>
      <c r="P1351" s="63"/>
      <c r="Q1351" s="63"/>
      <c r="R1351" s="32"/>
      <c r="S1351" s="32"/>
      <c r="T1351" s="32"/>
      <c r="U1351" s="32"/>
      <c r="W1351" s="32"/>
      <c r="X1351" s="32"/>
    </row>
    <row r="1352">
      <c r="A1352" s="40"/>
      <c r="B1352" s="40"/>
      <c r="C1352" s="40"/>
      <c r="D1352" s="78"/>
      <c r="E1352" s="79"/>
      <c r="F1352" s="40"/>
      <c r="G1352" s="78"/>
      <c r="H1352" s="78"/>
      <c r="I1352" s="80"/>
      <c r="J1352" s="80"/>
      <c r="K1352" s="79"/>
      <c r="L1352" s="25"/>
      <c r="M1352" s="25"/>
      <c r="N1352" s="63"/>
      <c r="O1352" s="63"/>
      <c r="P1352" s="63"/>
      <c r="Q1352" s="63"/>
      <c r="R1352" s="32"/>
      <c r="S1352" s="32"/>
      <c r="T1352" s="32"/>
      <c r="U1352" s="32"/>
      <c r="W1352" s="32"/>
      <c r="X1352" s="32"/>
    </row>
    <row r="1353">
      <c r="A1353" s="40"/>
      <c r="B1353" s="40"/>
      <c r="C1353" s="40"/>
      <c r="D1353" s="78"/>
      <c r="E1353" s="79"/>
      <c r="F1353" s="40"/>
      <c r="G1353" s="78"/>
      <c r="H1353" s="78"/>
      <c r="I1353" s="80"/>
      <c r="J1353" s="80"/>
      <c r="K1353" s="79"/>
      <c r="L1353" s="25"/>
      <c r="M1353" s="25"/>
      <c r="N1353" s="63"/>
      <c r="O1353" s="63"/>
      <c r="P1353" s="63"/>
      <c r="Q1353" s="63"/>
      <c r="R1353" s="32"/>
      <c r="S1353" s="32"/>
      <c r="T1353" s="32"/>
      <c r="U1353" s="32"/>
      <c r="W1353" s="32"/>
      <c r="X1353" s="32"/>
    </row>
    <row r="1354">
      <c r="A1354" s="40"/>
      <c r="B1354" s="40"/>
      <c r="C1354" s="40"/>
      <c r="D1354" s="78"/>
      <c r="E1354" s="79"/>
      <c r="F1354" s="40"/>
      <c r="G1354" s="78"/>
      <c r="H1354" s="78"/>
      <c r="I1354" s="80"/>
      <c r="J1354" s="80"/>
      <c r="K1354" s="79"/>
      <c r="L1354" s="25"/>
      <c r="M1354" s="25"/>
      <c r="N1354" s="63"/>
      <c r="O1354" s="63"/>
      <c r="P1354" s="63"/>
      <c r="Q1354" s="63"/>
      <c r="R1354" s="32"/>
      <c r="S1354" s="32"/>
      <c r="T1354" s="32"/>
      <c r="U1354" s="32"/>
      <c r="W1354" s="32"/>
      <c r="X1354" s="32"/>
    </row>
    <row r="1355">
      <c r="A1355" s="40"/>
      <c r="B1355" s="40"/>
      <c r="C1355" s="40"/>
      <c r="D1355" s="78"/>
      <c r="E1355" s="79"/>
      <c r="F1355" s="40"/>
      <c r="G1355" s="78"/>
      <c r="H1355" s="78"/>
      <c r="I1355" s="80"/>
      <c r="J1355" s="80"/>
      <c r="K1355" s="79"/>
      <c r="L1355" s="25"/>
      <c r="M1355" s="25"/>
      <c r="N1355" s="63"/>
      <c r="O1355" s="63"/>
      <c r="P1355" s="63"/>
      <c r="Q1355" s="63"/>
      <c r="R1355" s="32"/>
      <c r="S1355" s="32"/>
      <c r="T1355" s="32"/>
      <c r="U1355" s="32"/>
      <c r="W1355" s="32"/>
      <c r="X1355" s="32"/>
    </row>
    <row r="1356">
      <c r="A1356" s="40"/>
      <c r="B1356" s="40"/>
      <c r="C1356" s="40"/>
      <c r="D1356" s="78"/>
      <c r="E1356" s="79"/>
      <c r="F1356" s="40"/>
      <c r="G1356" s="78"/>
      <c r="H1356" s="78"/>
      <c r="I1356" s="80"/>
      <c r="J1356" s="80"/>
      <c r="K1356" s="79"/>
      <c r="L1356" s="25"/>
      <c r="M1356" s="25"/>
      <c r="N1356" s="63"/>
      <c r="O1356" s="63"/>
      <c r="P1356" s="63"/>
      <c r="Q1356" s="63"/>
      <c r="R1356" s="32"/>
      <c r="S1356" s="32"/>
      <c r="T1356" s="32"/>
      <c r="U1356" s="32"/>
      <c r="W1356" s="32"/>
      <c r="X1356" s="32"/>
    </row>
    <row r="1357">
      <c r="A1357" s="40"/>
      <c r="B1357" s="40"/>
      <c r="C1357" s="40"/>
      <c r="D1357" s="78"/>
      <c r="E1357" s="79"/>
      <c r="F1357" s="40"/>
      <c r="G1357" s="78"/>
      <c r="H1357" s="78"/>
      <c r="I1357" s="80"/>
      <c r="J1357" s="80"/>
      <c r="K1357" s="79"/>
      <c r="L1357" s="25"/>
      <c r="M1357" s="25"/>
      <c r="N1357" s="63"/>
      <c r="O1357" s="63"/>
      <c r="P1357" s="63"/>
      <c r="Q1357" s="63"/>
      <c r="R1357" s="32"/>
      <c r="S1357" s="32"/>
      <c r="T1357" s="32"/>
      <c r="U1357" s="32"/>
      <c r="W1357" s="32"/>
      <c r="X1357" s="32"/>
    </row>
    <row r="1358">
      <c r="A1358" s="40"/>
      <c r="B1358" s="40"/>
      <c r="C1358" s="40"/>
      <c r="D1358" s="78"/>
      <c r="E1358" s="79"/>
      <c r="F1358" s="40"/>
      <c r="G1358" s="78"/>
      <c r="H1358" s="78"/>
      <c r="I1358" s="80"/>
      <c r="J1358" s="80"/>
      <c r="K1358" s="79"/>
      <c r="L1358" s="25"/>
      <c r="M1358" s="25"/>
      <c r="N1358" s="63"/>
      <c r="O1358" s="63"/>
      <c r="P1358" s="63"/>
      <c r="Q1358" s="63"/>
      <c r="R1358" s="32"/>
      <c r="S1358" s="32"/>
      <c r="T1358" s="32"/>
      <c r="U1358" s="32"/>
      <c r="W1358" s="32"/>
      <c r="X1358" s="32"/>
    </row>
    <row r="1359">
      <c r="A1359" s="40"/>
      <c r="B1359" s="40"/>
      <c r="C1359" s="40"/>
      <c r="D1359" s="78"/>
      <c r="E1359" s="79"/>
      <c r="F1359" s="40"/>
      <c r="G1359" s="78"/>
      <c r="H1359" s="78"/>
      <c r="I1359" s="80"/>
      <c r="J1359" s="80"/>
      <c r="K1359" s="79"/>
      <c r="L1359" s="25"/>
      <c r="M1359" s="25"/>
      <c r="N1359" s="63"/>
      <c r="O1359" s="63"/>
      <c r="P1359" s="63"/>
      <c r="Q1359" s="63"/>
      <c r="R1359" s="32"/>
      <c r="S1359" s="32"/>
      <c r="T1359" s="32"/>
      <c r="U1359" s="32"/>
      <c r="W1359" s="32"/>
      <c r="X1359" s="32"/>
    </row>
    <row r="1360">
      <c r="A1360" s="40"/>
      <c r="B1360" s="40"/>
      <c r="C1360" s="40"/>
      <c r="D1360" s="78"/>
      <c r="E1360" s="79"/>
      <c r="F1360" s="40"/>
      <c r="G1360" s="78"/>
      <c r="H1360" s="78"/>
      <c r="I1360" s="80"/>
      <c r="J1360" s="80"/>
      <c r="K1360" s="79"/>
      <c r="L1360" s="25"/>
      <c r="M1360" s="25"/>
      <c r="N1360" s="63"/>
      <c r="O1360" s="63"/>
      <c r="P1360" s="63"/>
      <c r="Q1360" s="63"/>
      <c r="R1360" s="32"/>
      <c r="S1360" s="32"/>
      <c r="T1360" s="32"/>
      <c r="U1360" s="32"/>
      <c r="W1360" s="32"/>
      <c r="X1360" s="32"/>
    </row>
    <row r="1361">
      <c r="A1361" s="40"/>
      <c r="B1361" s="40"/>
      <c r="C1361" s="40"/>
      <c r="D1361" s="78"/>
      <c r="E1361" s="79"/>
      <c r="F1361" s="40"/>
      <c r="G1361" s="78"/>
      <c r="H1361" s="78"/>
      <c r="I1361" s="80"/>
      <c r="J1361" s="80"/>
      <c r="K1361" s="79"/>
      <c r="L1361" s="25"/>
      <c r="M1361" s="25"/>
      <c r="N1361" s="63"/>
      <c r="O1361" s="63"/>
      <c r="P1361" s="63"/>
      <c r="Q1361" s="63"/>
      <c r="R1361" s="32"/>
      <c r="S1361" s="32"/>
      <c r="T1361" s="32"/>
      <c r="U1361" s="32"/>
      <c r="W1361" s="32"/>
      <c r="X1361" s="32"/>
    </row>
    <row r="1362">
      <c r="A1362" s="40"/>
      <c r="B1362" s="40"/>
      <c r="C1362" s="40"/>
      <c r="D1362" s="78"/>
      <c r="E1362" s="79"/>
      <c r="F1362" s="40"/>
      <c r="G1362" s="78"/>
      <c r="H1362" s="78"/>
      <c r="I1362" s="80"/>
      <c r="J1362" s="80"/>
      <c r="K1362" s="79"/>
      <c r="L1362" s="25"/>
      <c r="M1362" s="25"/>
      <c r="N1362" s="63"/>
      <c r="O1362" s="63"/>
      <c r="P1362" s="63"/>
      <c r="Q1362" s="63"/>
      <c r="R1362" s="32"/>
      <c r="S1362" s="32"/>
      <c r="T1362" s="32"/>
      <c r="U1362" s="32"/>
      <c r="W1362" s="32"/>
      <c r="X1362" s="32"/>
    </row>
    <row r="1363">
      <c r="A1363" s="40"/>
      <c r="B1363" s="40"/>
      <c r="C1363" s="40"/>
      <c r="D1363" s="78"/>
      <c r="E1363" s="79"/>
      <c r="F1363" s="40"/>
      <c r="G1363" s="78"/>
      <c r="H1363" s="78"/>
      <c r="I1363" s="80"/>
      <c r="J1363" s="80"/>
      <c r="K1363" s="79"/>
      <c r="L1363" s="25"/>
      <c r="M1363" s="25"/>
      <c r="N1363" s="63"/>
      <c r="O1363" s="63"/>
      <c r="P1363" s="63"/>
      <c r="Q1363" s="63"/>
      <c r="R1363" s="32"/>
      <c r="S1363" s="32"/>
      <c r="T1363" s="32"/>
      <c r="U1363" s="32"/>
      <c r="W1363" s="32"/>
      <c r="X1363" s="32"/>
    </row>
    <row r="1364">
      <c r="A1364" s="40"/>
      <c r="B1364" s="40"/>
      <c r="C1364" s="40"/>
      <c r="D1364" s="78"/>
      <c r="E1364" s="79"/>
      <c r="F1364" s="40"/>
      <c r="G1364" s="78"/>
      <c r="H1364" s="78"/>
      <c r="I1364" s="80"/>
      <c r="J1364" s="80"/>
      <c r="K1364" s="79"/>
      <c r="L1364" s="25"/>
      <c r="M1364" s="25"/>
      <c r="N1364" s="63"/>
      <c r="O1364" s="63"/>
      <c r="P1364" s="63"/>
      <c r="Q1364" s="63"/>
      <c r="R1364" s="32"/>
      <c r="S1364" s="32"/>
      <c r="T1364" s="32"/>
      <c r="U1364" s="32"/>
      <c r="W1364" s="32"/>
      <c r="X1364" s="32"/>
    </row>
    <row r="1365">
      <c r="A1365" s="40"/>
      <c r="B1365" s="40"/>
      <c r="C1365" s="40"/>
      <c r="D1365" s="78"/>
      <c r="E1365" s="79"/>
      <c r="F1365" s="40"/>
      <c r="G1365" s="78"/>
      <c r="H1365" s="78"/>
      <c r="I1365" s="80"/>
      <c r="J1365" s="80"/>
      <c r="K1365" s="79"/>
      <c r="L1365" s="25"/>
      <c r="M1365" s="25"/>
      <c r="N1365" s="63"/>
      <c r="O1365" s="63"/>
      <c r="P1365" s="63"/>
      <c r="Q1365" s="63"/>
      <c r="R1365" s="32"/>
      <c r="S1365" s="32"/>
      <c r="T1365" s="32"/>
      <c r="U1365" s="32"/>
      <c r="W1365" s="32"/>
      <c r="X1365" s="32"/>
    </row>
    <row r="1366">
      <c r="A1366" s="40"/>
      <c r="B1366" s="40"/>
      <c r="C1366" s="40"/>
      <c r="D1366" s="78"/>
      <c r="E1366" s="79"/>
      <c r="F1366" s="40"/>
      <c r="G1366" s="78"/>
      <c r="H1366" s="78"/>
      <c r="I1366" s="80"/>
      <c r="J1366" s="80"/>
      <c r="K1366" s="79"/>
      <c r="L1366" s="25"/>
      <c r="M1366" s="25"/>
      <c r="N1366" s="63"/>
      <c r="O1366" s="63"/>
      <c r="P1366" s="63"/>
      <c r="Q1366" s="63"/>
      <c r="R1366" s="32"/>
      <c r="S1366" s="32"/>
      <c r="T1366" s="32"/>
      <c r="U1366" s="32"/>
      <c r="W1366" s="32"/>
      <c r="X1366" s="32"/>
    </row>
    <row r="1367">
      <c r="A1367" s="40"/>
      <c r="B1367" s="40"/>
      <c r="C1367" s="40"/>
      <c r="D1367" s="78"/>
      <c r="E1367" s="79"/>
      <c r="F1367" s="40"/>
      <c r="G1367" s="78"/>
      <c r="H1367" s="78"/>
      <c r="I1367" s="80"/>
      <c r="J1367" s="80"/>
      <c r="K1367" s="79"/>
      <c r="L1367" s="25"/>
      <c r="M1367" s="25"/>
      <c r="N1367" s="63"/>
      <c r="O1367" s="63"/>
      <c r="P1367" s="63"/>
      <c r="Q1367" s="63"/>
      <c r="R1367" s="32"/>
      <c r="S1367" s="32"/>
      <c r="T1367" s="32"/>
      <c r="U1367" s="32"/>
      <c r="W1367" s="32"/>
      <c r="X1367" s="32"/>
    </row>
    <row r="1368">
      <c r="A1368" s="40"/>
      <c r="B1368" s="40"/>
      <c r="C1368" s="40"/>
      <c r="D1368" s="78"/>
      <c r="E1368" s="79"/>
      <c r="F1368" s="40"/>
      <c r="G1368" s="78"/>
      <c r="H1368" s="78"/>
      <c r="I1368" s="80"/>
      <c r="J1368" s="80"/>
      <c r="K1368" s="79"/>
      <c r="L1368" s="25"/>
      <c r="M1368" s="25"/>
      <c r="N1368" s="63"/>
      <c r="O1368" s="63"/>
      <c r="P1368" s="63"/>
      <c r="Q1368" s="63"/>
      <c r="R1368" s="32"/>
      <c r="S1368" s="32"/>
      <c r="T1368" s="32"/>
      <c r="U1368" s="32"/>
      <c r="W1368" s="32"/>
      <c r="X1368" s="32"/>
    </row>
    <row r="1369">
      <c r="A1369" s="40"/>
      <c r="B1369" s="40"/>
      <c r="C1369" s="40"/>
      <c r="D1369" s="78"/>
      <c r="E1369" s="79"/>
      <c r="F1369" s="40"/>
      <c r="G1369" s="78"/>
      <c r="H1369" s="78"/>
      <c r="I1369" s="80"/>
      <c r="J1369" s="80"/>
      <c r="K1369" s="79"/>
      <c r="L1369" s="25"/>
      <c r="M1369" s="25"/>
      <c r="N1369" s="63"/>
      <c r="O1369" s="63"/>
      <c r="P1369" s="63"/>
      <c r="Q1369" s="63"/>
      <c r="R1369" s="32"/>
      <c r="S1369" s="32"/>
      <c r="T1369" s="32"/>
      <c r="U1369" s="32"/>
      <c r="W1369" s="32"/>
      <c r="X1369" s="32"/>
    </row>
    <row r="1370">
      <c r="A1370" s="40"/>
      <c r="B1370" s="40"/>
      <c r="C1370" s="40"/>
      <c r="D1370" s="78"/>
      <c r="E1370" s="79"/>
      <c r="F1370" s="40"/>
      <c r="G1370" s="78"/>
      <c r="H1370" s="78"/>
      <c r="I1370" s="80"/>
      <c r="J1370" s="80"/>
      <c r="K1370" s="79"/>
      <c r="L1370" s="25"/>
      <c r="M1370" s="25"/>
      <c r="N1370" s="63"/>
      <c r="O1370" s="63"/>
      <c r="P1370" s="63"/>
      <c r="Q1370" s="63"/>
      <c r="R1370" s="32"/>
      <c r="S1370" s="32"/>
      <c r="T1370" s="32"/>
      <c r="U1370" s="32"/>
      <c r="W1370" s="32"/>
      <c r="X1370" s="32"/>
    </row>
    <row r="1371">
      <c r="A1371" s="40"/>
      <c r="B1371" s="40"/>
      <c r="C1371" s="40"/>
      <c r="D1371" s="78"/>
      <c r="E1371" s="79"/>
      <c r="F1371" s="40"/>
      <c r="G1371" s="78"/>
      <c r="H1371" s="78"/>
      <c r="I1371" s="80"/>
      <c r="J1371" s="80"/>
      <c r="K1371" s="79"/>
      <c r="L1371" s="25"/>
      <c r="M1371" s="25"/>
      <c r="N1371" s="63"/>
      <c r="O1371" s="63"/>
      <c r="P1371" s="63"/>
      <c r="Q1371" s="63"/>
      <c r="R1371" s="32"/>
      <c r="S1371" s="32"/>
      <c r="T1371" s="32"/>
      <c r="U1371" s="32"/>
      <c r="W1371" s="32"/>
      <c r="X1371" s="32"/>
    </row>
    <row r="1372">
      <c r="A1372" s="40"/>
      <c r="B1372" s="40"/>
      <c r="C1372" s="40"/>
      <c r="D1372" s="78"/>
      <c r="E1372" s="79"/>
      <c r="F1372" s="40"/>
      <c r="G1372" s="78"/>
      <c r="H1372" s="78"/>
      <c r="I1372" s="80"/>
      <c r="J1372" s="80"/>
      <c r="K1372" s="79"/>
      <c r="L1372" s="25"/>
      <c r="M1372" s="25"/>
      <c r="N1372" s="63"/>
      <c r="O1372" s="63"/>
      <c r="P1372" s="63"/>
      <c r="Q1372" s="63"/>
      <c r="R1372" s="32"/>
      <c r="S1372" s="32"/>
      <c r="T1372" s="32"/>
      <c r="U1372" s="32"/>
      <c r="W1372" s="32"/>
      <c r="X1372" s="32"/>
    </row>
    <row r="1373">
      <c r="A1373" s="40"/>
      <c r="B1373" s="40"/>
      <c r="C1373" s="40"/>
      <c r="D1373" s="78"/>
      <c r="E1373" s="79"/>
      <c r="F1373" s="40"/>
      <c r="G1373" s="78"/>
      <c r="H1373" s="78"/>
      <c r="I1373" s="80"/>
      <c r="J1373" s="80"/>
      <c r="K1373" s="79"/>
      <c r="L1373" s="25"/>
      <c r="M1373" s="25"/>
      <c r="N1373" s="63"/>
      <c r="O1373" s="63"/>
      <c r="P1373" s="63"/>
      <c r="Q1373" s="63"/>
      <c r="R1373" s="32"/>
      <c r="S1373" s="32"/>
      <c r="T1373" s="32"/>
      <c r="U1373" s="32"/>
      <c r="W1373" s="32"/>
      <c r="X1373" s="32"/>
    </row>
    <row r="1374">
      <c r="A1374" s="40"/>
      <c r="B1374" s="40"/>
      <c r="C1374" s="40"/>
      <c r="D1374" s="78"/>
      <c r="E1374" s="79"/>
      <c r="F1374" s="40"/>
      <c r="G1374" s="78"/>
      <c r="H1374" s="78"/>
      <c r="I1374" s="80"/>
      <c r="J1374" s="80"/>
      <c r="K1374" s="79"/>
      <c r="L1374" s="25"/>
      <c r="M1374" s="25"/>
      <c r="N1374" s="63"/>
      <c r="O1374" s="63"/>
      <c r="P1374" s="63"/>
      <c r="Q1374" s="63"/>
      <c r="R1374" s="32"/>
      <c r="S1374" s="32"/>
      <c r="T1374" s="32"/>
      <c r="U1374" s="32"/>
      <c r="W1374" s="32"/>
      <c r="X1374" s="32"/>
    </row>
    <row r="1375">
      <c r="A1375" s="40"/>
      <c r="B1375" s="40"/>
      <c r="C1375" s="40"/>
      <c r="D1375" s="78"/>
      <c r="E1375" s="79"/>
      <c r="F1375" s="40"/>
      <c r="G1375" s="78"/>
      <c r="H1375" s="78"/>
      <c r="I1375" s="80"/>
      <c r="J1375" s="80"/>
      <c r="K1375" s="79"/>
      <c r="L1375" s="25"/>
      <c r="M1375" s="25"/>
      <c r="N1375" s="63"/>
      <c r="O1375" s="63"/>
      <c r="P1375" s="63"/>
      <c r="Q1375" s="63"/>
      <c r="R1375" s="32"/>
      <c r="S1375" s="32"/>
      <c r="T1375" s="32"/>
      <c r="U1375" s="32"/>
      <c r="W1375" s="32"/>
      <c r="X1375" s="32"/>
    </row>
    <row r="1376">
      <c r="A1376" s="40"/>
      <c r="B1376" s="40"/>
      <c r="C1376" s="40"/>
      <c r="D1376" s="78"/>
      <c r="E1376" s="79"/>
      <c r="F1376" s="40"/>
      <c r="G1376" s="78"/>
      <c r="H1376" s="78"/>
      <c r="I1376" s="80"/>
      <c r="J1376" s="80"/>
      <c r="K1376" s="79"/>
      <c r="L1376" s="25"/>
      <c r="M1376" s="25"/>
      <c r="N1376" s="63"/>
      <c r="O1376" s="63"/>
      <c r="P1376" s="63"/>
      <c r="Q1376" s="63"/>
      <c r="R1376" s="32"/>
      <c r="S1376" s="32"/>
      <c r="T1376" s="32"/>
      <c r="U1376" s="32"/>
      <c r="W1376" s="32"/>
      <c r="X1376" s="32"/>
    </row>
    <row r="1377">
      <c r="A1377" s="40"/>
      <c r="B1377" s="40"/>
      <c r="C1377" s="40"/>
      <c r="D1377" s="78"/>
      <c r="E1377" s="79"/>
      <c r="F1377" s="40"/>
      <c r="G1377" s="78"/>
      <c r="H1377" s="78"/>
      <c r="I1377" s="80"/>
      <c r="J1377" s="80"/>
      <c r="K1377" s="79"/>
      <c r="L1377" s="25"/>
      <c r="M1377" s="25"/>
      <c r="N1377" s="63"/>
      <c r="O1377" s="63"/>
      <c r="P1377" s="63"/>
      <c r="Q1377" s="63"/>
      <c r="R1377" s="32"/>
      <c r="S1377" s="32"/>
      <c r="T1377" s="32"/>
      <c r="U1377" s="32"/>
      <c r="W1377" s="32"/>
      <c r="X1377" s="32"/>
    </row>
    <row r="1378">
      <c r="A1378" s="40"/>
      <c r="B1378" s="40"/>
      <c r="C1378" s="40"/>
      <c r="D1378" s="78"/>
      <c r="E1378" s="79"/>
      <c r="F1378" s="40"/>
      <c r="G1378" s="78"/>
      <c r="H1378" s="78"/>
      <c r="I1378" s="80"/>
      <c r="J1378" s="80"/>
      <c r="K1378" s="79"/>
      <c r="L1378" s="25"/>
      <c r="M1378" s="25"/>
      <c r="N1378" s="63"/>
      <c r="O1378" s="63"/>
      <c r="P1378" s="63"/>
      <c r="Q1378" s="63"/>
      <c r="R1378" s="32"/>
      <c r="S1378" s="32"/>
      <c r="T1378" s="32"/>
      <c r="U1378" s="32"/>
      <c r="W1378" s="32"/>
      <c r="X1378" s="32"/>
    </row>
    <row r="1379">
      <c r="A1379" s="40"/>
      <c r="B1379" s="40"/>
      <c r="C1379" s="40"/>
      <c r="D1379" s="78"/>
      <c r="E1379" s="79"/>
      <c r="F1379" s="40"/>
      <c r="G1379" s="78"/>
      <c r="H1379" s="78"/>
      <c r="I1379" s="80"/>
      <c r="J1379" s="80"/>
      <c r="K1379" s="79"/>
      <c r="L1379" s="25"/>
      <c r="M1379" s="25"/>
      <c r="N1379" s="63"/>
      <c r="O1379" s="63"/>
      <c r="P1379" s="63"/>
      <c r="Q1379" s="63"/>
      <c r="R1379" s="32"/>
      <c r="S1379" s="32"/>
      <c r="T1379" s="32"/>
      <c r="U1379" s="32"/>
      <c r="W1379" s="32"/>
      <c r="X1379" s="32"/>
    </row>
    <row r="1380">
      <c r="A1380" s="40"/>
      <c r="B1380" s="40"/>
      <c r="C1380" s="40"/>
      <c r="D1380" s="78"/>
      <c r="E1380" s="79"/>
      <c r="F1380" s="40"/>
      <c r="G1380" s="78"/>
      <c r="H1380" s="78"/>
      <c r="I1380" s="80"/>
      <c r="J1380" s="80"/>
      <c r="K1380" s="79"/>
      <c r="L1380" s="25"/>
      <c r="M1380" s="25"/>
      <c r="N1380" s="63"/>
      <c r="O1380" s="63"/>
      <c r="P1380" s="63"/>
      <c r="Q1380" s="63"/>
      <c r="R1380" s="32"/>
      <c r="S1380" s="32"/>
      <c r="T1380" s="32"/>
      <c r="U1380" s="32"/>
      <c r="W1380" s="32"/>
      <c r="X1380" s="32"/>
    </row>
    <row r="1381">
      <c r="A1381" s="40"/>
      <c r="B1381" s="40"/>
      <c r="C1381" s="40"/>
      <c r="D1381" s="78"/>
      <c r="E1381" s="79"/>
      <c r="F1381" s="40"/>
      <c r="G1381" s="78"/>
      <c r="H1381" s="78"/>
      <c r="I1381" s="80"/>
      <c r="J1381" s="80"/>
      <c r="K1381" s="79"/>
      <c r="L1381" s="25"/>
      <c r="M1381" s="25"/>
      <c r="N1381" s="63"/>
      <c r="O1381" s="63"/>
      <c r="P1381" s="63"/>
      <c r="Q1381" s="63"/>
      <c r="R1381" s="32"/>
      <c r="S1381" s="32"/>
      <c r="T1381" s="32"/>
      <c r="U1381" s="32"/>
      <c r="W1381" s="32"/>
      <c r="X1381" s="32"/>
    </row>
    <row r="1382">
      <c r="A1382" s="40"/>
      <c r="B1382" s="40"/>
      <c r="C1382" s="40"/>
      <c r="D1382" s="78"/>
      <c r="E1382" s="79"/>
      <c r="F1382" s="40"/>
      <c r="G1382" s="78"/>
      <c r="H1382" s="78"/>
      <c r="I1382" s="80"/>
      <c r="J1382" s="80"/>
      <c r="K1382" s="79"/>
      <c r="L1382" s="25"/>
      <c r="M1382" s="25"/>
      <c r="N1382" s="63"/>
      <c r="O1382" s="63"/>
      <c r="P1382" s="63"/>
      <c r="Q1382" s="63"/>
      <c r="R1382" s="32"/>
      <c r="S1382" s="32"/>
      <c r="T1382" s="32"/>
      <c r="U1382" s="32"/>
      <c r="W1382" s="32"/>
      <c r="X1382" s="32"/>
    </row>
    <row r="1383">
      <c r="A1383" s="40"/>
      <c r="B1383" s="40"/>
      <c r="C1383" s="40"/>
      <c r="D1383" s="78"/>
      <c r="E1383" s="79"/>
      <c r="F1383" s="40"/>
      <c r="G1383" s="78"/>
      <c r="H1383" s="78"/>
      <c r="I1383" s="80"/>
      <c r="J1383" s="80"/>
      <c r="K1383" s="79"/>
      <c r="L1383" s="25"/>
      <c r="M1383" s="25"/>
      <c r="N1383" s="63"/>
      <c r="O1383" s="63"/>
      <c r="P1383" s="63"/>
      <c r="Q1383" s="63"/>
      <c r="R1383" s="32"/>
      <c r="S1383" s="32"/>
      <c r="T1383" s="32"/>
      <c r="U1383" s="32"/>
      <c r="W1383" s="32"/>
      <c r="X1383" s="32"/>
    </row>
    <row r="1384">
      <c r="A1384" s="40"/>
      <c r="B1384" s="40"/>
      <c r="C1384" s="40"/>
      <c r="D1384" s="78"/>
      <c r="E1384" s="79"/>
      <c r="F1384" s="40"/>
      <c r="G1384" s="78"/>
      <c r="H1384" s="78"/>
      <c r="I1384" s="80"/>
      <c r="J1384" s="80"/>
      <c r="K1384" s="79"/>
      <c r="L1384" s="25"/>
      <c r="M1384" s="25"/>
      <c r="N1384" s="63"/>
      <c r="O1384" s="63"/>
      <c r="P1384" s="63"/>
      <c r="Q1384" s="63"/>
      <c r="R1384" s="32"/>
      <c r="S1384" s="32"/>
      <c r="T1384" s="32"/>
      <c r="U1384" s="32"/>
      <c r="W1384" s="32"/>
      <c r="X1384" s="32"/>
    </row>
    <row r="1385">
      <c r="A1385" s="40"/>
      <c r="B1385" s="40"/>
      <c r="C1385" s="40"/>
      <c r="D1385" s="78"/>
      <c r="E1385" s="79"/>
      <c r="F1385" s="40"/>
      <c r="G1385" s="78"/>
      <c r="H1385" s="78"/>
      <c r="I1385" s="80"/>
      <c r="J1385" s="80"/>
      <c r="K1385" s="79"/>
      <c r="L1385" s="25"/>
      <c r="M1385" s="25"/>
      <c r="N1385" s="63"/>
      <c r="O1385" s="63"/>
      <c r="P1385" s="63"/>
      <c r="Q1385" s="63"/>
      <c r="R1385" s="32"/>
      <c r="S1385" s="32"/>
      <c r="T1385" s="32"/>
      <c r="U1385" s="32"/>
      <c r="W1385" s="32"/>
      <c r="X1385" s="32"/>
    </row>
    <row r="1386">
      <c r="A1386" s="40"/>
      <c r="B1386" s="40"/>
      <c r="C1386" s="40"/>
      <c r="D1386" s="78"/>
      <c r="E1386" s="79"/>
      <c r="F1386" s="40"/>
      <c r="G1386" s="78"/>
      <c r="H1386" s="78"/>
      <c r="I1386" s="80"/>
      <c r="J1386" s="80"/>
      <c r="K1386" s="79"/>
      <c r="L1386" s="25"/>
      <c r="M1386" s="25"/>
      <c r="N1386" s="63"/>
      <c r="O1386" s="63"/>
      <c r="P1386" s="63"/>
      <c r="Q1386" s="63"/>
      <c r="R1386" s="32"/>
      <c r="S1386" s="32"/>
      <c r="T1386" s="32"/>
      <c r="U1386" s="32"/>
      <c r="W1386" s="32"/>
      <c r="X1386" s="32"/>
    </row>
    <row r="1387">
      <c r="A1387" s="40"/>
      <c r="B1387" s="40"/>
      <c r="C1387" s="40"/>
      <c r="D1387" s="78"/>
      <c r="E1387" s="79"/>
      <c r="F1387" s="40"/>
      <c r="G1387" s="78"/>
      <c r="H1387" s="78"/>
      <c r="I1387" s="80"/>
      <c r="J1387" s="80"/>
      <c r="K1387" s="79"/>
      <c r="L1387" s="25"/>
      <c r="M1387" s="25"/>
      <c r="N1387" s="63"/>
      <c r="O1387" s="63"/>
      <c r="P1387" s="63"/>
      <c r="Q1387" s="63"/>
      <c r="R1387" s="32"/>
      <c r="S1387" s="32"/>
      <c r="T1387" s="32"/>
      <c r="U1387" s="32"/>
      <c r="W1387" s="32"/>
      <c r="X1387" s="32"/>
    </row>
    <row r="1388">
      <c r="A1388" s="40"/>
      <c r="B1388" s="40"/>
      <c r="C1388" s="40"/>
      <c r="D1388" s="78"/>
      <c r="E1388" s="79"/>
      <c r="F1388" s="40"/>
      <c r="G1388" s="78"/>
      <c r="H1388" s="78"/>
      <c r="I1388" s="80"/>
      <c r="J1388" s="80"/>
      <c r="K1388" s="79"/>
      <c r="L1388" s="25"/>
      <c r="M1388" s="25"/>
      <c r="N1388" s="63"/>
      <c r="O1388" s="63"/>
      <c r="P1388" s="63"/>
      <c r="Q1388" s="63"/>
      <c r="R1388" s="32"/>
      <c r="S1388" s="32"/>
      <c r="T1388" s="32"/>
      <c r="U1388" s="32"/>
      <c r="W1388" s="32"/>
      <c r="X1388" s="32"/>
    </row>
    <row r="1389">
      <c r="A1389" s="40"/>
      <c r="B1389" s="40"/>
      <c r="C1389" s="40"/>
      <c r="D1389" s="78"/>
      <c r="E1389" s="79"/>
      <c r="F1389" s="40"/>
      <c r="G1389" s="78"/>
      <c r="H1389" s="78"/>
      <c r="I1389" s="80"/>
      <c r="J1389" s="80"/>
      <c r="K1389" s="79"/>
      <c r="L1389" s="25"/>
      <c r="M1389" s="25"/>
      <c r="N1389" s="63"/>
      <c r="O1389" s="63"/>
      <c r="P1389" s="63"/>
      <c r="Q1389" s="63"/>
      <c r="R1389" s="32"/>
      <c r="S1389" s="32"/>
      <c r="T1389" s="32"/>
      <c r="U1389" s="32"/>
      <c r="W1389" s="32"/>
      <c r="X1389" s="32"/>
    </row>
    <row r="1390">
      <c r="A1390" s="40"/>
      <c r="B1390" s="40"/>
      <c r="C1390" s="40"/>
      <c r="D1390" s="78"/>
      <c r="E1390" s="79"/>
      <c r="F1390" s="40"/>
      <c r="G1390" s="78"/>
      <c r="H1390" s="78"/>
      <c r="I1390" s="80"/>
      <c r="J1390" s="80"/>
      <c r="K1390" s="79"/>
      <c r="L1390" s="25"/>
      <c r="M1390" s="25"/>
      <c r="N1390" s="63"/>
      <c r="O1390" s="63"/>
      <c r="P1390" s="63"/>
      <c r="Q1390" s="63"/>
      <c r="R1390" s="32"/>
      <c r="S1390" s="32"/>
      <c r="T1390" s="32"/>
      <c r="U1390" s="32"/>
      <c r="W1390" s="32"/>
      <c r="X1390" s="32"/>
    </row>
    <row r="1391">
      <c r="A1391" s="40"/>
      <c r="B1391" s="40"/>
      <c r="C1391" s="40"/>
      <c r="D1391" s="78"/>
      <c r="E1391" s="79"/>
      <c r="F1391" s="40"/>
      <c r="G1391" s="78"/>
      <c r="H1391" s="78"/>
      <c r="I1391" s="80"/>
      <c r="J1391" s="80"/>
      <c r="K1391" s="79"/>
      <c r="L1391" s="25"/>
      <c r="M1391" s="25"/>
      <c r="N1391" s="63"/>
      <c r="O1391" s="63"/>
      <c r="P1391" s="63"/>
      <c r="Q1391" s="63"/>
      <c r="R1391" s="32"/>
      <c r="S1391" s="32"/>
      <c r="T1391" s="32"/>
      <c r="U1391" s="32"/>
      <c r="W1391" s="32"/>
      <c r="X1391" s="32"/>
    </row>
    <row r="1392">
      <c r="A1392" s="40"/>
      <c r="B1392" s="40"/>
      <c r="C1392" s="40"/>
      <c r="D1392" s="78"/>
      <c r="E1392" s="79"/>
      <c r="F1392" s="40"/>
      <c r="G1392" s="78"/>
      <c r="H1392" s="78"/>
      <c r="I1392" s="80"/>
      <c r="J1392" s="80"/>
      <c r="K1392" s="79"/>
      <c r="L1392" s="25"/>
      <c r="M1392" s="25"/>
      <c r="N1392" s="63"/>
      <c r="O1392" s="63"/>
      <c r="P1392" s="63"/>
      <c r="Q1392" s="63"/>
      <c r="R1392" s="32"/>
      <c r="S1392" s="32"/>
      <c r="T1392" s="32"/>
      <c r="U1392" s="32"/>
      <c r="W1392" s="32"/>
      <c r="X1392" s="32"/>
    </row>
    <row r="1393">
      <c r="A1393" s="40"/>
      <c r="B1393" s="40"/>
      <c r="C1393" s="40"/>
      <c r="D1393" s="78"/>
      <c r="E1393" s="79"/>
      <c r="F1393" s="40"/>
      <c r="G1393" s="78"/>
      <c r="H1393" s="78"/>
      <c r="I1393" s="80"/>
      <c r="J1393" s="80"/>
      <c r="K1393" s="79"/>
      <c r="L1393" s="25"/>
      <c r="M1393" s="25"/>
      <c r="N1393" s="63"/>
      <c r="O1393" s="63"/>
      <c r="P1393" s="63"/>
      <c r="Q1393" s="63"/>
      <c r="R1393" s="32"/>
      <c r="S1393" s="32"/>
      <c r="T1393" s="32"/>
      <c r="U1393" s="32"/>
      <c r="W1393" s="32"/>
      <c r="X1393" s="32"/>
    </row>
    <row r="1394">
      <c r="A1394" s="40"/>
      <c r="B1394" s="40"/>
      <c r="C1394" s="40"/>
      <c r="D1394" s="78"/>
      <c r="E1394" s="79"/>
      <c r="F1394" s="40"/>
      <c r="G1394" s="78"/>
      <c r="H1394" s="78"/>
      <c r="I1394" s="80"/>
      <c r="J1394" s="80"/>
      <c r="K1394" s="79"/>
      <c r="L1394" s="25"/>
      <c r="M1394" s="25"/>
      <c r="N1394" s="63"/>
      <c r="O1394" s="63"/>
      <c r="P1394" s="63"/>
      <c r="Q1394" s="63"/>
      <c r="R1394" s="32"/>
      <c r="S1394" s="32"/>
      <c r="T1394" s="32"/>
      <c r="U1394" s="32"/>
      <c r="W1394" s="32"/>
      <c r="X1394" s="32"/>
    </row>
    <row r="1395">
      <c r="A1395" s="40"/>
      <c r="B1395" s="40"/>
      <c r="C1395" s="40"/>
      <c r="D1395" s="78"/>
      <c r="E1395" s="79"/>
      <c r="F1395" s="40"/>
      <c r="G1395" s="78"/>
      <c r="H1395" s="78"/>
      <c r="I1395" s="80"/>
      <c r="J1395" s="80"/>
      <c r="K1395" s="79"/>
      <c r="L1395" s="25"/>
      <c r="M1395" s="25"/>
      <c r="N1395" s="63"/>
      <c r="O1395" s="63"/>
      <c r="P1395" s="63"/>
      <c r="Q1395" s="63"/>
      <c r="R1395" s="32"/>
      <c r="S1395" s="32"/>
      <c r="T1395" s="32"/>
      <c r="U1395" s="32"/>
      <c r="W1395" s="32"/>
      <c r="X1395" s="32"/>
    </row>
    <row r="1396">
      <c r="A1396" s="40"/>
      <c r="B1396" s="40"/>
      <c r="C1396" s="40"/>
      <c r="D1396" s="78"/>
      <c r="E1396" s="79"/>
      <c r="F1396" s="40"/>
      <c r="G1396" s="78"/>
      <c r="H1396" s="78"/>
      <c r="I1396" s="80"/>
      <c r="J1396" s="80"/>
      <c r="K1396" s="79"/>
      <c r="L1396" s="25"/>
      <c r="M1396" s="25"/>
      <c r="N1396" s="63"/>
      <c r="O1396" s="63"/>
      <c r="P1396" s="63"/>
      <c r="Q1396" s="63"/>
      <c r="R1396" s="32"/>
      <c r="S1396" s="32"/>
      <c r="T1396" s="32"/>
      <c r="U1396" s="32"/>
      <c r="W1396" s="32"/>
      <c r="X1396" s="32"/>
    </row>
    <row r="1397">
      <c r="A1397" s="40"/>
      <c r="B1397" s="40"/>
      <c r="C1397" s="40"/>
      <c r="D1397" s="78"/>
      <c r="E1397" s="79"/>
      <c r="F1397" s="40"/>
      <c r="G1397" s="78"/>
      <c r="H1397" s="78"/>
      <c r="I1397" s="80"/>
      <c r="J1397" s="80"/>
      <c r="K1397" s="79"/>
      <c r="L1397" s="25"/>
      <c r="M1397" s="25"/>
      <c r="N1397" s="63"/>
      <c r="O1397" s="63"/>
      <c r="P1397" s="63"/>
      <c r="Q1397" s="63"/>
      <c r="R1397" s="32"/>
      <c r="S1397" s="32"/>
      <c r="T1397" s="32"/>
      <c r="U1397" s="32"/>
      <c r="W1397" s="32"/>
      <c r="X1397" s="32"/>
    </row>
    <row r="1398">
      <c r="A1398" s="40"/>
      <c r="B1398" s="40"/>
      <c r="C1398" s="40"/>
      <c r="D1398" s="78"/>
      <c r="E1398" s="79"/>
      <c r="F1398" s="40"/>
      <c r="G1398" s="78"/>
      <c r="H1398" s="78"/>
      <c r="I1398" s="80"/>
      <c r="J1398" s="80"/>
      <c r="K1398" s="79"/>
      <c r="L1398" s="25"/>
      <c r="M1398" s="25"/>
      <c r="N1398" s="63"/>
      <c r="O1398" s="63"/>
      <c r="P1398" s="63"/>
      <c r="Q1398" s="63"/>
      <c r="R1398" s="32"/>
      <c r="S1398" s="32"/>
      <c r="T1398" s="32"/>
      <c r="U1398" s="32"/>
      <c r="W1398" s="32"/>
      <c r="X1398" s="32"/>
    </row>
    <row r="1399">
      <c r="A1399" s="40"/>
      <c r="B1399" s="40"/>
      <c r="C1399" s="40"/>
      <c r="D1399" s="78"/>
      <c r="E1399" s="79"/>
      <c r="F1399" s="40"/>
      <c r="G1399" s="78"/>
      <c r="H1399" s="78"/>
      <c r="I1399" s="80"/>
      <c r="J1399" s="80"/>
      <c r="K1399" s="79"/>
      <c r="L1399" s="25"/>
      <c r="M1399" s="25"/>
      <c r="N1399" s="63"/>
      <c r="O1399" s="63"/>
      <c r="P1399" s="63"/>
      <c r="Q1399" s="63"/>
      <c r="R1399" s="32"/>
      <c r="S1399" s="32"/>
      <c r="T1399" s="32"/>
      <c r="U1399" s="32"/>
      <c r="W1399" s="32"/>
      <c r="X1399" s="32"/>
    </row>
    <row r="1400">
      <c r="A1400" s="40"/>
      <c r="B1400" s="40"/>
      <c r="C1400" s="40"/>
      <c r="D1400" s="78"/>
      <c r="E1400" s="79"/>
      <c r="F1400" s="40"/>
      <c r="G1400" s="78"/>
      <c r="H1400" s="78"/>
      <c r="I1400" s="80"/>
      <c r="J1400" s="80"/>
      <c r="K1400" s="79"/>
      <c r="L1400" s="25"/>
      <c r="M1400" s="25"/>
      <c r="N1400" s="63"/>
      <c r="O1400" s="63"/>
      <c r="P1400" s="63"/>
      <c r="Q1400" s="63"/>
      <c r="R1400" s="32"/>
      <c r="S1400" s="32"/>
      <c r="T1400" s="32"/>
      <c r="U1400" s="32"/>
      <c r="W1400" s="32"/>
      <c r="X1400" s="32"/>
    </row>
    <row r="1401">
      <c r="A1401" s="40"/>
      <c r="B1401" s="40"/>
      <c r="C1401" s="40"/>
      <c r="D1401" s="78"/>
      <c r="E1401" s="79"/>
      <c r="F1401" s="40"/>
      <c r="G1401" s="78"/>
      <c r="H1401" s="78"/>
      <c r="I1401" s="80"/>
      <c r="J1401" s="80"/>
      <c r="K1401" s="79"/>
      <c r="L1401" s="25"/>
      <c r="M1401" s="25"/>
      <c r="N1401" s="63"/>
      <c r="O1401" s="63"/>
      <c r="P1401" s="63"/>
      <c r="Q1401" s="63"/>
      <c r="R1401" s="32"/>
      <c r="S1401" s="32"/>
      <c r="T1401" s="32"/>
      <c r="U1401" s="32"/>
      <c r="W1401" s="32"/>
      <c r="X1401" s="32"/>
    </row>
    <row r="1402">
      <c r="A1402" s="40"/>
      <c r="B1402" s="40"/>
      <c r="C1402" s="40"/>
      <c r="D1402" s="78"/>
      <c r="E1402" s="79"/>
      <c r="F1402" s="40"/>
      <c r="G1402" s="78"/>
      <c r="H1402" s="78"/>
      <c r="I1402" s="80"/>
      <c r="J1402" s="80"/>
      <c r="K1402" s="79"/>
      <c r="L1402" s="25"/>
      <c r="M1402" s="25"/>
      <c r="N1402" s="63"/>
      <c r="O1402" s="63"/>
      <c r="P1402" s="63"/>
      <c r="Q1402" s="63"/>
      <c r="R1402" s="32"/>
      <c r="S1402" s="32"/>
      <c r="T1402" s="32"/>
      <c r="U1402" s="32"/>
      <c r="W1402" s="32"/>
      <c r="X1402" s="32"/>
    </row>
    <row r="1403">
      <c r="A1403" s="40"/>
      <c r="B1403" s="40"/>
      <c r="C1403" s="40"/>
      <c r="D1403" s="78"/>
      <c r="E1403" s="79"/>
      <c r="F1403" s="40"/>
      <c r="G1403" s="78"/>
      <c r="H1403" s="78"/>
      <c r="I1403" s="80"/>
      <c r="J1403" s="80"/>
      <c r="K1403" s="79"/>
      <c r="L1403" s="25"/>
      <c r="M1403" s="25"/>
      <c r="N1403" s="63"/>
      <c r="O1403" s="63"/>
      <c r="P1403" s="63"/>
      <c r="Q1403" s="63"/>
      <c r="R1403" s="32"/>
      <c r="S1403" s="32"/>
      <c r="T1403" s="32"/>
      <c r="U1403" s="32"/>
      <c r="W1403" s="32"/>
      <c r="X1403" s="32"/>
    </row>
    <row r="1404">
      <c r="A1404" s="40"/>
      <c r="B1404" s="40"/>
      <c r="C1404" s="40"/>
      <c r="D1404" s="78"/>
      <c r="E1404" s="79"/>
      <c r="F1404" s="40"/>
      <c r="G1404" s="78"/>
      <c r="H1404" s="78"/>
      <c r="I1404" s="80"/>
      <c r="J1404" s="80"/>
      <c r="K1404" s="79"/>
      <c r="L1404" s="25"/>
      <c r="M1404" s="25"/>
      <c r="N1404" s="63"/>
      <c r="O1404" s="63"/>
      <c r="P1404" s="63"/>
      <c r="Q1404" s="63"/>
      <c r="R1404" s="32"/>
      <c r="S1404" s="32"/>
      <c r="T1404" s="32"/>
      <c r="U1404" s="32"/>
      <c r="W1404" s="32"/>
      <c r="X1404" s="32"/>
    </row>
    <row r="1405">
      <c r="A1405" s="40"/>
      <c r="B1405" s="40"/>
      <c r="C1405" s="40"/>
      <c r="D1405" s="78"/>
      <c r="E1405" s="79"/>
      <c r="F1405" s="40"/>
      <c r="G1405" s="78"/>
      <c r="H1405" s="78"/>
      <c r="I1405" s="80"/>
      <c r="J1405" s="80"/>
      <c r="K1405" s="79"/>
      <c r="L1405" s="25"/>
      <c r="M1405" s="25"/>
      <c r="N1405" s="63"/>
      <c r="O1405" s="63"/>
      <c r="P1405" s="63"/>
      <c r="Q1405" s="63"/>
      <c r="R1405" s="32"/>
      <c r="S1405" s="32"/>
      <c r="T1405" s="32"/>
      <c r="U1405" s="32"/>
      <c r="W1405" s="32"/>
      <c r="X1405" s="32"/>
    </row>
    <row r="1406">
      <c r="A1406" s="40"/>
      <c r="B1406" s="40"/>
      <c r="C1406" s="40"/>
      <c r="D1406" s="78"/>
      <c r="E1406" s="79"/>
      <c r="F1406" s="40"/>
      <c r="G1406" s="78"/>
      <c r="H1406" s="78"/>
      <c r="I1406" s="80"/>
      <c r="J1406" s="80"/>
      <c r="K1406" s="79"/>
      <c r="L1406" s="25"/>
      <c r="M1406" s="25"/>
      <c r="N1406" s="63"/>
      <c r="O1406" s="63"/>
      <c r="P1406" s="63"/>
      <c r="Q1406" s="63"/>
      <c r="R1406" s="32"/>
      <c r="S1406" s="32"/>
      <c r="T1406" s="32"/>
      <c r="U1406" s="32"/>
      <c r="W1406" s="32"/>
      <c r="X1406" s="32"/>
    </row>
    <row r="1407">
      <c r="A1407" s="40"/>
      <c r="B1407" s="40"/>
      <c r="C1407" s="40"/>
      <c r="D1407" s="78"/>
      <c r="E1407" s="79"/>
      <c r="F1407" s="40"/>
      <c r="G1407" s="78"/>
      <c r="H1407" s="78"/>
      <c r="I1407" s="80"/>
      <c r="J1407" s="80"/>
      <c r="K1407" s="79"/>
      <c r="L1407" s="25"/>
      <c r="M1407" s="25"/>
      <c r="N1407" s="63"/>
      <c r="O1407" s="63"/>
      <c r="P1407" s="63"/>
      <c r="Q1407" s="63"/>
      <c r="R1407" s="32"/>
      <c r="S1407" s="32"/>
      <c r="T1407" s="32"/>
      <c r="U1407" s="32"/>
      <c r="W1407" s="32"/>
      <c r="X1407" s="32"/>
    </row>
    <row r="1408">
      <c r="A1408" s="40"/>
      <c r="B1408" s="40"/>
      <c r="C1408" s="40"/>
      <c r="D1408" s="78"/>
      <c r="E1408" s="79"/>
      <c r="F1408" s="40"/>
      <c r="G1408" s="78"/>
      <c r="H1408" s="78"/>
      <c r="I1408" s="80"/>
      <c r="J1408" s="80"/>
      <c r="K1408" s="79"/>
      <c r="L1408" s="25"/>
      <c r="M1408" s="25"/>
      <c r="N1408" s="63"/>
      <c r="O1408" s="63"/>
      <c r="P1408" s="63"/>
      <c r="Q1408" s="63"/>
      <c r="R1408" s="32"/>
      <c r="S1408" s="32"/>
      <c r="T1408" s="32"/>
      <c r="U1408" s="32"/>
      <c r="W1408" s="32"/>
      <c r="X1408" s="32"/>
    </row>
    <row r="1409">
      <c r="A1409" s="40"/>
      <c r="B1409" s="40"/>
      <c r="C1409" s="40"/>
      <c r="D1409" s="78"/>
      <c r="E1409" s="79"/>
      <c r="F1409" s="40"/>
      <c r="G1409" s="78"/>
      <c r="H1409" s="78"/>
      <c r="I1409" s="80"/>
      <c r="J1409" s="80"/>
      <c r="K1409" s="79"/>
      <c r="L1409" s="25"/>
      <c r="M1409" s="25"/>
      <c r="N1409" s="63"/>
      <c r="O1409" s="63"/>
      <c r="P1409" s="63"/>
      <c r="Q1409" s="63"/>
      <c r="R1409" s="32"/>
      <c r="S1409" s="32"/>
      <c r="T1409" s="32"/>
      <c r="U1409" s="32"/>
      <c r="W1409" s="32"/>
      <c r="X1409" s="32"/>
    </row>
    <row r="1410">
      <c r="A1410" s="40"/>
      <c r="B1410" s="40"/>
      <c r="C1410" s="40"/>
      <c r="D1410" s="78"/>
      <c r="E1410" s="79"/>
      <c r="F1410" s="40"/>
      <c r="G1410" s="78"/>
      <c r="H1410" s="78"/>
      <c r="I1410" s="80"/>
      <c r="J1410" s="80"/>
      <c r="K1410" s="79"/>
      <c r="L1410" s="25"/>
      <c r="M1410" s="25"/>
      <c r="N1410" s="63"/>
      <c r="O1410" s="63"/>
      <c r="P1410" s="63"/>
      <c r="Q1410" s="63"/>
      <c r="R1410" s="32"/>
      <c r="S1410" s="32"/>
      <c r="T1410" s="32"/>
      <c r="U1410" s="32"/>
      <c r="W1410" s="32"/>
      <c r="X1410" s="32"/>
    </row>
    <row r="1411">
      <c r="A1411" s="40"/>
      <c r="B1411" s="40"/>
      <c r="C1411" s="40"/>
      <c r="D1411" s="78"/>
      <c r="E1411" s="79"/>
      <c r="F1411" s="40"/>
      <c r="G1411" s="78"/>
      <c r="H1411" s="78"/>
      <c r="I1411" s="80"/>
      <c r="J1411" s="80"/>
      <c r="K1411" s="79"/>
      <c r="L1411" s="25"/>
      <c r="M1411" s="25"/>
      <c r="N1411" s="63"/>
      <c r="O1411" s="63"/>
      <c r="P1411" s="63"/>
      <c r="Q1411" s="63"/>
      <c r="R1411" s="32"/>
      <c r="S1411" s="32"/>
      <c r="T1411" s="32"/>
      <c r="U1411" s="32"/>
      <c r="W1411" s="32"/>
      <c r="X1411" s="32"/>
    </row>
    <row r="1412">
      <c r="A1412" s="40"/>
      <c r="B1412" s="40"/>
      <c r="C1412" s="40"/>
      <c r="D1412" s="78"/>
      <c r="E1412" s="79"/>
      <c r="F1412" s="40"/>
      <c r="G1412" s="78"/>
      <c r="H1412" s="78"/>
      <c r="I1412" s="80"/>
      <c r="J1412" s="80"/>
      <c r="K1412" s="79"/>
      <c r="L1412" s="25"/>
      <c r="M1412" s="25"/>
      <c r="N1412" s="63"/>
      <c r="O1412" s="63"/>
      <c r="P1412" s="63"/>
      <c r="Q1412" s="63"/>
      <c r="R1412" s="32"/>
      <c r="S1412" s="32"/>
      <c r="T1412" s="32"/>
      <c r="U1412" s="32"/>
      <c r="W1412" s="32"/>
      <c r="X1412" s="32"/>
    </row>
    <row r="1413">
      <c r="A1413" s="40"/>
      <c r="B1413" s="40"/>
      <c r="C1413" s="40"/>
      <c r="D1413" s="78"/>
      <c r="E1413" s="79"/>
      <c r="F1413" s="40"/>
      <c r="G1413" s="78"/>
      <c r="H1413" s="78"/>
      <c r="I1413" s="80"/>
      <c r="J1413" s="80"/>
      <c r="K1413" s="79"/>
      <c r="L1413" s="25"/>
      <c r="M1413" s="25"/>
      <c r="N1413" s="63"/>
      <c r="O1413" s="63"/>
      <c r="P1413" s="63"/>
      <c r="Q1413" s="63"/>
      <c r="R1413" s="32"/>
      <c r="S1413" s="32"/>
      <c r="T1413" s="32"/>
      <c r="U1413" s="32"/>
      <c r="W1413" s="32"/>
      <c r="X1413" s="32"/>
    </row>
    <row r="1414">
      <c r="A1414" s="40"/>
      <c r="B1414" s="40"/>
      <c r="C1414" s="40"/>
      <c r="D1414" s="78"/>
      <c r="E1414" s="79"/>
      <c r="F1414" s="40"/>
      <c r="G1414" s="78"/>
      <c r="H1414" s="78"/>
      <c r="I1414" s="80"/>
      <c r="J1414" s="80"/>
      <c r="K1414" s="79"/>
      <c r="L1414" s="25"/>
      <c r="M1414" s="25"/>
      <c r="N1414" s="63"/>
      <c r="O1414" s="63"/>
      <c r="P1414" s="63"/>
      <c r="Q1414" s="63"/>
      <c r="R1414" s="32"/>
      <c r="S1414" s="32"/>
      <c r="T1414" s="32"/>
      <c r="U1414" s="32"/>
      <c r="W1414" s="32"/>
      <c r="X1414" s="32"/>
    </row>
    <row r="1415">
      <c r="A1415" s="40"/>
      <c r="B1415" s="40"/>
      <c r="C1415" s="40"/>
      <c r="D1415" s="78"/>
      <c r="E1415" s="79"/>
      <c r="F1415" s="40"/>
      <c r="G1415" s="78"/>
      <c r="H1415" s="78"/>
      <c r="I1415" s="80"/>
      <c r="J1415" s="80"/>
      <c r="K1415" s="79"/>
      <c r="L1415" s="25"/>
      <c r="M1415" s="25"/>
      <c r="N1415" s="63"/>
      <c r="O1415" s="63"/>
      <c r="P1415" s="63"/>
      <c r="Q1415" s="63"/>
      <c r="R1415" s="32"/>
      <c r="S1415" s="32"/>
      <c r="T1415" s="32"/>
      <c r="U1415" s="32"/>
      <c r="W1415" s="32"/>
      <c r="X1415" s="32"/>
    </row>
    <row r="1416">
      <c r="A1416" s="40"/>
      <c r="B1416" s="40"/>
      <c r="C1416" s="40"/>
      <c r="D1416" s="78"/>
      <c r="E1416" s="79"/>
      <c r="F1416" s="40"/>
      <c r="G1416" s="78"/>
      <c r="H1416" s="78"/>
      <c r="I1416" s="80"/>
      <c r="J1416" s="80"/>
      <c r="K1416" s="79"/>
      <c r="L1416" s="25"/>
      <c r="M1416" s="25"/>
      <c r="N1416" s="63"/>
      <c r="O1416" s="63"/>
      <c r="P1416" s="63"/>
      <c r="Q1416" s="63"/>
      <c r="R1416" s="32"/>
      <c r="S1416" s="32"/>
      <c r="T1416" s="32"/>
      <c r="U1416" s="32"/>
      <c r="W1416" s="32"/>
      <c r="X1416" s="32"/>
    </row>
    <row r="1417">
      <c r="A1417" s="40"/>
      <c r="B1417" s="40"/>
      <c r="C1417" s="40"/>
      <c r="D1417" s="78"/>
      <c r="E1417" s="79"/>
      <c r="F1417" s="40"/>
      <c r="G1417" s="78"/>
      <c r="H1417" s="78"/>
      <c r="I1417" s="80"/>
      <c r="J1417" s="80"/>
      <c r="K1417" s="79"/>
      <c r="L1417" s="25"/>
      <c r="M1417" s="25"/>
      <c r="N1417" s="63"/>
      <c r="O1417" s="63"/>
      <c r="P1417" s="63"/>
      <c r="Q1417" s="63"/>
      <c r="R1417" s="32"/>
      <c r="S1417" s="32"/>
      <c r="T1417" s="32"/>
      <c r="U1417" s="32"/>
      <c r="W1417" s="32"/>
      <c r="X1417" s="32"/>
    </row>
    <row r="1418">
      <c r="A1418" s="40"/>
      <c r="B1418" s="40"/>
      <c r="C1418" s="40"/>
      <c r="D1418" s="78"/>
      <c r="E1418" s="79"/>
      <c r="F1418" s="40"/>
      <c r="G1418" s="78"/>
      <c r="H1418" s="78"/>
      <c r="I1418" s="80"/>
      <c r="J1418" s="80"/>
      <c r="K1418" s="79"/>
      <c r="L1418" s="25"/>
      <c r="M1418" s="25"/>
      <c r="N1418" s="63"/>
      <c r="O1418" s="63"/>
      <c r="P1418" s="63"/>
      <c r="Q1418" s="63"/>
      <c r="R1418" s="32"/>
      <c r="S1418" s="32"/>
      <c r="T1418" s="32"/>
      <c r="U1418" s="32"/>
      <c r="W1418" s="32"/>
      <c r="X1418" s="32"/>
    </row>
    <row r="1419">
      <c r="A1419" s="40"/>
      <c r="B1419" s="40"/>
      <c r="C1419" s="40"/>
      <c r="D1419" s="78"/>
      <c r="E1419" s="79"/>
      <c r="F1419" s="40"/>
      <c r="G1419" s="78"/>
      <c r="H1419" s="78"/>
      <c r="I1419" s="80"/>
      <c r="J1419" s="80"/>
      <c r="K1419" s="79"/>
      <c r="L1419" s="25"/>
      <c r="M1419" s="25"/>
      <c r="N1419" s="63"/>
      <c r="O1419" s="63"/>
      <c r="P1419" s="63"/>
      <c r="Q1419" s="63"/>
      <c r="R1419" s="32"/>
      <c r="S1419" s="32"/>
      <c r="T1419" s="32"/>
      <c r="U1419" s="32"/>
      <c r="W1419" s="32"/>
      <c r="X1419" s="32"/>
    </row>
    <row r="1420">
      <c r="A1420" s="40"/>
      <c r="B1420" s="40"/>
      <c r="C1420" s="40"/>
      <c r="D1420" s="78"/>
      <c r="E1420" s="79"/>
      <c r="F1420" s="40"/>
      <c r="G1420" s="78"/>
      <c r="H1420" s="78"/>
      <c r="I1420" s="80"/>
      <c r="J1420" s="80"/>
      <c r="K1420" s="79"/>
      <c r="L1420" s="25"/>
      <c r="M1420" s="25"/>
      <c r="N1420" s="63"/>
      <c r="O1420" s="63"/>
      <c r="P1420" s="63"/>
      <c r="Q1420" s="63"/>
      <c r="R1420" s="32"/>
      <c r="S1420" s="32"/>
      <c r="T1420" s="32"/>
      <c r="U1420" s="32"/>
      <c r="W1420" s="32"/>
      <c r="X1420" s="32"/>
    </row>
    <row r="1421">
      <c r="A1421" s="40"/>
      <c r="B1421" s="40"/>
      <c r="C1421" s="40"/>
      <c r="D1421" s="78"/>
      <c r="E1421" s="79"/>
      <c r="F1421" s="40"/>
      <c r="G1421" s="78"/>
      <c r="H1421" s="78"/>
      <c r="I1421" s="80"/>
      <c r="J1421" s="80"/>
      <c r="K1421" s="79"/>
      <c r="L1421" s="25"/>
      <c r="M1421" s="25"/>
      <c r="N1421" s="63"/>
      <c r="O1421" s="63"/>
      <c r="P1421" s="63"/>
      <c r="Q1421" s="63"/>
      <c r="R1421" s="32"/>
      <c r="S1421" s="32"/>
      <c r="T1421" s="32"/>
      <c r="U1421" s="32"/>
      <c r="W1421" s="32"/>
      <c r="X1421" s="32"/>
    </row>
    <row r="1422">
      <c r="A1422" s="40"/>
      <c r="B1422" s="40"/>
      <c r="C1422" s="40"/>
      <c r="D1422" s="78"/>
      <c r="E1422" s="79"/>
      <c r="F1422" s="40"/>
      <c r="G1422" s="78"/>
      <c r="H1422" s="78"/>
      <c r="I1422" s="80"/>
      <c r="J1422" s="80"/>
      <c r="K1422" s="79"/>
      <c r="L1422" s="25"/>
      <c r="M1422" s="25"/>
      <c r="N1422" s="63"/>
      <c r="O1422" s="63"/>
      <c r="P1422" s="63"/>
      <c r="Q1422" s="63"/>
      <c r="R1422" s="32"/>
      <c r="S1422" s="32"/>
      <c r="T1422" s="32"/>
      <c r="U1422" s="32"/>
      <c r="W1422" s="32"/>
      <c r="X1422" s="32"/>
    </row>
    <row r="1423">
      <c r="A1423" s="40"/>
      <c r="B1423" s="40"/>
      <c r="C1423" s="40"/>
      <c r="D1423" s="78"/>
      <c r="E1423" s="79"/>
      <c r="F1423" s="40"/>
      <c r="G1423" s="78"/>
      <c r="H1423" s="78"/>
      <c r="I1423" s="80"/>
      <c r="J1423" s="80"/>
      <c r="K1423" s="79"/>
      <c r="L1423" s="25"/>
      <c r="M1423" s="25"/>
      <c r="N1423" s="63"/>
      <c r="O1423" s="63"/>
      <c r="P1423" s="63"/>
      <c r="Q1423" s="63"/>
      <c r="R1423" s="32"/>
      <c r="S1423" s="32"/>
      <c r="T1423" s="32"/>
      <c r="U1423" s="32"/>
      <c r="W1423" s="32"/>
      <c r="X1423" s="32"/>
    </row>
    <row r="1424">
      <c r="A1424" s="40"/>
      <c r="B1424" s="40"/>
      <c r="C1424" s="40"/>
      <c r="D1424" s="78"/>
      <c r="E1424" s="79"/>
      <c r="F1424" s="40"/>
      <c r="G1424" s="78"/>
      <c r="H1424" s="78"/>
      <c r="I1424" s="80"/>
      <c r="J1424" s="80"/>
      <c r="K1424" s="79"/>
      <c r="L1424" s="25"/>
      <c r="M1424" s="25"/>
      <c r="N1424" s="63"/>
      <c r="O1424" s="63"/>
      <c r="P1424" s="63"/>
      <c r="Q1424" s="63"/>
      <c r="R1424" s="32"/>
      <c r="S1424" s="32"/>
      <c r="T1424" s="32"/>
      <c r="U1424" s="32"/>
      <c r="W1424" s="32"/>
      <c r="X1424" s="32"/>
    </row>
    <row r="1425">
      <c r="A1425" s="40"/>
      <c r="B1425" s="40"/>
      <c r="C1425" s="40"/>
      <c r="D1425" s="78"/>
      <c r="E1425" s="79"/>
      <c r="F1425" s="40"/>
      <c r="G1425" s="78"/>
      <c r="H1425" s="78"/>
      <c r="I1425" s="80"/>
      <c r="J1425" s="80"/>
      <c r="K1425" s="79"/>
      <c r="L1425" s="25"/>
      <c r="M1425" s="25"/>
      <c r="N1425" s="63"/>
      <c r="O1425" s="63"/>
      <c r="P1425" s="63"/>
      <c r="Q1425" s="63"/>
      <c r="R1425" s="32"/>
      <c r="S1425" s="32"/>
      <c r="T1425" s="32"/>
      <c r="U1425" s="32"/>
      <c r="W1425" s="32"/>
      <c r="X1425" s="32"/>
    </row>
    <row r="1426">
      <c r="A1426" s="40"/>
      <c r="B1426" s="40"/>
      <c r="C1426" s="40"/>
      <c r="D1426" s="78"/>
      <c r="E1426" s="79"/>
      <c r="F1426" s="40"/>
      <c r="G1426" s="78"/>
      <c r="H1426" s="78"/>
      <c r="I1426" s="80"/>
      <c r="J1426" s="80"/>
      <c r="K1426" s="79"/>
      <c r="L1426" s="25"/>
      <c r="M1426" s="25"/>
      <c r="N1426" s="63"/>
      <c r="O1426" s="63"/>
      <c r="P1426" s="63"/>
      <c r="Q1426" s="63"/>
      <c r="R1426" s="32"/>
      <c r="S1426" s="32"/>
      <c r="T1426" s="32"/>
      <c r="U1426" s="32"/>
      <c r="W1426" s="32"/>
      <c r="X1426" s="32"/>
    </row>
    <row r="1427">
      <c r="A1427" s="40"/>
      <c r="B1427" s="40"/>
      <c r="C1427" s="40"/>
      <c r="D1427" s="78"/>
      <c r="E1427" s="79"/>
      <c r="F1427" s="40"/>
      <c r="G1427" s="78"/>
      <c r="H1427" s="78"/>
      <c r="I1427" s="80"/>
      <c r="J1427" s="80"/>
      <c r="K1427" s="79"/>
      <c r="L1427" s="25"/>
      <c r="M1427" s="25"/>
      <c r="N1427" s="63"/>
      <c r="O1427" s="63"/>
      <c r="P1427" s="63"/>
      <c r="Q1427" s="63"/>
      <c r="R1427" s="32"/>
      <c r="S1427" s="32"/>
      <c r="T1427" s="32"/>
      <c r="U1427" s="32"/>
      <c r="W1427" s="32"/>
      <c r="X1427" s="32"/>
    </row>
    <row r="1428">
      <c r="A1428" s="40"/>
      <c r="B1428" s="40"/>
      <c r="C1428" s="40"/>
      <c r="D1428" s="78"/>
      <c r="E1428" s="79"/>
      <c r="F1428" s="40"/>
      <c r="G1428" s="78"/>
      <c r="H1428" s="78"/>
      <c r="I1428" s="80"/>
      <c r="J1428" s="80"/>
      <c r="K1428" s="79"/>
      <c r="L1428" s="25"/>
      <c r="M1428" s="25"/>
      <c r="N1428" s="63"/>
      <c r="O1428" s="63"/>
      <c r="P1428" s="63"/>
      <c r="Q1428" s="63"/>
      <c r="R1428" s="32"/>
      <c r="S1428" s="32"/>
      <c r="T1428" s="32"/>
      <c r="U1428" s="32"/>
      <c r="W1428" s="32"/>
      <c r="X1428" s="32"/>
    </row>
    <row r="1429">
      <c r="A1429" s="40"/>
      <c r="B1429" s="40"/>
      <c r="C1429" s="40"/>
      <c r="D1429" s="78"/>
      <c r="E1429" s="79"/>
      <c r="F1429" s="40"/>
      <c r="G1429" s="78"/>
      <c r="H1429" s="78"/>
      <c r="I1429" s="80"/>
      <c r="J1429" s="80"/>
      <c r="K1429" s="79"/>
      <c r="L1429" s="25"/>
      <c r="M1429" s="25"/>
      <c r="N1429" s="63"/>
      <c r="O1429" s="63"/>
      <c r="P1429" s="63"/>
      <c r="Q1429" s="63"/>
      <c r="R1429" s="32"/>
      <c r="S1429" s="32"/>
      <c r="T1429" s="32"/>
      <c r="U1429" s="32"/>
      <c r="W1429" s="32"/>
      <c r="X1429" s="32"/>
    </row>
    <row r="1430">
      <c r="A1430" s="40"/>
      <c r="B1430" s="40"/>
      <c r="C1430" s="40"/>
      <c r="D1430" s="78"/>
      <c r="E1430" s="79"/>
      <c r="F1430" s="40"/>
      <c r="G1430" s="78"/>
      <c r="H1430" s="78"/>
      <c r="I1430" s="80"/>
      <c r="J1430" s="80"/>
      <c r="K1430" s="79"/>
      <c r="L1430" s="25"/>
      <c r="M1430" s="25"/>
      <c r="N1430" s="63"/>
      <c r="O1430" s="63"/>
      <c r="P1430" s="63"/>
      <c r="Q1430" s="63"/>
      <c r="R1430" s="32"/>
      <c r="S1430" s="32"/>
      <c r="T1430" s="32"/>
      <c r="U1430" s="32"/>
      <c r="W1430" s="32"/>
      <c r="X1430" s="32"/>
    </row>
    <row r="1431">
      <c r="A1431" s="40"/>
      <c r="B1431" s="40"/>
      <c r="C1431" s="40"/>
      <c r="D1431" s="78"/>
      <c r="E1431" s="79"/>
      <c r="F1431" s="40"/>
      <c r="G1431" s="78"/>
      <c r="H1431" s="78"/>
      <c r="I1431" s="80"/>
      <c r="J1431" s="80"/>
      <c r="K1431" s="79"/>
      <c r="L1431" s="25"/>
      <c r="M1431" s="25"/>
      <c r="N1431" s="63"/>
      <c r="O1431" s="63"/>
      <c r="P1431" s="63"/>
      <c r="Q1431" s="63"/>
      <c r="R1431" s="32"/>
      <c r="S1431" s="32"/>
      <c r="T1431" s="32"/>
      <c r="U1431" s="32"/>
      <c r="W1431" s="32"/>
      <c r="X1431" s="32"/>
    </row>
    <row r="1432">
      <c r="A1432" s="40"/>
      <c r="B1432" s="40"/>
      <c r="C1432" s="40"/>
      <c r="D1432" s="78"/>
      <c r="E1432" s="79"/>
      <c r="F1432" s="40"/>
      <c r="G1432" s="78"/>
      <c r="H1432" s="78"/>
      <c r="I1432" s="80"/>
      <c r="J1432" s="80"/>
      <c r="K1432" s="79"/>
      <c r="L1432" s="25"/>
      <c r="M1432" s="25"/>
      <c r="N1432" s="63"/>
      <c r="O1432" s="63"/>
      <c r="P1432" s="63"/>
      <c r="Q1432" s="63"/>
      <c r="R1432" s="32"/>
      <c r="S1432" s="32"/>
      <c r="T1432" s="32"/>
      <c r="U1432" s="32"/>
      <c r="W1432" s="32"/>
      <c r="X1432" s="32"/>
    </row>
    <row r="1433">
      <c r="A1433" s="40"/>
      <c r="B1433" s="40"/>
      <c r="C1433" s="40"/>
      <c r="D1433" s="78"/>
      <c r="E1433" s="79"/>
      <c r="F1433" s="40"/>
      <c r="G1433" s="78"/>
      <c r="H1433" s="78"/>
      <c r="I1433" s="80"/>
      <c r="J1433" s="80"/>
      <c r="K1433" s="79"/>
      <c r="L1433" s="25"/>
      <c r="M1433" s="25"/>
      <c r="N1433" s="63"/>
      <c r="O1433" s="63"/>
      <c r="P1433" s="63"/>
      <c r="Q1433" s="63"/>
      <c r="R1433" s="32"/>
      <c r="S1433" s="32"/>
      <c r="T1433" s="32"/>
      <c r="U1433" s="32"/>
      <c r="W1433" s="32"/>
      <c r="X1433" s="32"/>
    </row>
    <row r="1434">
      <c r="A1434" s="40"/>
      <c r="B1434" s="40"/>
      <c r="C1434" s="40"/>
      <c r="D1434" s="78"/>
      <c r="E1434" s="79"/>
      <c r="F1434" s="40"/>
      <c r="G1434" s="78"/>
      <c r="H1434" s="78"/>
      <c r="I1434" s="80"/>
      <c r="J1434" s="80"/>
      <c r="K1434" s="79"/>
      <c r="L1434" s="25"/>
      <c r="M1434" s="25"/>
      <c r="N1434" s="63"/>
      <c r="O1434" s="63"/>
      <c r="P1434" s="63"/>
      <c r="Q1434" s="63"/>
      <c r="R1434" s="32"/>
      <c r="S1434" s="32"/>
      <c r="T1434" s="32"/>
      <c r="U1434" s="32"/>
      <c r="W1434" s="32"/>
      <c r="X1434" s="32"/>
    </row>
    <row r="1435">
      <c r="A1435" s="40"/>
      <c r="B1435" s="40"/>
      <c r="C1435" s="40"/>
      <c r="D1435" s="78"/>
      <c r="E1435" s="79"/>
      <c r="F1435" s="40"/>
      <c r="G1435" s="78"/>
      <c r="H1435" s="78"/>
      <c r="I1435" s="80"/>
      <c r="J1435" s="80"/>
      <c r="K1435" s="79"/>
      <c r="L1435" s="25"/>
      <c r="M1435" s="25"/>
      <c r="N1435" s="63"/>
      <c r="O1435" s="63"/>
      <c r="P1435" s="63"/>
      <c r="Q1435" s="63"/>
      <c r="R1435" s="32"/>
      <c r="S1435" s="32"/>
      <c r="T1435" s="32"/>
      <c r="U1435" s="32"/>
      <c r="W1435" s="32"/>
      <c r="X1435" s="32"/>
    </row>
    <row r="1436">
      <c r="A1436" s="40"/>
      <c r="B1436" s="40"/>
      <c r="C1436" s="40"/>
      <c r="D1436" s="78"/>
      <c r="E1436" s="79"/>
      <c r="F1436" s="40"/>
      <c r="G1436" s="78"/>
      <c r="H1436" s="78"/>
      <c r="I1436" s="80"/>
      <c r="J1436" s="80"/>
      <c r="K1436" s="79"/>
      <c r="L1436" s="25"/>
      <c r="M1436" s="25"/>
      <c r="N1436" s="63"/>
      <c r="O1436" s="63"/>
      <c r="P1436" s="63"/>
      <c r="Q1436" s="63"/>
      <c r="R1436" s="32"/>
      <c r="S1436" s="32"/>
      <c r="T1436" s="32"/>
      <c r="U1436" s="32"/>
      <c r="W1436" s="32"/>
      <c r="X1436" s="32"/>
    </row>
    <row r="1437">
      <c r="A1437" s="40"/>
      <c r="B1437" s="40"/>
      <c r="C1437" s="40"/>
      <c r="D1437" s="78"/>
      <c r="E1437" s="79"/>
      <c r="F1437" s="40"/>
      <c r="G1437" s="78"/>
      <c r="H1437" s="78"/>
      <c r="I1437" s="80"/>
      <c r="J1437" s="80"/>
      <c r="K1437" s="79"/>
      <c r="L1437" s="25"/>
      <c r="M1437" s="25"/>
      <c r="N1437" s="63"/>
      <c r="O1437" s="63"/>
      <c r="P1437" s="63"/>
      <c r="Q1437" s="63"/>
      <c r="R1437" s="32"/>
      <c r="S1437" s="32"/>
      <c r="T1437" s="32"/>
      <c r="U1437" s="32"/>
      <c r="W1437" s="32"/>
      <c r="X1437" s="32"/>
    </row>
    <row r="1438">
      <c r="A1438" s="40"/>
      <c r="B1438" s="40"/>
      <c r="C1438" s="40"/>
      <c r="D1438" s="78"/>
      <c r="E1438" s="79"/>
      <c r="F1438" s="40"/>
      <c r="G1438" s="78"/>
      <c r="H1438" s="78"/>
      <c r="I1438" s="80"/>
      <c r="J1438" s="80"/>
      <c r="K1438" s="79"/>
      <c r="L1438" s="25"/>
      <c r="M1438" s="25"/>
      <c r="N1438" s="63"/>
      <c r="O1438" s="63"/>
      <c r="P1438" s="63"/>
      <c r="Q1438" s="63"/>
      <c r="R1438" s="32"/>
      <c r="S1438" s="32"/>
      <c r="T1438" s="32"/>
      <c r="U1438" s="32"/>
      <c r="W1438" s="32"/>
      <c r="X1438" s="32"/>
    </row>
    <row r="1439">
      <c r="A1439" s="40"/>
      <c r="B1439" s="40"/>
      <c r="C1439" s="40"/>
      <c r="D1439" s="78"/>
      <c r="E1439" s="79"/>
      <c r="F1439" s="40"/>
      <c r="G1439" s="78"/>
      <c r="H1439" s="78"/>
      <c r="I1439" s="80"/>
      <c r="J1439" s="80"/>
      <c r="K1439" s="79"/>
      <c r="L1439" s="25"/>
      <c r="M1439" s="25"/>
      <c r="N1439" s="63"/>
      <c r="O1439" s="63"/>
      <c r="P1439" s="63"/>
      <c r="Q1439" s="63"/>
      <c r="R1439" s="32"/>
      <c r="S1439" s="32"/>
      <c r="T1439" s="32"/>
      <c r="U1439" s="32"/>
      <c r="W1439" s="32"/>
      <c r="X1439" s="32"/>
    </row>
    <row r="1440">
      <c r="A1440" s="40"/>
      <c r="B1440" s="40"/>
      <c r="C1440" s="40"/>
      <c r="D1440" s="78"/>
      <c r="E1440" s="79"/>
      <c r="F1440" s="40"/>
      <c r="G1440" s="78"/>
      <c r="H1440" s="78"/>
      <c r="I1440" s="80"/>
      <c r="J1440" s="80"/>
      <c r="K1440" s="79"/>
      <c r="L1440" s="25"/>
      <c r="M1440" s="25"/>
      <c r="N1440" s="63"/>
      <c r="O1440" s="63"/>
      <c r="P1440" s="63"/>
      <c r="Q1440" s="63"/>
      <c r="R1440" s="32"/>
      <c r="S1440" s="32"/>
      <c r="T1440" s="32"/>
      <c r="U1440" s="32"/>
      <c r="W1440" s="32"/>
      <c r="X1440" s="32"/>
    </row>
    <row r="1441">
      <c r="A1441" s="40"/>
      <c r="B1441" s="40"/>
      <c r="C1441" s="40"/>
      <c r="D1441" s="78"/>
      <c r="E1441" s="79"/>
      <c r="F1441" s="40"/>
      <c r="G1441" s="78"/>
      <c r="H1441" s="78"/>
      <c r="I1441" s="80"/>
      <c r="J1441" s="80"/>
      <c r="K1441" s="79"/>
      <c r="L1441" s="25"/>
      <c r="M1441" s="25"/>
      <c r="N1441" s="63"/>
      <c r="O1441" s="63"/>
      <c r="P1441" s="63"/>
      <c r="Q1441" s="63"/>
      <c r="R1441" s="32"/>
      <c r="S1441" s="32"/>
      <c r="T1441" s="32"/>
      <c r="U1441" s="32"/>
      <c r="W1441" s="32"/>
      <c r="X1441" s="32"/>
    </row>
    <row r="1442">
      <c r="A1442" s="40"/>
      <c r="B1442" s="40"/>
      <c r="C1442" s="40"/>
      <c r="D1442" s="78"/>
      <c r="E1442" s="79"/>
      <c r="F1442" s="40"/>
      <c r="G1442" s="78"/>
      <c r="H1442" s="78"/>
      <c r="I1442" s="80"/>
      <c r="J1442" s="80"/>
      <c r="K1442" s="79"/>
      <c r="L1442" s="25"/>
      <c r="M1442" s="25"/>
      <c r="N1442" s="63"/>
      <c r="O1442" s="63"/>
      <c r="P1442" s="63"/>
      <c r="Q1442" s="63"/>
      <c r="R1442" s="32"/>
      <c r="S1442" s="32"/>
      <c r="T1442" s="32"/>
      <c r="U1442" s="32"/>
      <c r="W1442" s="32"/>
      <c r="X1442" s="32"/>
    </row>
    <row r="1443">
      <c r="A1443" s="40"/>
      <c r="B1443" s="40"/>
      <c r="C1443" s="40"/>
      <c r="D1443" s="78"/>
      <c r="E1443" s="79"/>
      <c r="F1443" s="40"/>
      <c r="G1443" s="78"/>
      <c r="H1443" s="78"/>
      <c r="I1443" s="80"/>
      <c r="J1443" s="80"/>
      <c r="K1443" s="79"/>
      <c r="L1443" s="25"/>
      <c r="M1443" s="25"/>
      <c r="N1443" s="63"/>
      <c r="O1443" s="63"/>
      <c r="P1443" s="63"/>
      <c r="Q1443" s="63"/>
      <c r="R1443" s="32"/>
      <c r="S1443" s="32"/>
      <c r="T1443" s="32"/>
      <c r="U1443" s="32"/>
      <c r="W1443" s="32"/>
      <c r="X1443" s="32"/>
    </row>
    <row r="1444">
      <c r="A1444" s="40"/>
      <c r="B1444" s="40"/>
      <c r="C1444" s="40"/>
      <c r="D1444" s="78"/>
      <c r="E1444" s="79"/>
      <c r="F1444" s="40"/>
      <c r="G1444" s="78"/>
      <c r="H1444" s="78"/>
      <c r="I1444" s="80"/>
      <c r="J1444" s="80"/>
      <c r="K1444" s="79"/>
      <c r="L1444" s="25"/>
      <c r="M1444" s="25"/>
      <c r="N1444" s="63"/>
      <c r="O1444" s="63"/>
      <c r="P1444" s="63"/>
      <c r="Q1444" s="63"/>
      <c r="R1444" s="32"/>
      <c r="S1444" s="32"/>
      <c r="T1444" s="32"/>
      <c r="U1444" s="32"/>
      <c r="W1444" s="32"/>
      <c r="X1444" s="32"/>
    </row>
    <row r="1445">
      <c r="A1445" s="40"/>
      <c r="B1445" s="40"/>
      <c r="C1445" s="40"/>
      <c r="D1445" s="78"/>
      <c r="E1445" s="79"/>
      <c r="F1445" s="40"/>
      <c r="G1445" s="78"/>
      <c r="H1445" s="78"/>
      <c r="I1445" s="80"/>
      <c r="J1445" s="80"/>
      <c r="K1445" s="79"/>
      <c r="L1445" s="25"/>
      <c r="M1445" s="25"/>
      <c r="N1445" s="63"/>
      <c r="O1445" s="63"/>
      <c r="P1445" s="63"/>
      <c r="Q1445" s="63"/>
      <c r="R1445" s="32"/>
      <c r="S1445" s="32"/>
      <c r="T1445" s="32"/>
      <c r="U1445" s="32"/>
      <c r="W1445" s="32"/>
      <c r="X1445" s="32"/>
    </row>
    <row r="1446">
      <c r="A1446" s="40"/>
      <c r="B1446" s="40"/>
      <c r="C1446" s="40"/>
      <c r="D1446" s="78"/>
      <c r="E1446" s="79"/>
      <c r="F1446" s="40"/>
      <c r="G1446" s="78"/>
      <c r="H1446" s="78"/>
      <c r="I1446" s="80"/>
      <c r="J1446" s="80"/>
      <c r="K1446" s="79"/>
      <c r="L1446" s="25"/>
      <c r="M1446" s="25"/>
      <c r="N1446" s="63"/>
      <c r="O1446" s="63"/>
      <c r="P1446" s="63"/>
      <c r="Q1446" s="63"/>
      <c r="R1446" s="32"/>
      <c r="S1446" s="32"/>
      <c r="T1446" s="32"/>
      <c r="U1446" s="32"/>
      <c r="W1446" s="32"/>
      <c r="X1446" s="32"/>
    </row>
    <row r="1447">
      <c r="A1447" s="40"/>
      <c r="B1447" s="40"/>
      <c r="C1447" s="40"/>
      <c r="D1447" s="78"/>
      <c r="E1447" s="79"/>
      <c r="F1447" s="40"/>
      <c r="G1447" s="78"/>
      <c r="H1447" s="78"/>
      <c r="I1447" s="80"/>
      <c r="J1447" s="80"/>
      <c r="K1447" s="79"/>
      <c r="L1447" s="25"/>
      <c r="M1447" s="25"/>
      <c r="N1447" s="63"/>
      <c r="O1447" s="63"/>
      <c r="P1447" s="63"/>
      <c r="Q1447" s="63"/>
      <c r="R1447" s="32"/>
      <c r="S1447" s="32"/>
      <c r="T1447" s="32"/>
      <c r="U1447" s="32"/>
      <c r="W1447" s="32"/>
      <c r="X1447" s="32"/>
    </row>
    <row r="1448">
      <c r="A1448" s="40"/>
      <c r="B1448" s="40"/>
      <c r="C1448" s="40"/>
      <c r="D1448" s="78"/>
      <c r="E1448" s="79"/>
      <c r="F1448" s="40"/>
      <c r="G1448" s="78"/>
      <c r="H1448" s="78"/>
      <c r="I1448" s="80"/>
      <c r="J1448" s="80"/>
      <c r="K1448" s="79"/>
      <c r="L1448" s="25"/>
      <c r="M1448" s="25"/>
      <c r="N1448" s="63"/>
      <c r="O1448" s="63"/>
      <c r="P1448" s="63"/>
      <c r="Q1448" s="63"/>
      <c r="R1448" s="32"/>
      <c r="S1448" s="32"/>
      <c r="T1448" s="32"/>
      <c r="U1448" s="32"/>
      <c r="W1448" s="32"/>
      <c r="X1448" s="32"/>
    </row>
    <row r="1449">
      <c r="A1449" s="40"/>
      <c r="B1449" s="40"/>
      <c r="C1449" s="40"/>
      <c r="D1449" s="78"/>
      <c r="E1449" s="79"/>
      <c r="F1449" s="40"/>
      <c r="G1449" s="78"/>
      <c r="H1449" s="78"/>
      <c r="I1449" s="80"/>
      <c r="J1449" s="80"/>
      <c r="K1449" s="79"/>
      <c r="L1449" s="25"/>
      <c r="M1449" s="25"/>
      <c r="N1449" s="63"/>
      <c r="O1449" s="63"/>
      <c r="P1449" s="63"/>
      <c r="Q1449" s="63"/>
      <c r="R1449" s="32"/>
      <c r="S1449" s="32"/>
      <c r="T1449" s="32"/>
      <c r="U1449" s="32"/>
      <c r="W1449" s="32"/>
      <c r="X1449" s="32"/>
    </row>
    <row r="1450">
      <c r="A1450" s="40"/>
      <c r="B1450" s="40"/>
      <c r="C1450" s="40"/>
      <c r="D1450" s="78"/>
      <c r="E1450" s="79"/>
      <c r="F1450" s="40"/>
      <c r="G1450" s="78"/>
      <c r="H1450" s="78"/>
      <c r="I1450" s="80"/>
      <c r="J1450" s="80"/>
      <c r="K1450" s="79"/>
      <c r="L1450" s="25"/>
      <c r="M1450" s="25"/>
      <c r="N1450" s="63"/>
      <c r="O1450" s="63"/>
      <c r="P1450" s="63"/>
      <c r="Q1450" s="63"/>
      <c r="R1450" s="32"/>
      <c r="S1450" s="32"/>
      <c r="T1450" s="32"/>
      <c r="U1450" s="32"/>
      <c r="W1450" s="32"/>
      <c r="X1450" s="32"/>
    </row>
    <row r="1451">
      <c r="A1451" s="40"/>
      <c r="B1451" s="40"/>
      <c r="C1451" s="40"/>
      <c r="D1451" s="78"/>
      <c r="E1451" s="79"/>
      <c r="F1451" s="40"/>
      <c r="G1451" s="78"/>
      <c r="H1451" s="78"/>
      <c r="I1451" s="80"/>
      <c r="J1451" s="80"/>
      <c r="K1451" s="79"/>
      <c r="L1451" s="25"/>
      <c r="M1451" s="25"/>
      <c r="N1451" s="63"/>
      <c r="O1451" s="63"/>
      <c r="P1451" s="63"/>
      <c r="Q1451" s="63"/>
      <c r="R1451" s="32"/>
      <c r="S1451" s="32"/>
      <c r="T1451" s="32"/>
      <c r="U1451" s="32"/>
      <c r="W1451" s="32"/>
      <c r="X1451" s="32"/>
    </row>
    <row r="1452">
      <c r="A1452" s="40"/>
      <c r="B1452" s="40"/>
      <c r="C1452" s="40"/>
      <c r="D1452" s="78"/>
      <c r="E1452" s="79"/>
      <c r="F1452" s="40"/>
      <c r="G1452" s="78"/>
      <c r="H1452" s="78"/>
      <c r="I1452" s="80"/>
      <c r="J1452" s="80"/>
      <c r="K1452" s="79"/>
      <c r="L1452" s="25"/>
      <c r="M1452" s="25"/>
      <c r="N1452" s="63"/>
      <c r="O1452" s="63"/>
      <c r="P1452" s="63"/>
      <c r="Q1452" s="63"/>
      <c r="R1452" s="32"/>
      <c r="S1452" s="32"/>
      <c r="T1452" s="32"/>
      <c r="U1452" s="32"/>
      <c r="W1452" s="32"/>
      <c r="X1452" s="32"/>
    </row>
    <row r="1453">
      <c r="A1453" s="40"/>
      <c r="B1453" s="40"/>
      <c r="C1453" s="40"/>
      <c r="D1453" s="78"/>
      <c r="E1453" s="79"/>
      <c r="F1453" s="40"/>
      <c r="G1453" s="78"/>
      <c r="H1453" s="78"/>
      <c r="I1453" s="80"/>
      <c r="J1453" s="80"/>
      <c r="K1453" s="79"/>
      <c r="L1453" s="25"/>
      <c r="M1453" s="25"/>
      <c r="N1453" s="63"/>
      <c r="O1453" s="63"/>
      <c r="P1453" s="63"/>
      <c r="Q1453" s="63"/>
      <c r="R1453" s="32"/>
      <c r="S1453" s="32"/>
      <c r="T1453" s="32"/>
      <c r="U1453" s="32"/>
      <c r="W1453" s="32"/>
      <c r="X1453" s="32"/>
    </row>
    <row r="1454">
      <c r="A1454" s="40"/>
      <c r="B1454" s="40"/>
      <c r="C1454" s="40"/>
      <c r="D1454" s="78"/>
      <c r="E1454" s="79"/>
      <c r="F1454" s="40"/>
      <c r="G1454" s="78"/>
      <c r="H1454" s="78"/>
      <c r="I1454" s="80"/>
      <c r="J1454" s="80"/>
      <c r="K1454" s="79"/>
      <c r="L1454" s="25"/>
      <c r="M1454" s="25"/>
      <c r="N1454" s="63"/>
      <c r="O1454" s="63"/>
      <c r="P1454" s="63"/>
      <c r="Q1454" s="63"/>
      <c r="R1454" s="32"/>
      <c r="S1454" s="32"/>
      <c r="T1454" s="32"/>
      <c r="U1454" s="32"/>
      <c r="W1454" s="32"/>
      <c r="X1454" s="32"/>
    </row>
    <row r="1455">
      <c r="A1455" s="40"/>
      <c r="B1455" s="40"/>
      <c r="C1455" s="40"/>
      <c r="D1455" s="78"/>
      <c r="E1455" s="79"/>
      <c r="F1455" s="40"/>
      <c r="G1455" s="78"/>
      <c r="H1455" s="78"/>
      <c r="I1455" s="80"/>
      <c r="J1455" s="80"/>
      <c r="K1455" s="79"/>
      <c r="L1455" s="25"/>
      <c r="M1455" s="25"/>
      <c r="N1455" s="63"/>
      <c r="O1455" s="63"/>
      <c r="P1455" s="63"/>
      <c r="Q1455" s="63"/>
      <c r="R1455" s="32"/>
      <c r="S1455" s="32"/>
      <c r="T1455" s="32"/>
      <c r="U1455" s="32"/>
      <c r="W1455" s="32"/>
      <c r="X1455" s="32"/>
    </row>
    <row r="1456">
      <c r="A1456" s="40"/>
      <c r="B1456" s="40"/>
      <c r="C1456" s="40"/>
      <c r="D1456" s="78"/>
      <c r="E1456" s="79"/>
      <c r="F1456" s="40"/>
      <c r="G1456" s="78"/>
      <c r="H1456" s="78"/>
      <c r="I1456" s="80"/>
      <c r="J1456" s="80"/>
      <c r="K1456" s="79"/>
      <c r="L1456" s="25"/>
      <c r="M1456" s="25"/>
      <c r="N1456" s="63"/>
      <c r="O1456" s="63"/>
      <c r="P1456" s="63"/>
      <c r="Q1456" s="63"/>
      <c r="R1456" s="32"/>
      <c r="S1456" s="32"/>
      <c r="T1456" s="32"/>
      <c r="U1456" s="32"/>
      <c r="W1456" s="32"/>
      <c r="X1456" s="32"/>
    </row>
    <row r="1457">
      <c r="A1457" s="40"/>
      <c r="B1457" s="40"/>
      <c r="C1457" s="40"/>
      <c r="D1457" s="78"/>
      <c r="E1457" s="79"/>
      <c r="F1457" s="40"/>
      <c r="G1457" s="78"/>
      <c r="H1457" s="78"/>
      <c r="I1457" s="80"/>
      <c r="J1457" s="80"/>
      <c r="K1457" s="79"/>
      <c r="L1457" s="25"/>
      <c r="M1457" s="25"/>
      <c r="N1457" s="63"/>
      <c r="O1457" s="63"/>
      <c r="P1457" s="63"/>
      <c r="Q1457" s="63"/>
      <c r="R1457" s="32"/>
      <c r="S1457" s="32"/>
      <c r="T1457" s="32"/>
      <c r="U1457" s="32"/>
      <c r="W1457" s="32"/>
      <c r="X1457" s="32"/>
    </row>
    <row r="1458">
      <c r="A1458" s="40"/>
      <c r="B1458" s="40"/>
      <c r="C1458" s="40"/>
      <c r="D1458" s="78"/>
      <c r="E1458" s="79"/>
      <c r="F1458" s="40"/>
      <c r="G1458" s="78"/>
      <c r="H1458" s="78"/>
      <c r="I1458" s="80"/>
      <c r="J1458" s="80"/>
      <c r="K1458" s="79"/>
      <c r="L1458" s="25"/>
      <c r="M1458" s="25"/>
      <c r="N1458" s="63"/>
      <c r="O1458" s="63"/>
      <c r="P1458" s="63"/>
      <c r="Q1458" s="63"/>
      <c r="R1458" s="32"/>
      <c r="S1458" s="32"/>
      <c r="T1458" s="32"/>
      <c r="U1458" s="32"/>
      <c r="W1458" s="32"/>
      <c r="X1458" s="32"/>
    </row>
    <row r="1459">
      <c r="A1459" s="40"/>
      <c r="B1459" s="40"/>
      <c r="C1459" s="40"/>
      <c r="D1459" s="78"/>
      <c r="E1459" s="79"/>
      <c r="F1459" s="40"/>
      <c r="G1459" s="78"/>
      <c r="H1459" s="78"/>
      <c r="I1459" s="80"/>
      <c r="J1459" s="80"/>
      <c r="K1459" s="79"/>
      <c r="L1459" s="25"/>
      <c r="M1459" s="25"/>
      <c r="N1459" s="63"/>
      <c r="O1459" s="63"/>
      <c r="P1459" s="63"/>
      <c r="Q1459" s="63"/>
      <c r="R1459" s="32"/>
      <c r="S1459" s="32"/>
      <c r="T1459" s="32"/>
      <c r="U1459" s="32"/>
      <c r="W1459" s="32"/>
      <c r="X1459" s="32"/>
    </row>
    <row r="1460">
      <c r="A1460" s="40"/>
      <c r="B1460" s="40"/>
      <c r="C1460" s="40"/>
      <c r="D1460" s="78"/>
      <c r="E1460" s="79"/>
      <c r="F1460" s="40"/>
      <c r="G1460" s="78"/>
      <c r="H1460" s="78"/>
      <c r="I1460" s="80"/>
      <c r="J1460" s="80"/>
      <c r="K1460" s="79"/>
      <c r="L1460" s="25"/>
      <c r="M1460" s="25"/>
      <c r="N1460" s="63"/>
      <c r="O1460" s="63"/>
      <c r="P1460" s="63"/>
      <c r="Q1460" s="63"/>
      <c r="R1460" s="32"/>
      <c r="S1460" s="32"/>
      <c r="T1460" s="32"/>
      <c r="U1460" s="32"/>
      <c r="W1460" s="32"/>
      <c r="X1460" s="32"/>
    </row>
    <row r="1461">
      <c r="A1461" s="40"/>
      <c r="B1461" s="40"/>
      <c r="C1461" s="40"/>
      <c r="D1461" s="78"/>
      <c r="E1461" s="79"/>
      <c r="F1461" s="40"/>
      <c r="G1461" s="78"/>
      <c r="H1461" s="78"/>
      <c r="I1461" s="80"/>
      <c r="J1461" s="80"/>
      <c r="K1461" s="79"/>
      <c r="L1461" s="25"/>
      <c r="M1461" s="25"/>
      <c r="N1461" s="63"/>
      <c r="O1461" s="63"/>
      <c r="P1461" s="63"/>
      <c r="Q1461" s="63"/>
      <c r="R1461" s="32"/>
      <c r="S1461" s="32"/>
      <c r="T1461" s="32"/>
      <c r="U1461" s="32"/>
      <c r="W1461" s="32"/>
      <c r="X1461" s="32"/>
    </row>
    <row r="1462">
      <c r="A1462" s="40"/>
      <c r="B1462" s="40"/>
      <c r="C1462" s="40"/>
      <c r="D1462" s="78"/>
      <c r="E1462" s="79"/>
      <c r="F1462" s="40"/>
      <c r="G1462" s="78"/>
      <c r="H1462" s="78"/>
      <c r="I1462" s="80"/>
      <c r="J1462" s="80"/>
      <c r="K1462" s="79"/>
      <c r="L1462" s="25"/>
      <c r="M1462" s="25"/>
      <c r="N1462" s="63"/>
      <c r="O1462" s="63"/>
      <c r="P1462" s="63"/>
      <c r="Q1462" s="63"/>
      <c r="R1462" s="32"/>
      <c r="S1462" s="32"/>
      <c r="T1462" s="32"/>
      <c r="U1462" s="32"/>
      <c r="W1462" s="32"/>
      <c r="X1462" s="32"/>
    </row>
    <row r="1463">
      <c r="A1463" s="40"/>
      <c r="B1463" s="40"/>
      <c r="C1463" s="40"/>
      <c r="D1463" s="78"/>
      <c r="E1463" s="79"/>
      <c r="F1463" s="40"/>
      <c r="G1463" s="78"/>
      <c r="H1463" s="78"/>
      <c r="I1463" s="80"/>
      <c r="J1463" s="80"/>
      <c r="K1463" s="79"/>
      <c r="L1463" s="25"/>
      <c r="M1463" s="25"/>
      <c r="N1463" s="63"/>
      <c r="O1463" s="63"/>
      <c r="P1463" s="63"/>
      <c r="Q1463" s="63"/>
      <c r="R1463" s="32"/>
      <c r="S1463" s="32"/>
      <c r="T1463" s="32"/>
      <c r="U1463" s="32"/>
      <c r="W1463" s="32"/>
      <c r="X1463" s="32"/>
    </row>
    <row r="1464">
      <c r="A1464" s="40"/>
      <c r="B1464" s="40"/>
      <c r="C1464" s="40"/>
      <c r="D1464" s="78"/>
      <c r="E1464" s="79"/>
      <c r="F1464" s="40"/>
      <c r="G1464" s="78"/>
      <c r="H1464" s="78"/>
      <c r="I1464" s="80"/>
      <c r="J1464" s="80"/>
      <c r="K1464" s="79"/>
      <c r="L1464" s="25"/>
      <c r="M1464" s="25"/>
      <c r="N1464" s="63"/>
      <c r="O1464" s="63"/>
      <c r="P1464" s="63"/>
      <c r="Q1464" s="63"/>
      <c r="R1464" s="32"/>
      <c r="S1464" s="32"/>
      <c r="T1464" s="32"/>
      <c r="U1464" s="32"/>
      <c r="W1464" s="32"/>
      <c r="X1464" s="32"/>
    </row>
    <row r="1465">
      <c r="A1465" s="40"/>
      <c r="B1465" s="40"/>
      <c r="C1465" s="40"/>
      <c r="D1465" s="78"/>
      <c r="E1465" s="79"/>
      <c r="F1465" s="40"/>
      <c r="G1465" s="78"/>
      <c r="H1465" s="78"/>
      <c r="I1465" s="80"/>
      <c r="J1465" s="80"/>
      <c r="K1465" s="79"/>
      <c r="L1465" s="25"/>
      <c r="M1465" s="25"/>
      <c r="N1465" s="63"/>
      <c r="O1465" s="63"/>
      <c r="P1465" s="63"/>
      <c r="Q1465" s="63"/>
      <c r="R1465" s="32"/>
      <c r="S1465" s="32"/>
      <c r="T1465" s="32"/>
      <c r="U1465" s="32"/>
      <c r="W1465" s="32"/>
      <c r="X1465" s="32"/>
    </row>
    <row r="1466">
      <c r="A1466" s="40"/>
      <c r="B1466" s="40"/>
      <c r="C1466" s="40"/>
      <c r="D1466" s="78"/>
      <c r="E1466" s="79"/>
      <c r="F1466" s="40"/>
      <c r="G1466" s="78"/>
      <c r="H1466" s="78"/>
      <c r="I1466" s="80"/>
      <c r="J1466" s="80"/>
      <c r="K1466" s="79"/>
      <c r="L1466" s="25"/>
      <c r="M1466" s="25"/>
      <c r="N1466" s="63"/>
      <c r="O1466" s="63"/>
      <c r="P1466" s="63"/>
      <c r="Q1466" s="63"/>
      <c r="R1466" s="32"/>
      <c r="S1466" s="32"/>
      <c r="T1466" s="32"/>
      <c r="U1466" s="32"/>
      <c r="W1466" s="32"/>
      <c r="X1466" s="32"/>
    </row>
    <row r="1467">
      <c r="A1467" s="40"/>
      <c r="B1467" s="40"/>
      <c r="C1467" s="40"/>
      <c r="D1467" s="78"/>
      <c r="E1467" s="79"/>
      <c r="F1467" s="40"/>
      <c r="G1467" s="78"/>
      <c r="H1467" s="78"/>
      <c r="I1467" s="80"/>
      <c r="J1467" s="80"/>
      <c r="K1467" s="79"/>
      <c r="L1467" s="25"/>
      <c r="M1467" s="25"/>
      <c r="N1467" s="63"/>
      <c r="O1467" s="63"/>
      <c r="P1467" s="63"/>
      <c r="Q1467" s="63"/>
      <c r="R1467" s="32"/>
      <c r="S1467" s="32"/>
      <c r="T1467" s="32"/>
      <c r="U1467" s="32"/>
      <c r="W1467" s="32"/>
      <c r="X1467" s="32"/>
    </row>
    <row r="1468">
      <c r="A1468" s="40"/>
      <c r="B1468" s="40"/>
      <c r="C1468" s="40"/>
      <c r="D1468" s="78"/>
      <c r="E1468" s="79"/>
      <c r="F1468" s="40"/>
      <c r="G1468" s="78"/>
      <c r="H1468" s="78"/>
      <c r="I1468" s="80"/>
      <c r="J1468" s="80"/>
      <c r="K1468" s="79"/>
      <c r="L1468" s="25"/>
      <c r="M1468" s="25"/>
      <c r="N1468" s="63"/>
      <c r="O1468" s="63"/>
      <c r="P1468" s="63"/>
      <c r="Q1468" s="63"/>
      <c r="R1468" s="32"/>
      <c r="S1468" s="32"/>
      <c r="T1468" s="32"/>
      <c r="U1468" s="32"/>
      <c r="W1468" s="32"/>
      <c r="X1468" s="32"/>
    </row>
    <row r="1469">
      <c r="A1469" s="40"/>
      <c r="B1469" s="40"/>
      <c r="C1469" s="40"/>
      <c r="D1469" s="78"/>
      <c r="E1469" s="79"/>
      <c r="F1469" s="40"/>
      <c r="G1469" s="78"/>
      <c r="H1469" s="78"/>
      <c r="I1469" s="80"/>
      <c r="J1469" s="80"/>
      <c r="K1469" s="79"/>
      <c r="L1469" s="25"/>
      <c r="M1469" s="25"/>
      <c r="N1469" s="63"/>
      <c r="O1469" s="63"/>
      <c r="P1469" s="63"/>
      <c r="Q1469" s="63"/>
      <c r="R1469" s="32"/>
      <c r="S1469" s="32"/>
      <c r="T1469" s="32"/>
      <c r="U1469" s="32"/>
      <c r="W1469" s="32"/>
      <c r="X1469" s="32"/>
    </row>
    <row r="1470">
      <c r="A1470" s="40"/>
      <c r="B1470" s="40"/>
      <c r="C1470" s="40"/>
      <c r="D1470" s="78"/>
      <c r="E1470" s="79"/>
      <c r="F1470" s="40"/>
      <c r="G1470" s="78"/>
      <c r="H1470" s="78"/>
      <c r="I1470" s="80"/>
      <c r="J1470" s="80"/>
      <c r="K1470" s="79"/>
      <c r="L1470" s="25"/>
      <c r="M1470" s="25"/>
      <c r="N1470" s="63"/>
      <c r="O1470" s="63"/>
      <c r="P1470" s="63"/>
      <c r="Q1470" s="63"/>
      <c r="R1470" s="32"/>
      <c r="S1470" s="32"/>
      <c r="T1470" s="32"/>
      <c r="U1470" s="32"/>
      <c r="W1470" s="32"/>
      <c r="X1470" s="32"/>
    </row>
    <row r="1471">
      <c r="A1471" s="40"/>
      <c r="B1471" s="40"/>
      <c r="C1471" s="40"/>
      <c r="D1471" s="78"/>
      <c r="E1471" s="79"/>
      <c r="F1471" s="40"/>
      <c r="G1471" s="78"/>
      <c r="H1471" s="78"/>
      <c r="I1471" s="80"/>
      <c r="J1471" s="80"/>
      <c r="K1471" s="79"/>
      <c r="L1471" s="25"/>
      <c r="M1471" s="25"/>
      <c r="N1471" s="63"/>
      <c r="O1471" s="63"/>
      <c r="P1471" s="63"/>
      <c r="Q1471" s="63"/>
      <c r="R1471" s="32"/>
      <c r="S1471" s="32"/>
      <c r="T1471" s="32"/>
      <c r="U1471" s="32"/>
      <c r="W1471" s="32"/>
      <c r="X1471" s="32"/>
    </row>
    <row r="1472">
      <c r="A1472" s="40"/>
      <c r="B1472" s="40"/>
      <c r="C1472" s="40"/>
      <c r="D1472" s="78"/>
      <c r="E1472" s="79"/>
      <c r="F1472" s="40"/>
      <c r="G1472" s="78"/>
      <c r="H1472" s="78"/>
      <c r="I1472" s="80"/>
      <c r="J1472" s="80"/>
      <c r="K1472" s="79"/>
      <c r="L1472" s="25"/>
      <c r="M1472" s="25"/>
      <c r="N1472" s="63"/>
      <c r="O1472" s="63"/>
      <c r="P1472" s="63"/>
      <c r="Q1472" s="63"/>
      <c r="R1472" s="32"/>
      <c r="S1472" s="32"/>
      <c r="T1472" s="32"/>
      <c r="U1472" s="32"/>
      <c r="W1472" s="32"/>
      <c r="X1472" s="32"/>
    </row>
    <row r="1473">
      <c r="A1473" s="40"/>
      <c r="B1473" s="40"/>
      <c r="C1473" s="40"/>
      <c r="D1473" s="78"/>
      <c r="E1473" s="79"/>
      <c r="F1473" s="40"/>
      <c r="G1473" s="78"/>
      <c r="H1473" s="78"/>
      <c r="I1473" s="80"/>
      <c r="J1473" s="80"/>
      <c r="K1473" s="79"/>
      <c r="L1473" s="25"/>
      <c r="M1473" s="25"/>
      <c r="N1473" s="63"/>
      <c r="O1473" s="63"/>
      <c r="P1473" s="63"/>
      <c r="Q1473" s="63"/>
      <c r="R1473" s="32"/>
      <c r="S1473" s="32"/>
      <c r="T1473" s="32"/>
      <c r="U1473" s="32"/>
      <c r="W1473" s="32"/>
      <c r="X1473" s="32"/>
    </row>
    <row r="1474">
      <c r="A1474" s="40"/>
      <c r="B1474" s="40"/>
      <c r="C1474" s="40"/>
      <c r="D1474" s="78"/>
      <c r="E1474" s="79"/>
      <c r="F1474" s="40"/>
      <c r="G1474" s="78"/>
      <c r="H1474" s="78"/>
      <c r="I1474" s="80"/>
      <c r="J1474" s="80"/>
      <c r="K1474" s="79"/>
      <c r="L1474" s="25"/>
      <c r="M1474" s="25"/>
      <c r="N1474" s="63"/>
      <c r="O1474" s="63"/>
      <c r="P1474" s="63"/>
      <c r="Q1474" s="63"/>
      <c r="R1474" s="32"/>
      <c r="S1474" s="32"/>
      <c r="T1474" s="32"/>
      <c r="U1474" s="32"/>
      <c r="W1474" s="32"/>
      <c r="X1474" s="32"/>
    </row>
    <row r="1475">
      <c r="A1475" s="40"/>
      <c r="B1475" s="40"/>
      <c r="C1475" s="40"/>
      <c r="D1475" s="78"/>
      <c r="E1475" s="79"/>
      <c r="F1475" s="40"/>
      <c r="G1475" s="78"/>
      <c r="H1475" s="78"/>
      <c r="I1475" s="80"/>
      <c r="J1475" s="80"/>
      <c r="K1475" s="79"/>
      <c r="L1475" s="25"/>
      <c r="M1475" s="25"/>
      <c r="N1475" s="63"/>
      <c r="O1475" s="63"/>
      <c r="P1475" s="63"/>
      <c r="Q1475" s="63"/>
      <c r="R1475" s="32"/>
      <c r="S1475" s="32"/>
      <c r="T1475" s="32"/>
      <c r="U1475" s="32"/>
      <c r="W1475" s="32"/>
      <c r="X1475" s="32"/>
    </row>
    <row r="1476">
      <c r="A1476" s="40"/>
      <c r="B1476" s="40"/>
      <c r="C1476" s="40"/>
      <c r="D1476" s="78"/>
      <c r="E1476" s="79"/>
      <c r="F1476" s="40"/>
      <c r="G1476" s="78"/>
      <c r="H1476" s="78"/>
      <c r="I1476" s="80"/>
      <c r="J1476" s="80"/>
      <c r="K1476" s="79"/>
      <c r="L1476" s="25"/>
      <c r="M1476" s="25"/>
      <c r="N1476" s="63"/>
      <c r="O1476" s="63"/>
      <c r="P1476" s="63"/>
      <c r="Q1476" s="63"/>
      <c r="R1476" s="32"/>
      <c r="S1476" s="32"/>
      <c r="T1476" s="32"/>
      <c r="U1476" s="32"/>
      <c r="W1476" s="32"/>
      <c r="X1476" s="32"/>
    </row>
    <row r="1477">
      <c r="A1477" s="40"/>
      <c r="B1477" s="40"/>
      <c r="C1477" s="40"/>
      <c r="D1477" s="78"/>
      <c r="E1477" s="79"/>
      <c r="F1477" s="40"/>
      <c r="G1477" s="78"/>
      <c r="H1477" s="78"/>
      <c r="I1477" s="80"/>
      <c r="J1477" s="80"/>
      <c r="K1477" s="79"/>
      <c r="L1477" s="25"/>
      <c r="M1477" s="25"/>
      <c r="N1477" s="63"/>
      <c r="O1477" s="63"/>
      <c r="P1477" s="63"/>
      <c r="Q1477" s="63"/>
      <c r="R1477" s="32"/>
      <c r="S1477" s="32"/>
      <c r="T1477" s="32"/>
      <c r="U1477" s="32"/>
      <c r="W1477" s="32"/>
      <c r="X1477" s="32"/>
    </row>
    <row r="1478">
      <c r="A1478" s="40"/>
      <c r="B1478" s="40"/>
      <c r="C1478" s="40"/>
      <c r="D1478" s="78"/>
      <c r="E1478" s="79"/>
      <c r="F1478" s="40"/>
      <c r="G1478" s="78"/>
      <c r="H1478" s="78"/>
      <c r="I1478" s="80"/>
      <c r="J1478" s="80"/>
      <c r="K1478" s="79"/>
      <c r="L1478" s="25"/>
      <c r="M1478" s="25"/>
      <c r="N1478" s="63"/>
      <c r="O1478" s="63"/>
      <c r="P1478" s="63"/>
      <c r="Q1478" s="63"/>
      <c r="R1478" s="32"/>
      <c r="S1478" s="32"/>
      <c r="T1478" s="32"/>
      <c r="U1478" s="32"/>
      <c r="W1478" s="32"/>
      <c r="X1478" s="32"/>
    </row>
    <row r="1479">
      <c r="A1479" s="40"/>
      <c r="B1479" s="40"/>
      <c r="C1479" s="40"/>
      <c r="D1479" s="78"/>
      <c r="E1479" s="79"/>
      <c r="F1479" s="40"/>
      <c r="G1479" s="78"/>
      <c r="H1479" s="78"/>
      <c r="I1479" s="80"/>
      <c r="J1479" s="80"/>
      <c r="K1479" s="79"/>
      <c r="L1479" s="25"/>
      <c r="M1479" s="25"/>
      <c r="N1479" s="63"/>
      <c r="O1479" s="63"/>
      <c r="P1479" s="63"/>
      <c r="Q1479" s="63"/>
      <c r="R1479" s="32"/>
      <c r="S1479" s="32"/>
      <c r="T1479" s="32"/>
      <c r="U1479" s="32"/>
      <c r="W1479" s="32"/>
      <c r="X1479" s="32"/>
    </row>
    <row r="1480">
      <c r="A1480" s="40"/>
      <c r="B1480" s="40"/>
      <c r="C1480" s="40"/>
      <c r="D1480" s="78"/>
      <c r="E1480" s="79"/>
      <c r="F1480" s="40"/>
      <c r="G1480" s="78"/>
      <c r="H1480" s="78"/>
      <c r="I1480" s="80"/>
      <c r="J1480" s="80"/>
      <c r="K1480" s="79"/>
      <c r="L1480" s="25"/>
      <c r="M1480" s="25"/>
      <c r="N1480" s="63"/>
      <c r="O1480" s="63"/>
      <c r="P1480" s="63"/>
      <c r="Q1480" s="63"/>
      <c r="R1480" s="32"/>
      <c r="S1480" s="32"/>
      <c r="T1480" s="32"/>
      <c r="U1480" s="32"/>
      <c r="W1480" s="32"/>
      <c r="X1480" s="32"/>
    </row>
    <row r="1481">
      <c r="A1481" s="40"/>
      <c r="B1481" s="40"/>
      <c r="C1481" s="40"/>
      <c r="D1481" s="78"/>
      <c r="E1481" s="79"/>
      <c r="F1481" s="40"/>
      <c r="G1481" s="78"/>
      <c r="H1481" s="78"/>
      <c r="I1481" s="80"/>
      <c r="J1481" s="80"/>
      <c r="K1481" s="79"/>
      <c r="L1481" s="25"/>
      <c r="M1481" s="25"/>
      <c r="N1481" s="63"/>
      <c r="O1481" s="63"/>
      <c r="P1481" s="63"/>
      <c r="Q1481" s="63"/>
      <c r="R1481" s="32"/>
      <c r="S1481" s="32"/>
      <c r="T1481" s="32"/>
      <c r="U1481" s="32"/>
      <c r="W1481" s="32"/>
      <c r="X1481" s="32"/>
    </row>
    <row r="1482">
      <c r="A1482" s="40"/>
      <c r="B1482" s="40"/>
      <c r="C1482" s="40"/>
      <c r="D1482" s="78"/>
      <c r="E1482" s="79"/>
      <c r="F1482" s="40"/>
      <c r="G1482" s="78"/>
      <c r="H1482" s="78"/>
      <c r="I1482" s="80"/>
      <c r="J1482" s="80"/>
      <c r="K1482" s="79"/>
      <c r="L1482" s="25"/>
      <c r="M1482" s="25"/>
      <c r="N1482" s="63"/>
      <c r="O1482" s="63"/>
      <c r="P1482" s="63"/>
      <c r="Q1482" s="63"/>
      <c r="R1482" s="32"/>
      <c r="S1482" s="32"/>
      <c r="T1482" s="32"/>
      <c r="U1482" s="32"/>
      <c r="W1482" s="32"/>
      <c r="X1482" s="32"/>
    </row>
    <row r="1483">
      <c r="A1483" s="40"/>
      <c r="B1483" s="40"/>
      <c r="C1483" s="40"/>
      <c r="D1483" s="78"/>
      <c r="E1483" s="79"/>
      <c r="F1483" s="40"/>
      <c r="G1483" s="78"/>
      <c r="H1483" s="78"/>
      <c r="I1483" s="80"/>
      <c r="J1483" s="80"/>
      <c r="K1483" s="79"/>
      <c r="L1483" s="25"/>
      <c r="M1483" s="25"/>
      <c r="N1483" s="63"/>
      <c r="O1483" s="63"/>
      <c r="P1483" s="63"/>
      <c r="Q1483" s="63"/>
      <c r="R1483" s="32"/>
      <c r="S1483" s="32"/>
      <c r="T1483" s="32"/>
      <c r="U1483" s="32"/>
      <c r="W1483" s="32"/>
      <c r="X1483" s="32"/>
    </row>
    <row r="1484">
      <c r="A1484" s="40"/>
      <c r="B1484" s="40"/>
      <c r="C1484" s="40"/>
      <c r="D1484" s="78"/>
      <c r="E1484" s="79"/>
      <c r="F1484" s="40"/>
      <c r="G1484" s="78"/>
      <c r="H1484" s="78"/>
      <c r="I1484" s="80"/>
      <c r="J1484" s="80"/>
      <c r="K1484" s="79"/>
      <c r="L1484" s="25"/>
      <c r="M1484" s="25"/>
      <c r="N1484" s="63"/>
      <c r="O1484" s="63"/>
      <c r="P1484" s="63"/>
      <c r="Q1484" s="63"/>
      <c r="R1484" s="32"/>
      <c r="S1484" s="32"/>
      <c r="T1484" s="32"/>
      <c r="U1484" s="32"/>
      <c r="W1484" s="32"/>
      <c r="X1484" s="32"/>
    </row>
    <row r="1485">
      <c r="A1485" s="40"/>
      <c r="B1485" s="40"/>
      <c r="C1485" s="40"/>
      <c r="D1485" s="78"/>
      <c r="E1485" s="79"/>
      <c r="F1485" s="40"/>
      <c r="G1485" s="78"/>
      <c r="H1485" s="78"/>
      <c r="I1485" s="80"/>
      <c r="J1485" s="80"/>
      <c r="K1485" s="79"/>
      <c r="L1485" s="25"/>
      <c r="M1485" s="25"/>
      <c r="N1485" s="63"/>
      <c r="O1485" s="63"/>
      <c r="P1485" s="63"/>
      <c r="Q1485" s="63"/>
      <c r="R1485" s="32"/>
      <c r="S1485" s="32"/>
      <c r="T1485" s="32"/>
      <c r="U1485" s="32"/>
      <c r="W1485" s="32"/>
      <c r="X1485" s="32"/>
    </row>
    <row r="1486">
      <c r="A1486" s="40"/>
      <c r="B1486" s="40"/>
      <c r="C1486" s="40"/>
      <c r="D1486" s="78"/>
      <c r="E1486" s="79"/>
      <c r="F1486" s="40"/>
      <c r="G1486" s="78"/>
      <c r="H1486" s="78"/>
      <c r="I1486" s="80"/>
      <c r="J1486" s="80"/>
      <c r="K1486" s="79"/>
      <c r="L1486" s="25"/>
      <c r="M1486" s="25"/>
      <c r="N1486" s="63"/>
      <c r="O1486" s="63"/>
      <c r="P1486" s="63"/>
      <c r="Q1486" s="63"/>
      <c r="R1486" s="32"/>
      <c r="S1486" s="32"/>
      <c r="T1486" s="32"/>
      <c r="U1486" s="32"/>
      <c r="W1486" s="32"/>
      <c r="X1486" s="32"/>
    </row>
    <row r="1487">
      <c r="A1487" s="40"/>
      <c r="B1487" s="40"/>
      <c r="C1487" s="40"/>
      <c r="D1487" s="78"/>
      <c r="E1487" s="79"/>
      <c r="F1487" s="40"/>
      <c r="G1487" s="78"/>
      <c r="H1487" s="78"/>
      <c r="I1487" s="80"/>
      <c r="J1487" s="80"/>
      <c r="K1487" s="79"/>
      <c r="L1487" s="25"/>
      <c r="M1487" s="25"/>
      <c r="N1487" s="63"/>
      <c r="O1487" s="63"/>
      <c r="P1487" s="63"/>
      <c r="Q1487" s="63"/>
      <c r="R1487" s="32"/>
      <c r="S1487" s="32"/>
      <c r="T1487" s="32"/>
      <c r="U1487" s="32"/>
      <c r="W1487" s="32"/>
      <c r="X1487" s="32"/>
    </row>
    <row r="1488">
      <c r="A1488" s="40"/>
      <c r="B1488" s="40"/>
      <c r="C1488" s="40"/>
      <c r="D1488" s="78"/>
      <c r="E1488" s="79"/>
      <c r="F1488" s="40"/>
      <c r="G1488" s="78"/>
      <c r="H1488" s="78"/>
      <c r="I1488" s="80"/>
      <c r="J1488" s="80"/>
      <c r="K1488" s="79"/>
      <c r="L1488" s="25"/>
      <c r="M1488" s="25"/>
      <c r="N1488" s="63"/>
      <c r="O1488" s="63"/>
      <c r="P1488" s="63"/>
      <c r="Q1488" s="63"/>
      <c r="R1488" s="32"/>
      <c r="S1488" s="32"/>
      <c r="T1488" s="32"/>
      <c r="U1488" s="32"/>
      <c r="W1488" s="32"/>
      <c r="X1488" s="32"/>
    </row>
    <row r="1489">
      <c r="A1489" s="40"/>
      <c r="B1489" s="40"/>
      <c r="C1489" s="40"/>
      <c r="D1489" s="78"/>
      <c r="E1489" s="79"/>
      <c r="F1489" s="40"/>
      <c r="G1489" s="78"/>
      <c r="H1489" s="78"/>
      <c r="I1489" s="80"/>
      <c r="J1489" s="80"/>
      <c r="K1489" s="79"/>
      <c r="L1489" s="25"/>
      <c r="M1489" s="25"/>
      <c r="N1489" s="63"/>
      <c r="O1489" s="63"/>
      <c r="P1489" s="63"/>
      <c r="Q1489" s="63"/>
      <c r="R1489" s="32"/>
      <c r="S1489" s="32"/>
      <c r="T1489" s="32"/>
      <c r="U1489" s="32"/>
      <c r="W1489" s="32"/>
      <c r="X1489" s="32"/>
    </row>
    <row r="1490">
      <c r="A1490" s="40"/>
      <c r="B1490" s="40"/>
      <c r="C1490" s="40"/>
      <c r="D1490" s="78"/>
      <c r="E1490" s="79"/>
      <c r="F1490" s="40"/>
      <c r="G1490" s="78"/>
      <c r="H1490" s="78"/>
      <c r="I1490" s="80"/>
      <c r="J1490" s="80"/>
      <c r="K1490" s="79"/>
      <c r="L1490" s="25"/>
      <c r="M1490" s="25"/>
      <c r="N1490" s="63"/>
      <c r="O1490" s="63"/>
      <c r="P1490" s="63"/>
      <c r="Q1490" s="63"/>
      <c r="R1490" s="32"/>
      <c r="S1490" s="32"/>
      <c r="T1490" s="32"/>
      <c r="U1490" s="32"/>
      <c r="W1490" s="32"/>
      <c r="X1490" s="32"/>
    </row>
    <row r="1491">
      <c r="A1491" s="40"/>
      <c r="B1491" s="40"/>
      <c r="C1491" s="40"/>
      <c r="D1491" s="78"/>
      <c r="E1491" s="79"/>
      <c r="F1491" s="40"/>
      <c r="G1491" s="78"/>
      <c r="H1491" s="78"/>
      <c r="I1491" s="80"/>
      <c r="J1491" s="80"/>
      <c r="K1491" s="79"/>
      <c r="L1491" s="25"/>
      <c r="M1491" s="25"/>
      <c r="N1491" s="63"/>
      <c r="O1491" s="63"/>
      <c r="P1491" s="63"/>
      <c r="Q1491" s="63"/>
      <c r="R1491" s="32"/>
      <c r="S1491" s="32"/>
      <c r="T1491" s="32"/>
      <c r="U1491" s="32"/>
      <c r="W1491" s="32"/>
      <c r="X1491" s="32"/>
    </row>
    <row r="1492">
      <c r="A1492" s="40"/>
      <c r="B1492" s="40"/>
      <c r="C1492" s="40"/>
      <c r="D1492" s="78"/>
      <c r="E1492" s="79"/>
      <c r="F1492" s="40"/>
      <c r="G1492" s="78"/>
      <c r="H1492" s="78"/>
      <c r="I1492" s="80"/>
      <c r="J1492" s="80"/>
      <c r="K1492" s="79"/>
      <c r="L1492" s="25"/>
      <c r="M1492" s="25"/>
      <c r="N1492" s="63"/>
      <c r="O1492" s="63"/>
      <c r="P1492" s="63"/>
      <c r="Q1492" s="63"/>
      <c r="R1492" s="32"/>
      <c r="S1492" s="32"/>
      <c r="T1492" s="32"/>
      <c r="U1492" s="32"/>
      <c r="W1492" s="32"/>
      <c r="X1492" s="32"/>
    </row>
    <row r="1493">
      <c r="A1493" s="40"/>
      <c r="B1493" s="40"/>
      <c r="C1493" s="40"/>
      <c r="D1493" s="78"/>
      <c r="E1493" s="79"/>
      <c r="F1493" s="40"/>
      <c r="G1493" s="78"/>
      <c r="H1493" s="78"/>
      <c r="I1493" s="80"/>
      <c r="J1493" s="80"/>
      <c r="K1493" s="79"/>
      <c r="L1493" s="25"/>
      <c r="M1493" s="25"/>
      <c r="N1493" s="63"/>
      <c r="O1493" s="63"/>
      <c r="P1493" s="63"/>
      <c r="Q1493" s="63"/>
      <c r="R1493" s="32"/>
      <c r="S1493" s="32"/>
      <c r="T1493" s="32"/>
      <c r="U1493" s="32"/>
      <c r="W1493" s="32"/>
      <c r="X1493" s="32"/>
    </row>
    <row r="1494">
      <c r="A1494" s="40"/>
      <c r="B1494" s="40"/>
      <c r="C1494" s="40"/>
      <c r="D1494" s="78"/>
      <c r="E1494" s="79"/>
      <c r="F1494" s="40"/>
      <c r="G1494" s="78"/>
      <c r="H1494" s="78"/>
      <c r="I1494" s="80"/>
      <c r="J1494" s="80"/>
      <c r="K1494" s="79"/>
      <c r="L1494" s="25"/>
      <c r="M1494" s="25"/>
      <c r="N1494" s="63"/>
      <c r="O1494" s="63"/>
      <c r="P1494" s="63"/>
      <c r="Q1494" s="63"/>
      <c r="R1494" s="32"/>
      <c r="S1494" s="32"/>
      <c r="T1494" s="32"/>
      <c r="U1494" s="32"/>
      <c r="W1494" s="32"/>
      <c r="X1494" s="32"/>
    </row>
    <row r="1495">
      <c r="A1495" s="40"/>
      <c r="B1495" s="40"/>
      <c r="C1495" s="40"/>
      <c r="D1495" s="78"/>
      <c r="E1495" s="79"/>
      <c r="F1495" s="40"/>
      <c r="G1495" s="78"/>
      <c r="H1495" s="78"/>
      <c r="I1495" s="80"/>
      <c r="J1495" s="80"/>
      <c r="K1495" s="79"/>
      <c r="L1495" s="25"/>
      <c r="M1495" s="25"/>
      <c r="N1495" s="63"/>
      <c r="O1495" s="63"/>
      <c r="P1495" s="63"/>
      <c r="Q1495" s="63"/>
      <c r="R1495" s="32"/>
      <c r="S1495" s="32"/>
      <c r="T1495" s="32"/>
      <c r="U1495" s="32"/>
      <c r="W1495" s="32"/>
      <c r="X1495" s="32"/>
    </row>
    <row r="1496">
      <c r="A1496" s="40"/>
      <c r="B1496" s="40"/>
      <c r="C1496" s="40"/>
      <c r="D1496" s="78"/>
      <c r="E1496" s="79"/>
      <c r="F1496" s="40"/>
      <c r="G1496" s="78"/>
      <c r="H1496" s="78"/>
      <c r="I1496" s="80"/>
      <c r="J1496" s="80"/>
      <c r="K1496" s="79"/>
      <c r="L1496" s="25"/>
      <c r="M1496" s="25"/>
      <c r="N1496" s="63"/>
      <c r="O1496" s="63"/>
      <c r="P1496" s="63"/>
      <c r="Q1496" s="63"/>
      <c r="R1496" s="32"/>
      <c r="S1496" s="32"/>
      <c r="T1496" s="32"/>
      <c r="U1496" s="32"/>
      <c r="W1496" s="32"/>
      <c r="X1496" s="32"/>
    </row>
    <row r="1497">
      <c r="A1497" s="40"/>
      <c r="B1497" s="40"/>
      <c r="C1497" s="40"/>
      <c r="D1497" s="78"/>
      <c r="E1497" s="79"/>
      <c r="F1497" s="40"/>
      <c r="G1497" s="78"/>
      <c r="H1497" s="78"/>
      <c r="I1497" s="80"/>
      <c r="J1497" s="80"/>
      <c r="K1497" s="79"/>
      <c r="L1497" s="25"/>
      <c r="M1497" s="25"/>
      <c r="N1497" s="63"/>
      <c r="O1497" s="63"/>
      <c r="P1497" s="63"/>
      <c r="Q1497" s="63"/>
      <c r="R1497" s="32"/>
      <c r="S1497" s="32"/>
      <c r="T1497" s="32"/>
      <c r="U1497" s="32"/>
      <c r="W1497" s="32"/>
      <c r="X1497" s="32"/>
    </row>
    <row r="1498">
      <c r="A1498" s="40"/>
      <c r="B1498" s="40"/>
      <c r="C1498" s="40"/>
      <c r="D1498" s="78"/>
      <c r="E1498" s="79"/>
      <c r="F1498" s="40"/>
      <c r="G1498" s="78"/>
      <c r="H1498" s="78"/>
      <c r="I1498" s="80"/>
      <c r="J1498" s="80"/>
      <c r="K1498" s="79"/>
      <c r="L1498" s="25"/>
      <c r="M1498" s="25"/>
      <c r="N1498" s="63"/>
      <c r="O1498" s="63"/>
      <c r="P1498" s="63"/>
      <c r="Q1498" s="63"/>
      <c r="R1498" s="32"/>
      <c r="S1498" s="32"/>
      <c r="T1498" s="32"/>
      <c r="U1498" s="32"/>
      <c r="W1498" s="32"/>
      <c r="X1498" s="32"/>
    </row>
    <row r="1499">
      <c r="A1499" s="40"/>
      <c r="B1499" s="40"/>
      <c r="C1499" s="40"/>
      <c r="D1499" s="78"/>
      <c r="E1499" s="79"/>
      <c r="F1499" s="40"/>
      <c r="G1499" s="78"/>
      <c r="H1499" s="78"/>
      <c r="I1499" s="80"/>
      <c r="J1499" s="80"/>
      <c r="K1499" s="79"/>
      <c r="L1499" s="25"/>
      <c r="M1499" s="25"/>
      <c r="N1499" s="63"/>
      <c r="O1499" s="63"/>
      <c r="P1499" s="63"/>
      <c r="Q1499" s="63"/>
      <c r="R1499" s="32"/>
      <c r="S1499" s="32"/>
      <c r="T1499" s="32"/>
      <c r="U1499" s="32"/>
      <c r="W1499" s="32"/>
      <c r="X1499" s="32"/>
    </row>
    <row r="1500">
      <c r="A1500" s="40"/>
      <c r="B1500" s="40"/>
      <c r="C1500" s="40"/>
      <c r="D1500" s="78"/>
      <c r="E1500" s="79"/>
      <c r="F1500" s="40"/>
      <c r="G1500" s="78"/>
      <c r="H1500" s="78"/>
      <c r="I1500" s="80"/>
      <c r="J1500" s="80"/>
      <c r="K1500" s="79"/>
      <c r="L1500" s="25"/>
      <c r="M1500" s="25"/>
      <c r="N1500" s="63"/>
      <c r="O1500" s="63"/>
      <c r="P1500" s="63"/>
      <c r="Q1500" s="63"/>
      <c r="R1500" s="32"/>
      <c r="S1500" s="32"/>
      <c r="T1500" s="32"/>
      <c r="U1500" s="32"/>
      <c r="W1500" s="32"/>
      <c r="X1500" s="32"/>
    </row>
    <row r="1501">
      <c r="A1501" s="40"/>
      <c r="B1501" s="40"/>
      <c r="C1501" s="40"/>
      <c r="D1501" s="78"/>
      <c r="E1501" s="79"/>
      <c r="F1501" s="40"/>
      <c r="G1501" s="78"/>
      <c r="H1501" s="78"/>
      <c r="I1501" s="80"/>
      <c r="J1501" s="80"/>
      <c r="K1501" s="79"/>
      <c r="L1501" s="25"/>
      <c r="M1501" s="25"/>
      <c r="N1501" s="63"/>
      <c r="O1501" s="63"/>
      <c r="P1501" s="63"/>
      <c r="Q1501" s="63"/>
      <c r="R1501" s="32"/>
      <c r="S1501" s="32"/>
      <c r="T1501" s="32"/>
      <c r="U1501" s="32"/>
      <c r="W1501" s="32"/>
      <c r="X1501" s="32"/>
    </row>
    <row r="1502">
      <c r="A1502" s="40"/>
      <c r="B1502" s="40"/>
      <c r="C1502" s="40"/>
      <c r="D1502" s="78"/>
      <c r="E1502" s="79"/>
      <c r="F1502" s="40"/>
      <c r="G1502" s="78"/>
      <c r="H1502" s="78"/>
      <c r="I1502" s="80"/>
      <c r="J1502" s="80"/>
      <c r="K1502" s="79"/>
      <c r="L1502" s="25"/>
      <c r="M1502" s="25"/>
      <c r="N1502" s="63"/>
      <c r="O1502" s="63"/>
      <c r="P1502" s="63"/>
      <c r="Q1502" s="63"/>
      <c r="R1502" s="32"/>
      <c r="S1502" s="32"/>
      <c r="T1502" s="32"/>
      <c r="U1502" s="32"/>
      <c r="W1502" s="32"/>
      <c r="X1502" s="32"/>
    </row>
    <row r="1503">
      <c r="A1503" s="40"/>
      <c r="B1503" s="40"/>
      <c r="C1503" s="40"/>
      <c r="D1503" s="78"/>
      <c r="E1503" s="79"/>
      <c r="F1503" s="40"/>
      <c r="G1503" s="78"/>
      <c r="H1503" s="78"/>
      <c r="I1503" s="80"/>
      <c r="J1503" s="80"/>
      <c r="K1503" s="79"/>
      <c r="L1503" s="25"/>
      <c r="M1503" s="25"/>
      <c r="N1503" s="63"/>
      <c r="O1503" s="63"/>
      <c r="P1503" s="63"/>
      <c r="Q1503" s="63"/>
      <c r="R1503" s="32"/>
      <c r="S1503" s="32"/>
      <c r="T1503" s="32"/>
      <c r="U1503" s="32"/>
      <c r="W1503" s="32"/>
      <c r="X1503" s="32"/>
    </row>
    <row r="1504">
      <c r="A1504" s="40"/>
      <c r="B1504" s="40"/>
      <c r="C1504" s="40"/>
      <c r="D1504" s="78"/>
      <c r="E1504" s="79"/>
      <c r="F1504" s="40"/>
      <c r="G1504" s="78"/>
      <c r="H1504" s="78"/>
      <c r="I1504" s="80"/>
      <c r="J1504" s="80"/>
      <c r="K1504" s="79"/>
      <c r="L1504" s="25"/>
      <c r="M1504" s="25"/>
      <c r="N1504" s="63"/>
      <c r="O1504" s="63"/>
      <c r="P1504" s="63"/>
      <c r="Q1504" s="63"/>
      <c r="R1504" s="32"/>
      <c r="S1504" s="32"/>
      <c r="T1504" s="32"/>
      <c r="U1504" s="32"/>
      <c r="W1504" s="32"/>
      <c r="X1504" s="32"/>
    </row>
    <row r="1505">
      <c r="A1505" s="40"/>
      <c r="B1505" s="40"/>
      <c r="C1505" s="40"/>
      <c r="D1505" s="78"/>
      <c r="E1505" s="79"/>
      <c r="F1505" s="40"/>
      <c r="G1505" s="78"/>
      <c r="H1505" s="78"/>
      <c r="I1505" s="80"/>
      <c r="J1505" s="80"/>
      <c r="K1505" s="79"/>
      <c r="L1505" s="25"/>
      <c r="M1505" s="25"/>
      <c r="N1505" s="63"/>
      <c r="O1505" s="63"/>
      <c r="P1505" s="63"/>
      <c r="Q1505" s="63"/>
      <c r="R1505" s="32"/>
      <c r="S1505" s="32"/>
      <c r="T1505" s="32"/>
      <c r="U1505" s="32"/>
      <c r="W1505" s="32"/>
      <c r="X1505" s="32"/>
    </row>
    <row r="1506">
      <c r="A1506" s="40"/>
      <c r="B1506" s="40"/>
      <c r="C1506" s="40"/>
      <c r="D1506" s="78"/>
      <c r="E1506" s="79"/>
      <c r="F1506" s="40"/>
      <c r="G1506" s="78"/>
      <c r="H1506" s="78"/>
      <c r="I1506" s="80"/>
      <c r="J1506" s="80"/>
      <c r="K1506" s="79"/>
      <c r="L1506" s="25"/>
      <c r="M1506" s="25"/>
      <c r="N1506" s="63"/>
      <c r="O1506" s="63"/>
      <c r="P1506" s="63"/>
      <c r="Q1506" s="63"/>
      <c r="R1506" s="32"/>
      <c r="S1506" s="32"/>
      <c r="T1506" s="32"/>
      <c r="U1506" s="32"/>
      <c r="W1506" s="32"/>
      <c r="X1506" s="32"/>
    </row>
    <row r="1507">
      <c r="A1507" s="40"/>
      <c r="B1507" s="40"/>
      <c r="C1507" s="40"/>
      <c r="D1507" s="78"/>
      <c r="E1507" s="79"/>
      <c r="F1507" s="40"/>
      <c r="G1507" s="78"/>
      <c r="H1507" s="78"/>
      <c r="I1507" s="80"/>
      <c r="J1507" s="80"/>
      <c r="K1507" s="79"/>
      <c r="L1507" s="25"/>
      <c r="M1507" s="25"/>
      <c r="N1507" s="63"/>
      <c r="O1507" s="63"/>
      <c r="P1507" s="63"/>
      <c r="Q1507" s="63"/>
      <c r="R1507" s="32"/>
      <c r="S1507" s="32"/>
      <c r="T1507" s="32"/>
      <c r="U1507" s="32"/>
      <c r="W1507" s="32"/>
      <c r="X1507" s="32"/>
    </row>
    <row r="1508">
      <c r="A1508" s="40"/>
      <c r="B1508" s="40"/>
      <c r="C1508" s="40"/>
      <c r="D1508" s="78"/>
      <c r="E1508" s="79"/>
      <c r="F1508" s="40"/>
      <c r="G1508" s="78"/>
      <c r="H1508" s="78"/>
      <c r="I1508" s="80"/>
      <c r="J1508" s="80"/>
      <c r="K1508" s="79"/>
      <c r="L1508" s="25"/>
      <c r="M1508" s="25"/>
      <c r="N1508" s="63"/>
      <c r="O1508" s="63"/>
      <c r="P1508" s="63"/>
      <c r="Q1508" s="63"/>
      <c r="R1508" s="32"/>
      <c r="S1508" s="32"/>
      <c r="T1508" s="32"/>
      <c r="U1508" s="32"/>
      <c r="W1508" s="32"/>
      <c r="X1508" s="32"/>
    </row>
    <row r="1509">
      <c r="A1509" s="40"/>
      <c r="B1509" s="40"/>
      <c r="C1509" s="40"/>
      <c r="D1509" s="78"/>
      <c r="E1509" s="79"/>
      <c r="F1509" s="40"/>
      <c r="G1509" s="78"/>
      <c r="H1509" s="78"/>
      <c r="I1509" s="80"/>
      <c r="J1509" s="80"/>
      <c r="K1509" s="79"/>
      <c r="L1509" s="25"/>
      <c r="M1509" s="25"/>
      <c r="N1509" s="63"/>
      <c r="O1509" s="63"/>
      <c r="P1509" s="63"/>
      <c r="Q1509" s="63"/>
      <c r="R1509" s="32"/>
      <c r="S1509" s="32"/>
      <c r="T1509" s="32"/>
      <c r="U1509" s="32"/>
      <c r="W1509" s="32"/>
      <c r="X1509" s="32"/>
    </row>
    <row r="1510">
      <c r="A1510" s="40"/>
      <c r="B1510" s="40"/>
      <c r="C1510" s="40"/>
      <c r="D1510" s="78"/>
      <c r="E1510" s="79"/>
      <c r="F1510" s="40"/>
      <c r="G1510" s="78"/>
      <c r="H1510" s="78"/>
      <c r="I1510" s="80"/>
      <c r="J1510" s="80"/>
      <c r="K1510" s="79"/>
      <c r="L1510" s="25"/>
      <c r="M1510" s="25"/>
      <c r="N1510" s="63"/>
      <c r="O1510" s="63"/>
      <c r="P1510" s="63"/>
      <c r="Q1510" s="63"/>
      <c r="R1510" s="32"/>
      <c r="S1510" s="32"/>
      <c r="T1510" s="32"/>
      <c r="U1510" s="32"/>
      <c r="W1510" s="32"/>
      <c r="X1510" s="32"/>
    </row>
    <row r="1511">
      <c r="A1511" s="40"/>
      <c r="B1511" s="40"/>
      <c r="C1511" s="40"/>
      <c r="D1511" s="78"/>
      <c r="E1511" s="79"/>
      <c r="F1511" s="40"/>
      <c r="G1511" s="78"/>
      <c r="H1511" s="78"/>
      <c r="I1511" s="80"/>
      <c r="J1511" s="80"/>
      <c r="K1511" s="79"/>
      <c r="L1511" s="25"/>
      <c r="M1511" s="25"/>
      <c r="N1511" s="63"/>
      <c r="O1511" s="63"/>
      <c r="P1511" s="63"/>
      <c r="Q1511" s="63"/>
      <c r="R1511" s="32"/>
      <c r="S1511" s="32"/>
      <c r="T1511" s="32"/>
      <c r="U1511" s="32"/>
      <c r="W1511" s="32"/>
      <c r="X1511" s="32"/>
    </row>
    <row r="1512">
      <c r="A1512" s="40"/>
      <c r="B1512" s="40"/>
      <c r="C1512" s="40"/>
      <c r="D1512" s="78"/>
      <c r="E1512" s="79"/>
      <c r="F1512" s="40"/>
      <c r="G1512" s="78"/>
      <c r="H1512" s="78"/>
      <c r="I1512" s="80"/>
      <c r="J1512" s="80"/>
      <c r="K1512" s="79"/>
      <c r="L1512" s="25"/>
      <c r="M1512" s="25"/>
      <c r="N1512" s="63"/>
      <c r="O1512" s="63"/>
      <c r="P1512" s="63"/>
      <c r="Q1512" s="63"/>
      <c r="R1512" s="32"/>
      <c r="S1512" s="32"/>
      <c r="T1512" s="32"/>
      <c r="U1512" s="32"/>
      <c r="W1512" s="32"/>
      <c r="X1512" s="32"/>
    </row>
    <row r="1513">
      <c r="A1513" s="40"/>
      <c r="B1513" s="40"/>
      <c r="C1513" s="40"/>
      <c r="D1513" s="78"/>
      <c r="E1513" s="79"/>
      <c r="F1513" s="40"/>
      <c r="G1513" s="78"/>
      <c r="H1513" s="78"/>
      <c r="I1513" s="80"/>
      <c r="J1513" s="80"/>
      <c r="K1513" s="79"/>
      <c r="L1513" s="25"/>
      <c r="M1513" s="25"/>
      <c r="N1513" s="63"/>
      <c r="O1513" s="63"/>
      <c r="P1513" s="63"/>
      <c r="Q1513" s="63"/>
      <c r="R1513" s="32"/>
      <c r="S1513" s="32"/>
      <c r="T1513" s="32"/>
      <c r="U1513" s="32"/>
      <c r="W1513" s="32"/>
      <c r="X1513" s="32"/>
    </row>
    <row r="1514">
      <c r="A1514" s="40"/>
      <c r="B1514" s="40"/>
      <c r="C1514" s="40"/>
      <c r="D1514" s="78"/>
      <c r="E1514" s="79"/>
      <c r="F1514" s="40"/>
      <c r="G1514" s="78"/>
      <c r="H1514" s="78"/>
      <c r="I1514" s="80"/>
      <c r="J1514" s="80"/>
      <c r="K1514" s="79"/>
      <c r="L1514" s="25"/>
      <c r="M1514" s="25"/>
      <c r="N1514" s="63"/>
      <c r="O1514" s="63"/>
      <c r="P1514" s="63"/>
      <c r="Q1514" s="63"/>
      <c r="R1514" s="32"/>
      <c r="S1514" s="32"/>
      <c r="T1514" s="32"/>
      <c r="U1514" s="32"/>
      <c r="W1514" s="32"/>
      <c r="X1514" s="32"/>
    </row>
    <row r="1515">
      <c r="A1515" s="40"/>
      <c r="B1515" s="40"/>
      <c r="C1515" s="40"/>
      <c r="D1515" s="78"/>
      <c r="E1515" s="79"/>
      <c r="F1515" s="40"/>
      <c r="G1515" s="78"/>
      <c r="H1515" s="78"/>
      <c r="I1515" s="80"/>
      <c r="J1515" s="80"/>
      <c r="K1515" s="79"/>
      <c r="L1515" s="25"/>
      <c r="M1515" s="25"/>
      <c r="N1515" s="63"/>
      <c r="O1515" s="63"/>
      <c r="P1515" s="63"/>
      <c r="Q1515" s="63"/>
      <c r="R1515" s="32"/>
      <c r="S1515" s="32"/>
      <c r="T1515" s="32"/>
      <c r="U1515" s="32"/>
      <c r="W1515" s="32"/>
      <c r="X1515" s="32"/>
    </row>
    <row r="1516">
      <c r="A1516" s="40"/>
      <c r="B1516" s="40"/>
      <c r="C1516" s="40"/>
      <c r="D1516" s="78"/>
      <c r="E1516" s="79"/>
      <c r="F1516" s="40"/>
      <c r="G1516" s="78"/>
      <c r="H1516" s="78"/>
      <c r="I1516" s="80"/>
      <c r="J1516" s="80"/>
      <c r="K1516" s="79"/>
      <c r="L1516" s="25"/>
      <c r="M1516" s="25"/>
      <c r="N1516" s="63"/>
      <c r="O1516" s="63"/>
      <c r="P1516" s="63"/>
      <c r="Q1516" s="63"/>
      <c r="R1516" s="32"/>
      <c r="S1516" s="32"/>
      <c r="T1516" s="32"/>
      <c r="U1516" s="32"/>
      <c r="W1516" s="32"/>
      <c r="X1516" s="32"/>
    </row>
    <row r="1517">
      <c r="A1517" s="40"/>
      <c r="B1517" s="40"/>
      <c r="C1517" s="40"/>
      <c r="D1517" s="78"/>
      <c r="E1517" s="79"/>
      <c r="F1517" s="40"/>
      <c r="G1517" s="78"/>
      <c r="H1517" s="78"/>
      <c r="I1517" s="80"/>
      <c r="J1517" s="80"/>
      <c r="K1517" s="79"/>
      <c r="L1517" s="25"/>
      <c r="M1517" s="25"/>
      <c r="N1517" s="63"/>
      <c r="O1517" s="63"/>
      <c r="P1517" s="63"/>
      <c r="Q1517" s="63"/>
      <c r="R1517" s="32"/>
      <c r="S1517" s="32"/>
      <c r="T1517" s="32"/>
      <c r="U1517" s="32"/>
      <c r="W1517" s="32"/>
      <c r="X1517" s="32"/>
    </row>
    <row r="1518">
      <c r="A1518" s="40"/>
      <c r="B1518" s="40"/>
      <c r="C1518" s="40"/>
      <c r="D1518" s="78"/>
      <c r="E1518" s="79"/>
      <c r="F1518" s="40"/>
      <c r="G1518" s="78"/>
      <c r="H1518" s="78"/>
      <c r="I1518" s="80"/>
      <c r="J1518" s="80"/>
      <c r="K1518" s="79"/>
      <c r="L1518" s="25"/>
      <c r="M1518" s="25"/>
      <c r="N1518" s="63"/>
      <c r="O1518" s="63"/>
      <c r="P1518" s="63"/>
      <c r="Q1518" s="63"/>
      <c r="R1518" s="32"/>
      <c r="S1518" s="32"/>
      <c r="T1518" s="32"/>
      <c r="U1518" s="32"/>
      <c r="W1518" s="32"/>
      <c r="X1518" s="32"/>
    </row>
    <row r="1519">
      <c r="A1519" s="40"/>
      <c r="B1519" s="40"/>
      <c r="C1519" s="40"/>
      <c r="D1519" s="78"/>
      <c r="E1519" s="79"/>
      <c r="F1519" s="40"/>
      <c r="G1519" s="78"/>
      <c r="H1519" s="78"/>
      <c r="I1519" s="80"/>
      <c r="J1519" s="80"/>
      <c r="K1519" s="79"/>
      <c r="L1519" s="25"/>
      <c r="M1519" s="25"/>
      <c r="N1519" s="63"/>
      <c r="O1519" s="63"/>
      <c r="P1519" s="63"/>
      <c r="Q1519" s="63"/>
      <c r="R1519" s="32"/>
      <c r="S1519" s="32"/>
      <c r="T1519" s="32"/>
      <c r="U1519" s="32"/>
      <c r="W1519" s="32"/>
      <c r="X1519" s="32"/>
    </row>
    <row r="1520">
      <c r="A1520" s="40"/>
      <c r="B1520" s="40"/>
      <c r="C1520" s="40"/>
      <c r="D1520" s="78"/>
      <c r="E1520" s="79"/>
      <c r="F1520" s="40"/>
      <c r="G1520" s="78"/>
      <c r="H1520" s="78"/>
      <c r="I1520" s="80"/>
      <c r="J1520" s="80"/>
      <c r="K1520" s="79"/>
      <c r="L1520" s="25"/>
      <c r="M1520" s="25"/>
      <c r="N1520" s="63"/>
      <c r="O1520" s="63"/>
      <c r="P1520" s="63"/>
      <c r="Q1520" s="63"/>
      <c r="R1520" s="32"/>
      <c r="S1520" s="32"/>
      <c r="T1520" s="32"/>
      <c r="U1520" s="32"/>
      <c r="W1520" s="32"/>
      <c r="X1520" s="32"/>
    </row>
    <row r="1521">
      <c r="A1521" s="40"/>
      <c r="B1521" s="40"/>
      <c r="C1521" s="40"/>
      <c r="D1521" s="78"/>
      <c r="E1521" s="79"/>
      <c r="F1521" s="40"/>
      <c r="G1521" s="78"/>
      <c r="H1521" s="78"/>
      <c r="I1521" s="80"/>
      <c r="J1521" s="80"/>
      <c r="K1521" s="79"/>
      <c r="L1521" s="25"/>
      <c r="M1521" s="25"/>
      <c r="N1521" s="63"/>
      <c r="O1521" s="63"/>
      <c r="P1521" s="63"/>
      <c r="Q1521" s="63"/>
      <c r="R1521" s="32"/>
      <c r="S1521" s="32"/>
      <c r="T1521" s="32"/>
      <c r="U1521" s="32"/>
      <c r="W1521" s="32"/>
      <c r="X1521" s="32"/>
    </row>
    <row r="1522">
      <c r="A1522" s="40"/>
      <c r="B1522" s="40"/>
      <c r="C1522" s="40"/>
      <c r="D1522" s="78"/>
      <c r="E1522" s="79"/>
      <c r="F1522" s="40"/>
      <c r="G1522" s="78"/>
      <c r="H1522" s="78"/>
      <c r="I1522" s="80"/>
      <c r="J1522" s="80"/>
      <c r="K1522" s="79"/>
      <c r="L1522" s="25"/>
      <c r="M1522" s="25"/>
      <c r="N1522" s="63"/>
      <c r="O1522" s="63"/>
      <c r="P1522" s="63"/>
      <c r="Q1522" s="63"/>
      <c r="R1522" s="32"/>
      <c r="S1522" s="32"/>
      <c r="T1522" s="32"/>
      <c r="U1522" s="32"/>
      <c r="W1522" s="32"/>
      <c r="X1522" s="32"/>
    </row>
    <row r="1523">
      <c r="A1523" s="40"/>
      <c r="B1523" s="40"/>
      <c r="C1523" s="40"/>
      <c r="D1523" s="78"/>
      <c r="E1523" s="79"/>
      <c r="F1523" s="40"/>
      <c r="G1523" s="78"/>
      <c r="H1523" s="78"/>
      <c r="I1523" s="80"/>
      <c r="J1523" s="80"/>
      <c r="K1523" s="79"/>
      <c r="L1523" s="25"/>
      <c r="M1523" s="25"/>
      <c r="N1523" s="63"/>
      <c r="O1523" s="63"/>
      <c r="P1523" s="63"/>
      <c r="Q1523" s="63"/>
      <c r="R1523" s="32"/>
      <c r="S1523" s="32"/>
      <c r="T1523" s="32"/>
      <c r="U1523" s="32"/>
      <c r="W1523" s="32"/>
      <c r="X1523" s="32"/>
    </row>
    <row r="1524">
      <c r="A1524" s="40"/>
      <c r="B1524" s="40"/>
      <c r="C1524" s="40"/>
      <c r="D1524" s="78"/>
      <c r="E1524" s="79"/>
      <c r="F1524" s="40"/>
      <c r="G1524" s="78"/>
      <c r="H1524" s="78"/>
      <c r="I1524" s="80"/>
      <c r="J1524" s="80"/>
      <c r="K1524" s="79"/>
      <c r="L1524" s="25"/>
      <c r="M1524" s="25"/>
      <c r="N1524" s="63"/>
      <c r="O1524" s="63"/>
      <c r="P1524" s="63"/>
      <c r="Q1524" s="63"/>
      <c r="R1524" s="32"/>
      <c r="S1524" s="32"/>
      <c r="T1524" s="32"/>
      <c r="U1524" s="32"/>
      <c r="W1524" s="32"/>
      <c r="X1524" s="32"/>
    </row>
    <row r="1525">
      <c r="A1525" s="40"/>
      <c r="B1525" s="40"/>
      <c r="C1525" s="40"/>
      <c r="D1525" s="78"/>
      <c r="E1525" s="79"/>
      <c r="F1525" s="40"/>
      <c r="G1525" s="78"/>
      <c r="H1525" s="78"/>
      <c r="I1525" s="80"/>
      <c r="J1525" s="80"/>
      <c r="K1525" s="79"/>
      <c r="L1525" s="25"/>
      <c r="M1525" s="25"/>
      <c r="N1525" s="63"/>
      <c r="O1525" s="63"/>
      <c r="P1525" s="63"/>
      <c r="Q1525" s="63"/>
      <c r="R1525" s="32"/>
      <c r="S1525" s="32"/>
      <c r="T1525" s="32"/>
      <c r="U1525" s="32"/>
      <c r="W1525" s="32"/>
      <c r="X1525" s="32"/>
    </row>
    <row r="1526">
      <c r="A1526" s="40"/>
      <c r="B1526" s="40"/>
      <c r="C1526" s="40"/>
      <c r="D1526" s="78"/>
      <c r="E1526" s="79"/>
      <c r="F1526" s="40"/>
      <c r="G1526" s="78"/>
      <c r="H1526" s="78"/>
      <c r="I1526" s="80"/>
      <c r="J1526" s="80"/>
      <c r="K1526" s="79"/>
      <c r="L1526" s="25"/>
      <c r="M1526" s="25"/>
      <c r="N1526" s="63"/>
      <c r="O1526" s="63"/>
      <c r="P1526" s="63"/>
      <c r="Q1526" s="63"/>
      <c r="R1526" s="32"/>
      <c r="S1526" s="32"/>
      <c r="T1526" s="32"/>
      <c r="U1526" s="32"/>
      <c r="W1526" s="32"/>
      <c r="X1526" s="32"/>
    </row>
    <row r="1527">
      <c r="A1527" s="40"/>
      <c r="B1527" s="40"/>
      <c r="C1527" s="40"/>
      <c r="D1527" s="78"/>
      <c r="E1527" s="79"/>
      <c r="F1527" s="40"/>
      <c r="G1527" s="78"/>
      <c r="H1527" s="78"/>
      <c r="I1527" s="80"/>
      <c r="J1527" s="80"/>
      <c r="K1527" s="79"/>
      <c r="L1527" s="25"/>
      <c r="M1527" s="25"/>
      <c r="N1527" s="63"/>
      <c r="O1527" s="63"/>
      <c r="P1527" s="63"/>
      <c r="Q1527" s="63"/>
      <c r="R1527" s="32"/>
      <c r="S1527" s="32"/>
      <c r="T1527" s="32"/>
      <c r="U1527" s="32"/>
      <c r="W1527" s="32"/>
      <c r="X1527" s="32"/>
    </row>
    <row r="1528">
      <c r="A1528" s="40"/>
      <c r="B1528" s="40"/>
      <c r="C1528" s="40"/>
      <c r="D1528" s="78"/>
      <c r="E1528" s="79"/>
      <c r="F1528" s="40"/>
      <c r="G1528" s="78"/>
      <c r="H1528" s="78"/>
      <c r="I1528" s="80"/>
      <c r="J1528" s="80"/>
      <c r="K1528" s="79"/>
      <c r="L1528" s="25"/>
      <c r="M1528" s="25"/>
      <c r="N1528" s="63"/>
      <c r="O1528" s="63"/>
      <c r="P1528" s="63"/>
      <c r="Q1528" s="63"/>
      <c r="R1528" s="32"/>
      <c r="S1528" s="32"/>
      <c r="T1528" s="32"/>
      <c r="U1528" s="32"/>
      <c r="W1528" s="32"/>
      <c r="X1528" s="32"/>
    </row>
    <row r="1529">
      <c r="A1529" s="40"/>
      <c r="B1529" s="40"/>
      <c r="C1529" s="40"/>
      <c r="D1529" s="78"/>
      <c r="E1529" s="79"/>
      <c r="F1529" s="40"/>
      <c r="G1529" s="78"/>
      <c r="H1529" s="78"/>
      <c r="I1529" s="80"/>
      <c r="J1529" s="80"/>
      <c r="K1529" s="79"/>
      <c r="L1529" s="25"/>
      <c r="M1529" s="25"/>
      <c r="N1529" s="63"/>
      <c r="O1529" s="63"/>
      <c r="P1529" s="63"/>
      <c r="Q1529" s="63"/>
      <c r="R1529" s="32"/>
      <c r="S1529" s="32"/>
      <c r="T1529" s="32"/>
      <c r="U1529" s="32"/>
      <c r="W1529" s="32"/>
      <c r="X1529" s="32"/>
    </row>
    <row r="1530">
      <c r="A1530" s="40"/>
      <c r="B1530" s="40"/>
      <c r="C1530" s="40"/>
      <c r="D1530" s="78"/>
      <c r="E1530" s="79"/>
      <c r="F1530" s="40"/>
      <c r="G1530" s="78"/>
      <c r="H1530" s="78"/>
      <c r="I1530" s="80"/>
      <c r="J1530" s="80"/>
      <c r="K1530" s="79"/>
      <c r="L1530" s="25"/>
      <c r="M1530" s="25"/>
      <c r="N1530" s="63"/>
      <c r="O1530" s="63"/>
      <c r="P1530" s="63"/>
      <c r="Q1530" s="63"/>
      <c r="R1530" s="32"/>
      <c r="S1530" s="32"/>
      <c r="T1530" s="32"/>
      <c r="U1530" s="32"/>
      <c r="W1530" s="32"/>
      <c r="X1530" s="32"/>
    </row>
    <row r="1531">
      <c r="A1531" s="40"/>
      <c r="B1531" s="40"/>
      <c r="C1531" s="40"/>
      <c r="D1531" s="78"/>
      <c r="E1531" s="79"/>
      <c r="F1531" s="40"/>
      <c r="G1531" s="78"/>
      <c r="H1531" s="78"/>
      <c r="I1531" s="80"/>
      <c r="J1531" s="80"/>
      <c r="K1531" s="79"/>
      <c r="L1531" s="25"/>
      <c r="M1531" s="25"/>
      <c r="N1531" s="63"/>
      <c r="O1531" s="63"/>
      <c r="P1531" s="63"/>
      <c r="Q1531" s="63"/>
      <c r="R1531" s="32"/>
      <c r="S1531" s="32"/>
      <c r="T1531" s="32"/>
      <c r="U1531" s="32"/>
      <c r="W1531" s="32"/>
      <c r="X1531" s="32"/>
    </row>
    <row r="1532">
      <c r="A1532" s="40"/>
      <c r="B1532" s="40"/>
      <c r="C1532" s="40"/>
      <c r="D1532" s="78"/>
      <c r="E1532" s="79"/>
      <c r="F1532" s="40"/>
      <c r="G1532" s="78"/>
      <c r="H1532" s="78"/>
      <c r="I1532" s="80"/>
      <c r="J1532" s="80"/>
      <c r="K1532" s="79"/>
      <c r="L1532" s="25"/>
      <c r="M1532" s="25"/>
      <c r="N1532" s="63"/>
      <c r="O1532" s="63"/>
      <c r="P1532" s="63"/>
      <c r="Q1532" s="63"/>
      <c r="R1532" s="32"/>
      <c r="S1532" s="32"/>
      <c r="T1532" s="32"/>
      <c r="U1532" s="32"/>
      <c r="W1532" s="32"/>
      <c r="X1532" s="32"/>
    </row>
    <row r="1533">
      <c r="A1533" s="40"/>
      <c r="B1533" s="40"/>
      <c r="C1533" s="40"/>
      <c r="D1533" s="78"/>
      <c r="E1533" s="79"/>
      <c r="F1533" s="40"/>
      <c r="G1533" s="78"/>
      <c r="H1533" s="78"/>
      <c r="I1533" s="80"/>
      <c r="J1533" s="80"/>
      <c r="K1533" s="79"/>
      <c r="L1533" s="25"/>
      <c r="M1533" s="25"/>
      <c r="N1533" s="63"/>
      <c r="O1533" s="63"/>
      <c r="P1533" s="63"/>
      <c r="Q1533" s="63"/>
      <c r="R1533" s="32"/>
      <c r="S1533" s="32"/>
      <c r="T1533" s="32"/>
      <c r="U1533" s="32"/>
      <c r="W1533" s="32"/>
      <c r="X1533" s="32"/>
    </row>
    <row r="1534">
      <c r="A1534" s="40"/>
      <c r="B1534" s="40"/>
      <c r="C1534" s="40"/>
      <c r="D1534" s="78"/>
      <c r="E1534" s="79"/>
      <c r="F1534" s="40"/>
      <c r="G1534" s="78"/>
      <c r="H1534" s="78"/>
      <c r="I1534" s="80"/>
      <c r="J1534" s="80"/>
      <c r="K1534" s="79"/>
      <c r="L1534" s="25"/>
      <c r="M1534" s="25"/>
      <c r="N1534" s="63"/>
      <c r="O1534" s="63"/>
      <c r="P1534" s="63"/>
      <c r="Q1534" s="63"/>
      <c r="R1534" s="32"/>
      <c r="S1534" s="32"/>
      <c r="T1534" s="32"/>
      <c r="U1534" s="32"/>
      <c r="W1534" s="32"/>
      <c r="X1534" s="32"/>
    </row>
    <row r="1535">
      <c r="A1535" s="40"/>
      <c r="B1535" s="40"/>
      <c r="C1535" s="40"/>
      <c r="D1535" s="78"/>
      <c r="E1535" s="79"/>
      <c r="F1535" s="40"/>
      <c r="G1535" s="78"/>
      <c r="H1535" s="78"/>
      <c r="I1535" s="80"/>
      <c r="J1535" s="80"/>
      <c r="K1535" s="79"/>
      <c r="L1535" s="25"/>
      <c r="M1535" s="25"/>
      <c r="N1535" s="63"/>
      <c r="O1535" s="63"/>
      <c r="P1535" s="63"/>
      <c r="Q1535" s="63"/>
      <c r="R1535" s="32"/>
      <c r="S1535" s="32"/>
      <c r="T1535" s="32"/>
      <c r="U1535" s="32"/>
      <c r="W1535" s="32"/>
      <c r="X1535" s="32"/>
    </row>
    <row r="1536">
      <c r="A1536" s="40"/>
      <c r="B1536" s="40"/>
      <c r="C1536" s="40"/>
      <c r="D1536" s="78"/>
      <c r="E1536" s="79"/>
      <c r="F1536" s="40"/>
      <c r="G1536" s="78"/>
      <c r="H1536" s="78"/>
      <c r="I1536" s="80"/>
      <c r="J1536" s="80"/>
      <c r="K1536" s="79"/>
      <c r="L1536" s="25"/>
      <c r="M1536" s="25"/>
      <c r="N1536" s="63"/>
      <c r="O1536" s="63"/>
      <c r="P1536" s="63"/>
      <c r="Q1536" s="63"/>
      <c r="R1536" s="32"/>
      <c r="S1536" s="32"/>
      <c r="T1536" s="32"/>
      <c r="U1536" s="32"/>
      <c r="W1536" s="32"/>
      <c r="X1536" s="32"/>
    </row>
    <row r="1537">
      <c r="A1537" s="40"/>
      <c r="B1537" s="40"/>
      <c r="C1537" s="40"/>
      <c r="D1537" s="78"/>
      <c r="E1537" s="79"/>
      <c r="F1537" s="40"/>
      <c r="G1537" s="78"/>
      <c r="H1537" s="78"/>
      <c r="I1537" s="80"/>
      <c r="J1537" s="80"/>
      <c r="K1537" s="79"/>
      <c r="L1537" s="25"/>
      <c r="M1537" s="25"/>
      <c r="N1537" s="63"/>
      <c r="O1537" s="63"/>
      <c r="P1537" s="63"/>
      <c r="Q1537" s="63"/>
      <c r="R1537" s="32"/>
      <c r="S1537" s="32"/>
      <c r="T1537" s="32"/>
      <c r="U1537" s="32"/>
      <c r="W1537" s="32"/>
      <c r="X1537" s="32"/>
    </row>
    <row r="1538">
      <c r="A1538" s="40"/>
      <c r="B1538" s="40"/>
      <c r="C1538" s="40"/>
      <c r="D1538" s="78"/>
      <c r="E1538" s="79"/>
      <c r="F1538" s="40"/>
      <c r="G1538" s="78"/>
      <c r="H1538" s="78"/>
      <c r="I1538" s="80"/>
      <c r="J1538" s="80"/>
      <c r="K1538" s="79"/>
      <c r="L1538" s="25"/>
      <c r="M1538" s="25"/>
      <c r="N1538" s="63"/>
      <c r="O1538" s="63"/>
      <c r="P1538" s="63"/>
      <c r="Q1538" s="63"/>
      <c r="R1538" s="32"/>
      <c r="S1538" s="32"/>
      <c r="T1538" s="32"/>
      <c r="U1538" s="32"/>
      <c r="W1538" s="32"/>
      <c r="X1538" s="32"/>
    </row>
    <row r="1539">
      <c r="A1539" s="40"/>
      <c r="B1539" s="40"/>
      <c r="C1539" s="40"/>
      <c r="D1539" s="78"/>
      <c r="E1539" s="79"/>
      <c r="F1539" s="40"/>
      <c r="G1539" s="78"/>
      <c r="H1539" s="78"/>
      <c r="I1539" s="80"/>
      <c r="J1539" s="80"/>
      <c r="K1539" s="79"/>
      <c r="L1539" s="25"/>
      <c r="M1539" s="25"/>
      <c r="N1539" s="63"/>
      <c r="O1539" s="63"/>
      <c r="P1539" s="63"/>
      <c r="Q1539" s="63"/>
      <c r="R1539" s="32"/>
      <c r="S1539" s="32"/>
      <c r="T1539" s="32"/>
      <c r="U1539" s="32"/>
      <c r="W1539" s="32"/>
      <c r="X1539" s="32"/>
    </row>
    <row r="1540">
      <c r="A1540" s="40"/>
      <c r="B1540" s="40"/>
      <c r="C1540" s="40"/>
      <c r="D1540" s="78"/>
      <c r="E1540" s="79"/>
      <c r="F1540" s="40"/>
      <c r="G1540" s="78"/>
      <c r="H1540" s="78"/>
      <c r="I1540" s="80"/>
      <c r="J1540" s="80"/>
      <c r="K1540" s="79"/>
      <c r="L1540" s="25"/>
      <c r="M1540" s="25"/>
      <c r="N1540" s="63"/>
      <c r="O1540" s="63"/>
      <c r="P1540" s="63"/>
      <c r="Q1540" s="63"/>
      <c r="R1540" s="32"/>
      <c r="S1540" s="32"/>
      <c r="T1540" s="32"/>
      <c r="U1540" s="32"/>
      <c r="W1540" s="32"/>
      <c r="X1540" s="32"/>
    </row>
    <row r="1541">
      <c r="A1541" s="40"/>
      <c r="B1541" s="40"/>
      <c r="C1541" s="40"/>
      <c r="D1541" s="78"/>
      <c r="E1541" s="79"/>
      <c r="F1541" s="40"/>
      <c r="G1541" s="78"/>
      <c r="H1541" s="78"/>
      <c r="I1541" s="80"/>
      <c r="J1541" s="80"/>
      <c r="K1541" s="79"/>
      <c r="L1541" s="25"/>
      <c r="M1541" s="25"/>
      <c r="N1541" s="63"/>
      <c r="O1541" s="63"/>
      <c r="P1541" s="63"/>
      <c r="Q1541" s="63"/>
      <c r="R1541" s="32"/>
      <c r="S1541" s="32"/>
      <c r="T1541" s="32"/>
      <c r="U1541" s="32"/>
      <c r="W1541" s="32"/>
      <c r="X1541" s="32"/>
    </row>
    <row r="1542">
      <c r="A1542" s="40"/>
      <c r="B1542" s="40"/>
      <c r="C1542" s="40"/>
      <c r="D1542" s="78"/>
      <c r="E1542" s="79"/>
      <c r="F1542" s="40"/>
      <c r="G1542" s="78"/>
      <c r="H1542" s="78"/>
      <c r="I1542" s="80"/>
      <c r="J1542" s="80"/>
      <c r="K1542" s="79"/>
      <c r="L1542" s="25"/>
      <c r="M1542" s="25"/>
      <c r="N1542" s="63"/>
      <c r="O1542" s="63"/>
      <c r="P1542" s="63"/>
      <c r="Q1542" s="63"/>
      <c r="R1542" s="32"/>
      <c r="S1542" s="32"/>
      <c r="T1542" s="32"/>
      <c r="U1542" s="32"/>
      <c r="W1542" s="32"/>
      <c r="X1542" s="32"/>
    </row>
    <row r="1543">
      <c r="A1543" s="40"/>
      <c r="B1543" s="40"/>
      <c r="C1543" s="40"/>
      <c r="D1543" s="78"/>
      <c r="E1543" s="79"/>
      <c r="F1543" s="40"/>
      <c r="G1543" s="78"/>
      <c r="H1543" s="78"/>
      <c r="I1543" s="80"/>
      <c r="J1543" s="80"/>
      <c r="K1543" s="79"/>
      <c r="L1543" s="25"/>
      <c r="M1543" s="25"/>
      <c r="N1543" s="63"/>
      <c r="O1543" s="63"/>
      <c r="P1543" s="63"/>
      <c r="Q1543" s="63"/>
      <c r="R1543" s="32"/>
      <c r="S1543" s="32"/>
      <c r="T1543" s="32"/>
      <c r="U1543" s="32"/>
      <c r="W1543" s="32"/>
      <c r="X1543" s="32"/>
    </row>
    <row r="1544">
      <c r="A1544" s="40"/>
      <c r="B1544" s="40"/>
      <c r="C1544" s="40"/>
      <c r="D1544" s="78"/>
      <c r="E1544" s="79"/>
      <c r="F1544" s="40"/>
      <c r="G1544" s="78"/>
      <c r="H1544" s="78"/>
      <c r="I1544" s="80"/>
      <c r="J1544" s="80"/>
      <c r="K1544" s="79"/>
      <c r="L1544" s="25"/>
      <c r="M1544" s="25"/>
      <c r="N1544" s="63"/>
      <c r="O1544" s="63"/>
      <c r="P1544" s="63"/>
      <c r="Q1544" s="63"/>
      <c r="R1544" s="32"/>
      <c r="S1544" s="32"/>
      <c r="T1544" s="32"/>
      <c r="U1544" s="32"/>
      <c r="W1544" s="32"/>
      <c r="X1544" s="32"/>
    </row>
    <row r="1545">
      <c r="A1545" s="40"/>
      <c r="B1545" s="40"/>
      <c r="C1545" s="40"/>
      <c r="D1545" s="78"/>
      <c r="E1545" s="79"/>
      <c r="F1545" s="40"/>
      <c r="G1545" s="78"/>
      <c r="H1545" s="78"/>
      <c r="I1545" s="80"/>
      <c r="J1545" s="80"/>
      <c r="K1545" s="79"/>
      <c r="L1545" s="25"/>
      <c r="M1545" s="25"/>
      <c r="N1545" s="63"/>
      <c r="O1545" s="63"/>
      <c r="P1545" s="63"/>
      <c r="Q1545" s="63"/>
      <c r="R1545" s="32"/>
      <c r="S1545" s="32"/>
      <c r="T1545" s="32"/>
      <c r="U1545" s="32"/>
      <c r="W1545" s="32"/>
      <c r="X1545" s="32"/>
    </row>
    <row r="1546">
      <c r="A1546" s="40"/>
      <c r="B1546" s="40"/>
      <c r="C1546" s="40"/>
      <c r="D1546" s="78"/>
      <c r="E1546" s="79"/>
      <c r="F1546" s="40"/>
      <c r="G1546" s="78"/>
      <c r="H1546" s="78"/>
      <c r="I1546" s="80"/>
      <c r="J1546" s="80"/>
      <c r="K1546" s="79"/>
      <c r="L1546" s="25"/>
      <c r="M1546" s="25"/>
      <c r="N1546" s="63"/>
      <c r="O1546" s="63"/>
      <c r="P1546" s="63"/>
      <c r="Q1546" s="63"/>
      <c r="R1546" s="32"/>
      <c r="S1546" s="32"/>
      <c r="T1546" s="32"/>
      <c r="U1546" s="32"/>
      <c r="W1546" s="32"/>
      <c r="X1546" s="32"/>
    </row>
    <row r="1547">
      <c r="A1547" s="40"/>
      <c r="B1547" s="40"/>
      <c r="C1547" s="40"/>
      <c r="D1547" s="78"/>
      <c r="E1547" s="79"/>
      <c r="F1547" s="40"/>
      <c r="G1547" s="78"/>
      <c r="H1547" s="78"/>
      <c r="I1547" s="80"/>
      <c r="J1547" s="80"/>
      <c r="K1547" s="79"/>
      <c r="L1547" s="25"/>
      <c r="M1547" s="25"/>
      <c r="N1547" s="63"/>
      <c r="O1547" s="63"/>
      <c r="P1547" s="63"/>
      <c r="Q1547" s="63"/>
      <c r="R1547" s="32"/>
      <c r="S1547" s="32"/>
      <c r="T1547" s="32"/>
      <c r="U1547" s="32"/>
      <c r="W1547" s="32"/>
      <c r="X1547" s="32"/>
    </row>
    <row r="1548">
      <c r="A1548" s="40"/>
      <c r="B1548" s="40"/>
      <c r="C1548" s="40"/>
      <c r="D1548" s="78"/>
      <c r="E1548" s="79"/>
      <c r="F1548" s="40"/>
      <c r="G1548" s="78"/>
      <c r="H1548" s="78"/>
      <c r="I1548" s="80"/>
      <c r="J1548" s="80"/>
      <c r="K1548" s="79"/>
      <c r="L1548" s="25"/>
      <c r="M1548" s="25"/>
      <c r="N1548" s="63"/>
      <c r="O1548" s="63"/>
      <c r="P1548" s="63"/>
      <c r="Q1548" s="63"/>
      <c r="R1548" s="32"/>
      <c r="S1548" s="32"/>
      <c r="T1548" s="32"/>
      <c r="U1548" s="32"/>
      <c r="W1548" s="32"/>
      <c r="X1548" s="32"/>
    </row>
    <row r="1549">
      <c r="A1549" s="40"/>
      <c r="B1549" s="40"/>
      <c r="C1549" s="40"/>
      <c r="D1549" s="78"/>
      <c r="E1549" s="79"/>
      <c r="F1549" s="40"/>
      <c r="G1549" s="78"/>
      <c r="H1549" s="78"/>
      <c r="I1549" s="80"/>
      <c r="J1549" s="80"/>
      <c r="K1549" s="79"/>
      <c r="L1549" s="25"/>
      <c r="M1549" s="25"/>
      <c r="N1549" s="63"/>
      <c r="O1549" s="63"/>
      <c r="P1549" s="63"/>
      <c r="Q1549" s="63"/>
      <c r="R1549" s="32"/>
      <c r="S1549" s="32"/>
      <c r="T1549" s="32"/>
      <c r="U1549" s="32"/>
      <c r="W1549" s="32"/>
      <c r="X1549" s="32"/>
    </row>
    <row r="1550">
      <c r="A1550" s="40"/>
      <c r="B1550" s="40"/>
      <c r="C1550" s="40"/>
      <c r="D1550" s="78"/>
      <c r="E1550" s="79"/>
      <c r="F1550" s="40"/>
      <c r="G1550" s="78"/>
      <c r="H1550" s="78"/>
      <c r="I1550" s="80"/>
      <c r="J1550" s="80"/>
      <c r="K1550" s="79"/>
      <c r="L1550" s="25"/>
      <c r="M1550" s="25"/>
      <c r="N1550" s="63"/>
      <c r="O1550" s="63"/>
      <c r="P1550" s="63"/>
      <c r="Q1550" s="63"/>
      <c r="R1550" s="32"/>
      <c r="S1550" s="32"/>
      <c r="T1550" s="32"/>
      <c r="U1550" s="32"/>
      <c r="W1550" s="32"/>
      <c r="X1550" s="32"/>
    </row>
    <row r="1551">
      <c r="A1551" s="40"/>
      <c r="B1551" s="40"/>
      <c r="C1551" s="40"/>
      <c r="D1551" s="78"/>
      <c r="E1551" s="79"/>
      <c r="F1551" s="40"/>
      <c r="G1551" s="78"/>
      <c r="H1551" s="78"/>
      <c r="I1551" s="80"/>
      <c r="J1551" s="80"/>
      <c r="K1551" s="79"/>
      <c r="L1551" s="25"/>
      <c r="M1551" s="25"/>
      <c r="N1551" s="63"/>
      <c r="O1551" s="63"/>
      <c r="P1551" s="63"/>
      <c r="Q1551" s="63"/>
      <c r="R1551" s="32"/>
      <c r="S1551" s="32"/>
      <c r="T1551" s="32"/>
      <c r="U1551" s="32"/>
      <c r="W1551" s="32"/>
      <c r="X1551" s="32"/>
    </row>
    <row r="1552">
      <c r="A1552" s="40"/>
      <c r="B1552" s="40"/>
      <c r="C1552" s="40"/>
      <c r="D1552" s="78"/>
      <c r="E1552" s="79"/>
      <c r="F1552" s="40"/>
      <c r="G1552" s="78"/>
      <c r="H1552" s="78"/>
      <c r="I1552" s="80"/>
      <c r="J1552" s="80"/>
      <c r="K1552" s="79"/>
      <c r="L1552" s="25"/>
      <c r="M1552" s="25"/>
      <c r="N1552" s="63"/>
      <c r="O1552" s="63"/>
      <c r="P1552" s="63"/>
      <c r="Q1552" s="63"/>
      <c r="R1552" s="32"/>
      <c r="S1552" s="32"/>
      <c r="T1552" s="32"/>
      <c r="U1552" s="32"/>
      <c r="W1552" s="32"/>
      <c r="X1552" s="32"/>
    </row>
    <row r="1553">
      <c r="A1553" s="40"/>
      <c r="B1553" s="40"/>
      <c r="C1553" s="40"/>
      <c r="D1553" s="78"/>
      <c r="E1553" s="79"/>
      <c r="F1553" s="40"/>
      <c r="G1553" s="78"/>
      <c r="H1553" s="78"/>
      <c r="I1553" s="80"/>
      <c r="J1553" s="80"/>
      <c r="K1553" s="79"/>
      <c r="L1553" s="25"/>
      <c r="M1553" s="25"/>
      <c r="N1553" s="63"/>
      <c r="O1553" s="63"/>
      <c r="P1553" s="63"/>
      <c r="Q1553" s="63"/>
      <c r="R1553" s="32"/>
      <c r="S1553" s="32"/>
      <c r="T1553" s="32"/>
      <c r="U1553" s="32"/>
      <c r="W1553" s="32"/>
      <c r="X1553" s="32"/>
    </row>
    <row r="1554">
      <c r="A1554" s="40"/>
      <c r="B1554" s="40"/>
      <c r="C1554" s="40"/>
      <c r="D1554" s="78"/>
      <c r="E1554" s="79"/>
      <c r="F1554" s="40"/>
      <c r="G1554" s="78"/>
      <c r="H1554" s="78"/>
      <c r="I1554" s="80"/>
      <c r="J1554" s="80"/>
      <c r="K1554" s="79"/>
      <c r="L1554" s="25"/>
      <c r="M1554" s="25"/>
      <c r="N1554" s="63"/>
      <c r="O1554" s="63"/>
      <c r="P1554" s="63"/>
      <c r="Q1554" s="63"/>
      <c r="R1554" s="32"/>
      <c r="S1554" s="32"/>
      <c r="T1554" s="32"/>
      <c r="U1554" s="32"/>
      <c r="W1554" s="32"/>
      <c r="X1554" s="32"/>
    </row>
    <row r="1555">
      <c r="A1555" s="40"/>
      <c r="B1555" s="40"/>
      <c r="C1555" s="40"/>
      <c r="D1555" s="78"/>
      <c r="E1555" s="79"/>
      <c r="F1555" s="40"/>
      <c r="G1555" s="78"/>
      <c r="H1555" s="78"/>
      <c r="I1555" s="80"/>
      <c r="J1555" s="80"/>
      <c r="K1555" s="79"/>
      <c r="L1555" s="25"/>
      <c r="M1555" s="25"/>
      <c r="N1555" s="63"/>
      <c r="O1555" s="63"/>
      <c r="P1555" s="63"/>
      <c r="Q1555" s="63"/>
      <c r="R1555" s="32"/>
      <c r="S1555" s="32"/>
      <c r="T1555" s="32"/>
      <c r="U1555" s="32"/>
      <c r="W1555" s="32"/>
      <c r="X1555" s="32"/>
    </row>
    <row r="1556">
      <c r="A1556" s="40"/>
      <c r="B1556" s="40"/>
      <c r="C1556" s="40"/>
      <c r="D1556" s="78"/>
      <c r="E1556" s="79"/>
      <c r="F1556" s="40"/>
      <c r="G1556" s="78"/>
      <c r="H1556" s="78"/>
      <c r="I1556" s="80"/>
      <c r="J1556" s="80"/>
      <c r="K1556" s="79"/>
      <c r="L1556" s="25"/>
      <c r="M1556" s="25"/>
      <c r="N1556" s="63"/>
      <c r="O1556" s="63"/>
      <c r="P1556" s="63"/>
      <c r="Q1556" s="63"/>
      <c r="R1556" s="32"/>
      <c r="S1556" s="32"/>
      <c r="T1556" s="32"/>
      <c r="U1556" s="32"/>
      <c r="W1556" s="32"/>
      <c r="X1556" s="32"/>
    </row>
    <row r="1557">
      <c r="A1557" s="40"/>
      <c r="B1557" s="40"/>
      <c r="C1557" s="40"/>
      <c r="D1557" s="78"/>
      <c r="E1557" s="79"/>
      <c r="F1557" s="40"/>
      <c r="G1557" s="78"/>
      <c r="H1557" s="78"/>
      <c r="I1557" s="80"/>
      <c r="J1557" s="80"/>
      <c r="K1557" s="79"/>
      <c r="L1557" s="25"/>
      <c r="M1557" s="25"/>
      <c r="N1557" s="63"/>
      <c r="O1557" s="63"/>
      <c r="P1557" s="63"/>
      <c r="Q1557" s="63"/>
      <c r="R1557" s="32"/>
      <c r="S1557" s="32"/>
      <c r="T1557" s="32"/>
      <c r="U1557" s="32"/>
      <c r="W1557" s="32"/>
      <c r="X1557" s="32"/>
    </row>
    <row r="1558">
      <c r="A1558" s="40"/>
      <c r="B1558" s="40"/>
      <c r="C1558" s="40"/>
      <c r="D1558" s="78"/>
      <c r="E1558" s="79"/>
      <c r="F1558" s="40"/>
      <c r="G1558" s="78"/>
      <c r="H1558" s="78"/>
      <c r="I1558" s="80"/>
      <c r="J1558" s="80"/>
      <c r="K1558" s="79"/>
      <c r="L1558" s="25"/>
      <c r="M1558" s="25"/>
      <c r="N1558" s="63"/>
      <c r="O1558" s="63"/>
      <c r="P1558" s="63"/>
      <c r="Q1558" s="63"/>
      <c r="R1558" s="32"/>
      <c r="S1558" s="32"/>
      <c r="T1558" s="32"/>
      <c r="U1558" s="32"/>
      <c r="W1558" s="32"/>
      <c r="X1558" s="32"/>
    </row>
    <row r="1559">
      <c r="A1559" s="40"/>
      <c r="B1559" s="40"/>
      <c r="C1559" s="40"/>
      <c r="D1559" s="78"/>
      <c r="E1559" s="79"/>
      <c r="F1559" s="40"/>
      <c r="G1559" s="78"/>
      <c r="H1559" s="78"/>
      <c r="I1559" s="80"/>
      <c r="J1559" s="80"/>
      <c r="K1559" s="79"/>
      <c r="L1559" s="25"/>
      <c r="M1559" s="25"/>
      <c r="N1559" s="63"/>
      <c r="O1559" s="63"/>
      <c r="P1559" s="63"/>
      <c r="Q1559" s="63"/>
      <c r="R1559" s="32"/>
      <c r="S1559" s="32"/>
      <c r="T1559" s="32"/>
      <c r="U1559" s="32"/>
      <c r="W1559" s="32"/>
      <c r="X1559" s="32"/>
    </row>
    <row r="1560">
      <c r="A1560" s="40"/>
      <c r="B1560" s="40"/>
      <c r="C1560" s="40"/>
      <c r="D1560" s="78"/>
      <c r="E1560" s="79"/>
      <c r="F1560" s="40"/>
      <c r="G1560" s="78"/>
      <c r="H1560" s="78"/>
      <c r="I1560" s="80"/>
      <c r="J1560" s="80"/>
      <c r="K1560" s="79"/>
      <c r="L1560" s="25"/>
      <c r="M1560" s="25"/>
      <c r="N1560" s="63"/>
      <c r="O1560" s="63"/>
      <c r="P1560" s="63"/>
      <c r="Q1560" s="63"/>
      <c r="R1560" s="32"/>
      <c r="S1560" s="32"/>
      <c r="T1560" s="32"/>
      <c r="U1560" s="32"/>
      <c r="W1560" s="32"/>
      <c r="X1560" s="32"/>
    </row>
    <row r="1561">
      <c r="A1561" s="40"/>
      <c r="B1561" s="40"/>
      <c r="C1561" s="40"/>
      <c r="D1561" s="78"/>
      <c r="E1561" s="79"/>
      <c r="F1561" s="40"/>
      <c r="G1561" s="78"/>
      <c r="H1561" s="78"/>
      <c r="I1561" s="80"/>
      <c r="J1561" s="80"/>
      <c r="K1561" s="79"/>
      <c r="L1561" s="25"/>
      <c r="M1561" s="25"/>
      <c r="N1561" s="63"/>
      <c r="O1561" s="63"/>
      <c r="P1561" s="63"/>
      <c r="Q1561" s="63"/>
      <c r="R1561" s="32"/>
      <c r="S1561" s="32"/>
      <c r="T1561" s="32"/>
      <c r="U1561" s="32"/>
      <c r="W1561" s="32"/>
      <c r="X1561" s="32"/>
    </row>
    <row r="1562">
      <c r="A1562" s="40"/>
      <c r="B1562" s="40"/>
      <c r="C1562" s="40"/>
      <c r="D1562" s="78"/>
      <c r="E1562" s="79"/>
      <c r="F1562" s="40"/>
      <c r="G1562" s="78"/>
      <c r="H1562" s="78"/>
      <c r="I1562" s="80"/>
      <c r="J1562" s="80"/>
      <c r="K1562" s="79"/>
      <c r="L1562" s="25"/>
      <c r="M1562" s="25"/>
      <c r="N1562" s="63"/>
      <c r="O1562" s="63"/>
      <c r="P1562" s="63"/>
      <c r="Q1562" s="63"/>
      <c r="R1562" s="32"/>
      <c r="S1562" s="32"/>
      <c r="T1562" s="32"/>
      <c r="U1562" s="32"/>
      <c r="W1562" s="32"/>
      <c r="X1562" s="32"/>
    </row>
    <row r="1563">
      <c r="A1563" s="40"/>
      <c r="B1563" s="40"/>
      <c r="C1563" s="40"/>
      <c r="D1563" s="78"/>
      <c r="E1563" s="79"/>
      <c r="F1563" s="40"/>
      <c r="G1563" s="78"/>
      <c r="H1563" s="78"/>
      <c r="I1563" s="80"/>
      <c r="J1563" s="80"/>
      <c r="K1563" s="79"/>
      <c r="L1563" s="25"/>
      <c r="M1563" s="25"/>
      <c r="N1563" s="63"/>
      <c r="O1563" s="63"/>
      <c r="P1563" s="63"/>
      <c r="Q1563" s="63"/>
      <c r="R1563" s="32"/>
      <c r="S1563" s="32"/>
      <c r="T1563" s="32"/>
      <c r="U1563" s="32"/>
      <c r="W1563" s="32"/>
      <c r="X1563" s="32"/>
    </row>
    <row r="1564">
      <c r="A1564" s="40"/>
      <c r="B1564" s="40"/>
      <c r="C1564" s="40"/>
      <c r="D1564" s="78"/>
      <c r="E1564" s="79"/>
      <c r="F1564" s="40"/>
      <c r="G1564" s="78"/>
      <c r="H1564" s="78"/>
      <c r="I1564" s="80"/>
      <c r="J1564" s="80"/>
      <c r="K1564" s="79"/>
      <c r="L1564" s="25"/>
      <c r="M1564" s="25"/>
      <c r="N1564" s="63"/>
      <c r="O1564" s="63"/>
      <c r="P1564" s="63"/>
      <c r="Q1564" s="63"/>
      <c r="R1564" s="32"/>
      <c r="S1564" s="32"/>
      <c r="T1564" s="32"/>
      <c r="U1564" s="32"/>
      <c r="W1564" s="32"/>
      <c r="X1564" s="32"/>
    </row>
    <row r="1565">
      <c r="A1565" s="40"/>
      <c r="B1565" s="40"/>
      <c r="C1565" s="40"/>
      <c r="D1565" s="78"/>
      <c r="E1565" s="79"/>
      <c r="F1565" s="40"/>
      <c r="G1565" s="78"/>
      <c r="H1565" s="78"/>
      <c r="I1565" s="80"/>
      <c r="J1565" s="80"/>
      <c r="K1565" s="79"/>
      <c r="L1565" s="25"/>
      <c r="M1565" s="25"/>
      <c r="N1565" s="63"/>
      <c r="O1565" s="63"/>
      <c r="P1565" s="63"/>
      <c r="Q1565" s="63"/>
      <c r="R1565" s="32"/>
      <c r="S1565" s="32"/>
      <c r="T1565" s="32"/>
      <c r="U1565" s="32"/>
      <c r="W1565" s="32"/>
      <c r="X1565" s="32"/>
    </row>
    <row r="1566">
      <c r="A1566" s="40"/>
      <c r="B1566" s="40"/>
      <c r="C1566" s="40"/>
      <c r="D1566" s="78"/>
      <c r="E1566" s="79"/>
      <c r="F1566" s="40"/>
      <c r="G1566" s="78"/>
      <c r="H1566" s="78"/>
      <c r="I1566" s="80"/>
      <c r="J1566" s="80"/>
      <c r="K1566" s="79"/>
      <c r="L1566" s="25"/>
      <c r="M1566" s="25"/>
      <c r="N1566" s="63"/>
      <c r="O1566" s="63"/>
      <c r="P1566" s="63"/>
      <c r="Q1566" s="63"/>
      <c r="R1566" s="32"/>
      <c r="S1566" s="32"/>
      <c r="T1566" s="32"/>
      <c r="U1566" s="32"/>
      <c r="W1566" s="32"/>
      <c r="X1566" s="32"/>
    </row>
    <row r="1567">
      <c r="A1567" s="40"/>
      <c r="B1567" s="40"/>
      <c r="C1567" s="40"/>
      <c r="D1567" s="78"/>
      <c r="E1567" s="79"/>
      <c r="F1567" s="40"/>
      <c r="G1567" s="78"/>
      <c r="H1567" s="78"/>
      <c r="I1567" s="80"/>
      <c r="J1567" s="80"/>
      <c r="K1567" s="79"/>
      <c r="L1567" s="25"/>
      <c r="M1567" s="25"/>
      <c r="N1567" s="63"/>
      <c r="O1567" s="63"/>
      <c r="P1567" s="63"/>
      <c r="Q1567" s="63"/>
      <c r="R1567" s="32"/>
      <c r="S1567" s="32"/>
      <c r="T1567" s="32"/>
      <c r="U1567" s="32"/>
      <c r="W1567" s="32"/>
      <c r="X1567" s="32"/>
    </row>
    <row r="1568">
      <c r="A1568" s="40"/>
      <c r="B1568" s="40"/>
      <c r="C1568" s="40"/>
      <c r="D1568" s="78"/>
      <c r="E1568" s="79"/>
      <c r="F1568" s="40"/>
      <c r="G1568" s="78"/>
      <c r="H1568" s="78"/>
      <c r="I1568" s="80"/>
      <c r="J1568" s="80"/>
      <c r="K1568" s="79"/>
      <c r="L1568" s="25"/>
      <c r="M1568" s="25"/>
      <c r="N1568" s="63"/>
      <c r="O1568" s="63"/>
      <c r="P1568" s="63"/>
      <c r="Q1568" s="63"/>
      <c r="R1568" s="32"/>
      <c r="S1568" s="32"/>
      <c r="T1568" s="32"/>
      <c r="U1568" s="32"/>
      <c r="W1568" s="32"/>
      <c r="X1568" s="32"/>
    </row>
    <row r="1569">
      <c r="A1569" s="40"/>
      <c r="B1569" s="40"/>
      <c r="C1569" s="40"/>
      <c r="D1569" s="78"/>
      <c r="E1569" s="79"/>
      <c r="F1569" s="40"/>
      <c r="G1569" s="78"/>
      <c r="H1569" s="78"/>
      <c r="I1569" s="80"/>
      <c r="J1569" s="80"/>
      <c r="K1569" s="79"/>
      <c r="L1569" s="25"/>
      <c r="M1569" s="25"/>
      <c r="N1569" s="63"/>
      <c r="O1569" s="63"/>
      <c r="P1569" s="63"/>
      <c r="Q1569" s="63"/>
      <c r="R1569" s="32"/>
      <c r="S1569" s="32"/>
      <c r="T1569" s="32"/>
      <c r="U1569" s="32"/>
      <c r="W1569" s="32"/>
      <c r="X1569" s="32"/>
    </row>
    <row r="1570">
      <c r="A1570" s="40"/>
      <c r="B1570" s="40"/>
      <c r="C1570" s="40"/>
      <c r="D1570" s="78"/>
      <c r="E1570" s="79"/>
      <c r="F1570" s="40"/>
      <c r="G1570" s="78"/>
      <c r="H1570" s="78"/>
      <c r="I1570" s="80"/>
      <c r="J1570" s="80"/>
      <c r="K1570" s="79"/>
      <c r="L1570" s="25"/>
      <c r="M1570" s="25"/>
      <c r="N1570" s="63"/>
      <c r="O1570" s="63"/>
      <c r="P1570" s="63"/>
      <c r="Q1570" s="63"/>
      <c r="R1570" s="32"/>
      <c r="S1570" s="32"/>
      <c r="T1570" s="32"/>
      <c r="U1570" s="32"/>
      <c r="W1570" s="32"/>
      <c r="X1570" s="32"/>
    </row>
    <row r="1571">
      <c r="A1571" s="40"/>
      <c r="B1571" s="40"/>
      <c r="C1571" s="40"/>
      <c r="D1571" s="78"/>
      <c r="E1571" s="79"/>
      <c r="F1571" s="40"/>
      <c r="G1571" s="78"/>
      <c r="H1571" s="78"/>
      <c r="I1571" s="80"/>
      <c r="J1571" s="80"/>
      <c r="K1571" s="79"/>
      <c r="L1571" s="25"/>
      <c r="M1571" s="25"/>
      <c r="N1571" s="63"/>
      <c r="O1571" s="63"/>
      <c r="P1571" s="63"/>
      <c r="Q1571" s="63"/>
      <c r="R1571" s="32"/>
      <c r="S1571" s="32"/>
      <c r="T1571" s="32"/>
      <c r="U1571" s="32"/>
      <c r="W1571" s="32"/>
      <c r="X1571" s="32"/>
    </row>
    <row r="1572">
      <c r="A1572" s="40"/>
      <c r="B1572" s="40"/>
      <c r="C1572" s="40"/>
      <c r="D1572" s="78"/>
      <c r="E1572" s="79"/>
      <c r="F1572" s="40"/>
      <c r="G1572" s="78"/>
      <c r="H1572" s="78"/>
      <c r="I1572" s="80"/>
      <c r="J1572" s="80"/>
      <c r="K1572" s="79"/>
      <c r="L1572" s="25"/>
      <c r="M1572" s="25"/>
      <c r="N1572" s="63"/>
      <c r="O1572" s="63"/>
      <c r="P1572" s="63"/>
      <c r="Q1572" s="63"/>
      <c r="R1572" s="32"/>
      <c r="S1572" s="32"/>
      <c r="T1572" s="32"/>
      <c r="U1572" s="32"/>
      <c r="W1572" s="32"/>
      <c r="X1572" s="32"/>
    </row>
    <row r="1573">
      <c r="A1573" s="40"/>
      <c r="B1573" s="40"/>
      <c r="C1573" s="40"/>
      <c r="D1573" s="78"/>
      <c r="E1573" s="79"/>
      <c r="F1573" s="40"/>
      <c r="G1573" s="78"/>
      <c r="H1573" s="78"/>
      <c r="I1573" s="80"/>
      <c r="J1573" s="80"/>
      <c r="K1573" s="79"/>
      <c r="L1573" s="25"/>
      <c r="M1573" s="25"/>
      <c r="N1573" s="63"/>
      <c r="O1573" s="63"/>
      <c r="P1573" s="63"/>
      <c r="Q1573" s="63"/>
      <c r="R1573" s="32"/>
      <c r="S1573" s="32"/>
      <c r="T1573" s="32"/>
      <c r="U1573" s="32"/>
      <c r="W1573" s="32"/>
      <c r="X1573" s="32"/>
    </row>
    <row r="1574">
      <c r="A1574" s="40"/>
      <c r="B1574" s="40"/>
      <c r="C1574" s="40"/>
      <c r="D1574" s="78"/>
      <c r="E1574" s="79"/>
      <c r="F1574" s="40"/>
      <c r="G1574" s="78"/>
      <c r="H1574" s="78"/>
      <c r="I1574" s="80"/>
      <c r="J1574" s="80"/>
      <c r="K1574" s="79"/>
      <c r="L1574" s="25"/>
      <c r="M1574" s="25"/>
      <c r="N1574" s="63"/>
      <c r="O1574" s="63"/>
      <c r="P1574" s="63"/>
      <c r="Q1574" s="63"/>
      <c r="R1574" s="32"/>
      <c r="S1574" s="32"/>
      <c r="T1574" s="32"/>
      <c r="U1574" s="32"/>
      <c r="W1574" s="32"/>
      <c r="X1574" s="32"/>
    </row>
    <row r="1575">
      <c r="A1575" s="40"/>
      <c r="B1575" s="40"/>
      <c r="C1575" s="40"/>
      <c r="D1575" s="78"/>
      <c r="E1575" s="79"/>
      <c r="F1575" s="40"/>
      <c r="G1575" s="78"/>
      <c r="H1575" s="78"/>
      <c r="I1575" s="80"/>
      <c r="J1575" s="80"/>
      <c r="K1575" s="79"/>
      <c r="L1575" s="25"/>
      <c r="M1575" s="25"/>
      <c r="N1575" s="63"/>
      <c r="O1575" s="63"/>
      <c r="P1575" s="63"/>
      <c r="Q1575" s="63"/>
      <c r="R1575" s="32"/>
      <c r="S1575" s="32"/>
      <c r="T1575" s="32"/>
      <c r="U1575" s="32"/>
      <c r="W1575" s="32"/>
      <c r="X1575" s="32"/>
    </row>
    <row r="1576">
      <c r="A1576" s="40"/>
      <c r="B1576" s="40"/>
      <c r="C1576" s="40"/>
      <c r="D1576" s="78"/>
      <c r="E1576" s="79"/>
      <c r="F1576" s="40"/>
      <c r="G1576" s="78"/>
      <c r="H1576" s="78"/>
      <c r="I1576" s="80"/>
      <c r="J1576" s="80"/>
      <c r="K1576" s="79"/>
      <c r="L1576" s="25"/>
      <c r="M1576" s="25"/>
      <c r="N1576" s="63"/>
      <c r="O1576" s="63"/>
      <c r="P1576" s="63"/>
      <c r="Q1576" s="63"/>
      <c r="R1576" s="32"/>
      <c r="S1576" s="32"/>
      <c r="T1576" s="32"/>
      <c r="U1576" s="32"/>
      <c r="W1576" s="32"/>
      <c r="X1576" s="32"/>
    </row>
    <row r="1577">
      <c r="A1577" s="40"/>
      <c r="B1577" s="40"/>
      <c r="C1577" s="40"/>
      <c r="D1577" s="78"/>
      <c r="E1577" s="79"/>
      <c r="F1577" s="40"/>
      <c r="G1577" s="78"/>
      <c r="H1577" s="78"/>
      <c r="I1577" s="80"/>
      <c r="J1577" s="80"/>
      <c r="K1577" s="79"/>
      <c r="L1577" s="25"/>
      <c r="M1577" s="25"/>
      <c r="N1577" s="63"/>
      <c r="O1577" s="63"/>
      <c r="P1577" s="63"/>
      <c r="Q1577" s="63"/>
      <c r="R1577" s="32"/>
      <c r="S1577" s="32"/>
      <c r="T1577" s="32"/>
      <c r="U1577" s="32"/>
      <c r="W1577" s="32"/>
      <c r="X1577" s="32"/>
    </row>
    <row r="1578">
      <c r="A1578" s="40"/>
      <c r="B1578" s="40"/>
      <c r="C1578" s="40"/>
      <c r="D1578" s="78"/>
      <c r="E1578" s="79"/>
      <c r="F1578" s="40"/>
      <c r="G1578" s="78"/>
      <c r="H1578" s="78"/>
      <c r="I1578" s="80"/>
      <c r="J1578" s="80"/>
      <c r="K1578" s="79"/>
      <c r="L1578" s="25"/>
      <c r="M1578" s="25"/>
      <c r="N1578" s="63"/>
      <c r="O1578" s="63"/>
      <c r="P1578" s="63"/>
      <c r="Q1578" s="63"/>
      <c r="R1578" s="32"/>
      <c r="S1578" s="32"/>
      <c r="T1578" s="32"/>
      <c r="U1578" s="32"/>
      <c r="W1578" s="32"/>
      <c r="X1578" s="32"/>
    </row>
    <row r="1579">
      <c r="A1579" s="40"/>
      <c r="B1579" s="40"/>
      <c r="C1579" s="40"/>
      <c r="D1579" s="78"/>
      <c r="E1579" s="79"/>
      <c r="F1579" s="40"/>
      <c r="G1579" s="78"/>
      <c r="H1579" s="78"/>
      <c r="I1579" s="80"/>
      <c r="J1579" s="80"/>
      <c r="K1579" s="79"/>
      <c r="L1579" s="25"/>
      <c r="M1579" s="25"/>
      <c r="N1579" s="63"/>
      <c r="O1579" s="63"/>
      <c r="P1579" s="63"/>
      <c r="Q1579" s="63"/>
      <c r="R1579" s="32"/>
      <c r="S1579" s="32"/>
      <c r="T1579" s="32"/>
      <c r="U1579" s="32"/>
      <c r="W1579" s="32"/>
      <c r="X1579" s="32"/>
    </row>
    <row r="1580">
      <c r="A1580" s="40"/>
      <c r="B1580" s="40"/>
      <c r="C1580" s="40"/>
      <c r="D1580" s="78"/>
      <c r="E1580" s="79"/>
      <c r="F1580" s="40"/>
      <c r="G1580" s="78"/>
      <c r="H1580" s="78"/>
      <c r="I1580" s="80"/>
      <c r="J1580" s="80"/>
      <c r="K1580" s="79"/>
      <c r="L1580" s="25"/>
      <c r="M1580" s="25"/>
      <c r="N1580" s="63"/>
      <c r="O1580" s="63"/>
      <c r="P1580" s="63"/>
      <c r="Q1580" s="63"/>
      <c r="R1580" s="32"/>
      <c r="S1580" s="32"/>
      <c r="T1580" s="32"/>
      <c r="U1580" s="32"/>
      <c r="W1580" s="32"/>
      <c r="X1580" s="32"/>
    </row>
    <row r="1581">
      <c r="A1581" s="40"/>
      <c r="B1581" s="40"/>
      <c r="C1581" s="40"/>
      <c r="D1581" s="78"/>
      <c r="E1581" s="79"/>
      <c r="F1581" s="40"/>
      <c r="G1581" s="78"/>
      <c r="H1581" s="78"/>
      <c r="I1581" s="80"/>
      <c r="J1581" s="80"/>
      <c r="K1581" s="79"/>
      <c r="L1581" s="25"/>
      <c r="M1581" s="25"/>
      <c r="N1581" s="63"/>
      <c r="O1581" s="63"/>
      <c r="P1581" s="63"/>
      <c r="Q1581" s="63"/>
      <c r="R1581" s="32"/>
      <c r="S1581" s="32"/>
      <c r="T1581" s="32"/>
      <c r="U1581" s="32"/>
      <c r="W1581" s="32"/>
      <c r="X1581" s="32"/>
    </row>
    <row r="1582">
      <c r="A1582" s="40"/>
      <c r="B1582" s="40"/>
      <c r="C1582" s="40"/>
      <c r="D1582" s="78"/>
      <c r="E1582" s="79"/>
      <c r="F1582" s="40"/>
      <c r="G1582" s="78"/>
      <c r="H1582" s="78"/>
      <c r="I1582" s="80"/>
      <c r="J1582" s="80"/>
      <c r="K1582" s="79"/>
      <c r="L1582" s="25"/>
      <c r="M1582" s="25"/>
      <c r="N1582" s="63"/>
      <c r="O1582" s="63"/>
      <c r="P1582" s="63"/>
      <c r="Q1582" s="63"/>
      <c r="R1582" s="32"/>
      <c r="S1582" s="32"/>
      <c r="T1582" s="32"/>
      <c r="U1582" s="32"/>
      <c r="W1582" s="32"/>
      <c r="X1582" s="32"/>
    </row>
    <row r="1583">
      <c r="A1583" s="40"/>
      <c r="B1583" s="40"/>
      <c r="C1583" s="40"/>
      <c r="D1583" s="78"/>
      <c r="E1583" s="79"/>
      <c r="F1583" s="40"/>
      <c r="G1583" s="78"/>
      <c r="H1583" s="78"/>
      <c r="I1583" s="80"/>
      <c r="J1583" s="80"/>
      <c r="K1583" s="79"/>
      <c r="L1583" s="25"/>
      <c r="M1583" s="25"/>
      <c r="N1583" s="63"/>
      <c r="O1583" s="63"/>
      <c r="P1583" s="63"/>
      <c r="Q1583" s="63"/>
      <c r="R1583" s="32"/>
      <c r="S1583" s="32"/>
      <c r="T1583" s="32"/>
      <c r="U1583" s="32"/>
      <c r="W1583" s="32"/>
      <c r="X1583" s="32"/>
    </row>
    <row r="1584">
      <c r="A1584" s="40"/>
      <c r="B1584" s="40"/>
      <c r="C1584" s="40"/>
      <c r="D1584" s="78"/>
      <c r="E1584" s="79"/>
      <c r="F1584" s="40"/>
      <c r="G1584" s="78"/>
      <c r="H1584" s="78"/>
      <c r="I1584" s="80"/>
      <c r="J1584" s="80"/>
      <c r="K1584" s="79"/>
      <c r="L1584" s="25"/>
      <c r="M1584" s="25"/>
      <c r="N1584" s="63"/>
      <c r="O1584" s="63"/>
      <c r="P1584" s="63"/>
      <c r="Q1584" s="63"/>
      <c r="R1584" s="32"/>
      <c r="S1584" s="32"/>
      <c r="T1584" s="32"/>
      <c r="U1584" s="32"/>
      <c r="W1584" s="32"/>
      <c r="X1584" s="32"/>
    </row>
    <row r="1585">
      <c r="A1585" s="40"/>
      <c r="B1585" s="40"/>
      <c r="C1585" s="40"/>
      <c r="D1585" s="78"/>
      <c r="E1585" s="79"/>
      <c r="F1585" s="40"/>
      <c r="G1585" s="78"/>
      <c r="H1585" s="78"/>
      <c r="I1585" s="80"/>
      <c r="J1585" s="80"/>
      <c r="K1585" s="79"/>
      <c r="L1585" s="25"/>
      <c r="M1585" s="25"/>
      <c r="N1585" s="63"/>
      <c r="O1585" s="63"/>
      <c r="P1585" s="63"/>
      <c r="Q1585" s="63"/>
      <c r="R1585" s="32"/>
      <c r="S1585" s="32"/>
      <c r="T1585" s="32"/>
      <c r="U1585" s="32"/>
      <c r="W1585" s="32"/>
      <c r="X1585" s="32"/>
    </row>
    <row r="1586">
      <c r="A1586" s="40"/>
      <c r="B1586" s="40"/>
      <c r="C1586" s="40"/>
      <c r="D1586" s="78"/>
      <c r="E1586" s="79"/>
      <c r="F1586" s="40"/>
      <c r="G1586" s="78"/>
      <c r="H1586" s="78"/>
      <c r="I1586" s="80"/>
      <c r="J1586" s="80"/>
      <c r="K1586" s="79"/>
      <c r="L1586" s="25"/>
      <c r="M1586" s="25"/>
      <c r="N1586" s="63"/>
      <c r="O1586" s="63"/>
      <c r="P1586" s="63"/>
      <c r="Q1586" s="63"/>
      <c r="R1586" s="32"/>
      <c r="S1586" s="32"/>
      <c r="T1586" s="32"/>
      <c r="U1586" s="32"/>
      <c r="W1586" s="32"/>
      <c r="X1586" s="32"/>
    </row>
    <row r="1587">
      <c r="A1587" s="40"/>
      <c r="B1587" s="40"/>
      <c r="C1587" s="40"/>
      <c r="D1587" s="78"/>
      <c r="E1587" s="79"/>
      <c r="F1587" s="40"/>
      <c r="G1587" s="78"/>
      <c r="H1587" s="78"/>
      <c r="I1587" s="80"/>
      <c r="J1587" s="80"/>
      <c r="K1587" s="79"/>
      <c r="L1587" s="25"/>
      <c r="M1587" s="25"/>
      <c r="N1587" s="63"/>
      <c r="O1587" s="63"/>
      <c r="P1587" s="63"/>
      <c r="Q1587" s="63"/>
      <c r="R1587" s="32"/>
      <c r="S1587" s="32"/>
      <c r="T1587" s="32"/>
      <c r="U1587" s="32"/>
      <c r="W1587" s="32"/>
      <c r="X1587" s="32"/>
    </row>
    <row r="1588">
      <c r="A1588" s="40"/>
      <c r="B1588" s="40"/>
      <c r="C1588" s="40"/>
      <c r="D1588" s="78"/>
      <c r="E1588" s="79"/>
      <c r="F1588" s="40"/>
      <c r="G1588" s="78"/>
      <c r="H1588" s="78"/>
      <c r="I1588" s="80"/>
      <c r="J1588" s="80"/>
      <c r="K1588" s="79"/>
      <c r="L1588" s="25"/>
      <c r="M1588" s="25"/>
      <c r="N1588" s="63"/>
      <c r="O1588" s="63"/>
      <c r="P1588" s="63"/>
      <c r="Q1588" s="63"/>
      <c r="R1588" s="32"/>
      <c r="S1588" s="32"/>
      <c r="T1588" s="32"/>
      <c r="U1588" s="32"/>
      <c r="W1588" s="32"/>
      <c r="X1588" s="32"/>
    </row>
    <row r="1589">
      <c r="A1589" s="40"/>
      <c r="B1589" s="40"/>
      <c r="C1589" s="40"/>
      <c r="D1589" s="78"/>
      <c r="E1589" s="79"/>
      <c r="F1589" s="40"/>
      <c r="G1589" s="78"/>
      <c r="H1589" s="78"/>
      <c r="I1589" s="80"/>
      <c r="J1589" s="80"/>
      <c r="K1589" s="79"/>
      <c r="L1589" s="25"/>
      <c r="M1589" s="25"/>
      <c r="N1589" s="63"/>
      <c r="O1589" s="63"/>
      <c r="P1589" s="63"/>
      <c r="Q1589" s="63"/>
      <c r="R1589" s="32"/>
      <c r="S1589" s="32"/>
      <c r="T1589" s="32"/>
      <c r="U1589" s="32"/>
      <c r="W1589" s="32"/>
      <c r="X1589" s="32"/>
    </row>
    <row r="1590">
      <c r="A1590" s="40"/>
      <c r="B1590" s="40"/>
      <c r="C1590" s="40"/>
      <c r="D1590" s="78"/>
      <c r="E1590" s="79"/>
      <c r="F1590" s="40"/>
      <c r="G1590" s="78"/>
      <c r="H1590" s="78"/>
      <c r="I1590" s="80"/>
      <c r="J1590" s="80"/>
      <c r="K1590" s="79"/>
      <c r="L1590" s="25"/>
      <c r="M1590" s="25"/>
      <c r="N1590" s="63"/>
      <c r="O1590" s="63"/>
      <c r="P1590" s="63"/>
      <c r="Q1590" s="63"/>
      <c r="R1590" s="32"/>
      <c r="S1590" s="32"/>
      <c r="T1590" s="32"/>
      <c r="U1590" s="32"/>
      <c r="W1590" s="32"/>
      <c r="X1590" s="32"/>
    </row>
    <row r="1591">
      <c r="A1591" s="40"/>
      <c r="B1591" s="40"/>
      <c r="C1591" s="40"/>
      <c r="D1591" s="78"/>
      <c r="E1591" s="79"/>
      <c r="F1591" s="40"/>
      <c r="G1591" s="78"/>
      <c r="H1591" s="78"/>
      <c r="I1591" s="80"/>
      <c r="J1591" s="80"/>
      <c r="K1591" s="79"/>
      <c r="L1591" s="25"/>
      <c r="M1591" s="25"/>
      <c r="N1591" s="63"/>
      <c r="O1591" s="63"/>
      <c r="P1591" s="63"/>
      <c r="Q1591" s="63"/>
      <c r="R1591" s="32"/>
      <c r="S1591" s="32"/>
      <c r="T1591" s="32"/>
      <c r="U1591" s="32"/>
      <c r="W1591" s="32"/>
      <c r="X1591" s="32"/>
    </row>
    <row r="1592">
      <c r="A1592" s="40"/>
      <c r="B1592" s="40"/>
      <c r="C1592" s="40"/>
      <c r="D1592" s="78"/>
      <c r="E1592" s="79"/>
      <c r="F1592" s="40"/>
      <c r="G1592" s="78"/>
      <c r="H1592" s="78"/>
      <c r="I1592" s="80"/>
      <c r="J1592" s="80"/>
      <c r="K1592" s="79"/>
      <c r="L1592" s="25"/>
      <c r="M1592" s="25"/>
      <c r="N1592" s="63"/>
      <c r="O1592" s="63"/>
      <c r="P1592" s="63"/>
      <c r="Q1592" s="63"/>
      <c r="R1592" s="32"/>
      <c r="S1592" s="32"/>
      <c r="T1592" s="32"/>
      <c r="U1592" s="32"/>
      <c r="W1592" s="32"/>
      <c r="X1592" s="32"/>
    </row>
    <row r="1593">
      <c r="A1593" s="40"/>
      <c r="B1593" s="40"/>
      <c r="C1593" s="40"/>
      <c r="D1593" s="78"/>
      <c r="E1593" s="79"/>
      <c r="F1593" s="40"/>
      <c r="G1593" s="78"/>
      <c r="H1593" s="78"/>
      <c r="I1593" s="80"/>
      <c r="J1593" s="80"/>
      <c r="K1593" s="79"/>
      <c r="L1593" s="25"/>
      <c r="M1593" s="25"/>
      <c r="N1593" s="63"/>
      <c r="O1593" s="63"/>
      <c r="P1593" s="63"/>
      <c r="Q1593" s="63"/>
      <c r="R1593" s="32"/>
      <c r="S1593" s="32"/>
      <c r="T1593" s="32"/>
      <c r="U1593" s="32"/>
      <c r="W1593" s="32"/>
      <c r="X1593" s="32"/>
    </row>
    <row r="1594">
      <c r="A1594" s="40"/>
      <c r="B1594" s="40"/>
      <c r="C1594" s="40"/>
      <c r="D1594" s="78"/>
      <c r="E1594" s="79"/>
      <c r="F1594" s="40"/>
      <c r="G1594" s="78"/>
      <c r="H1594" s="78"/>
      <c r="I1594" s="80"/>
      <c r="J1594" s="80"/>
      <c r="K1594" s="79"/>
      <c r="L1594" s="25"/>
      <c r="M1594" s="25"/>
      <c r="N1594" s="63"/>
      <c r="O1594" s="63"/>
      <c r="P1594" s="63"/>
      <c r="Q1594" s="63"/>
      <c r="R1594" s="32"/>
      <c r="S1594" s="32"/>
      <c r="T1594" s="32"/>
      <c r="U1594" s="32"/>
      <c r="W1594" s="32"/>
      <c r="X1594" s="32"/>
    </row>
    <row r="1595">
      <c r="A1595" s="40"/>
      <c r="B1595" s="40"/>
      <c r="C1595" s="40"/>
      <c r="D1595" s="78"/>
      <c r="E1595" s="79"/>
      <c r="F1595" s="40"/>
      <c r="G1595" s="78"/>
      <c r="H1595" s="78"/>
      <c r="I1595" s="80"/>
      <c r="J1595" s="80"/>
      <c r="K1595" s="79"/>
      <c r="L1595" s="25"/>
      <c r="M1595" s="25"/>
      <c r="N1595" s="63"/>
      <c r="O1595" s="63"/>
      <c r="P1595" s="63"/>
      <c r="Q1595" s="63"/>
      <c r="R1595" s="32"/>
      <c r="S1595" s="32"/>
      <c r="T1595" s="32"/>
      <c r="U1595" s="32"/>
      <c r="W1595" s="32"/>
      <c r="X1595" s="32"/>
    </row>
    <row r="1596">
      <c r="A1596" s="40"/>
      <c r="B1596" s="40"/>
      <c r="C1596" s="40"/>
      <c r="D1596" s="78"/>
      <c r="E1596" s="79"/>
      <c r="F1596" s="40"/>
      <c r="G1596" s="78"/>
      <c r="H1596" s="78"/>
      <c r="I1596" s="80"/>
      <c r="J1596" s="80"/>
      <c r="K1596" s="79"/>
      <c r="L1596" s="25"/>
      <c r="M1596" s="25"/>
      <c r="N1596" s="63"/>
      <c r="O1596" s="63"/>
      <c r="P1596" s="63"/>
      <c r="Q1596" s="63"/>
      <c r="R1596" s="32"/>
      <c r="S1596" s="32"/>
      <c r="T1596" s="32"/>
      <c r="U1596" s="32"/>
      <c r="W1596" s="32"/>
      <c r="X1596" s="32"/>
    </row>
    <row r="1597">
      <c r="A1597" s="40"/>
      <c r="B1597" s="40"/>
      <c r="C1597" s="40"/>
      <c r="D1597" s="78"/>
      <c r="E1597" s="79"/>
      <c r="F1597" s="40"/>
      <c r="G1597" s="78"/>
      <c r="H1597" s="78"/>
      <c r="I1597" s="80"/>
      <c r="J1597" s="80"/>
      <c r="K1597" s="79"/>
      <c r="L1597" s="25"/>
      <c r="M1597" s="25"/>
      <c r="N1597" s="63"/>
      <c r="O1597" s="63"/>
      <c r="P1597" s="63"/>
      <c r="Q1597" s="63"/>
      <c r="R1597" s="32"/>
      <c r="S1597" s="32"/>
      <c r="T1597" s="32"/>
      <c r="U1597" s="32"/>
      <c r="W1597" s="32"/>
      <c r="X1597" s="32"/>
    </row>
    <row r="1598">
      <c r="A1598" s="40"/>
      <c r="B1598" s="40"/>
      <c r="C1598" s="40"/>
      <c r="D1598" s="78"/>
      <c r="E1598" s="79"/>
      <c r="F1598" s="40"/>
      <c r="G1598" s="78"/>
      <c r="H1598" s="78"/>
      <c r="I1598" s="80"/>
      <c r="J1598" s="80"/>
      <c r="K1598" s="79"/>
      <c r="L1598" s="25"/>
      <c r="M1598" s="25"/>
      <c r="N1598" s="63"/>
      <c r="O1598" s="63"/>
      <c r="P1598" s="63"/>
      <c r="Q1598" s="63"/>
      <c r="R1598" s="32"/>
      <c r="S1598" s="32"/>
      <c r="T1598" s="32"/>
      <c r="U1598" s="32"/>
      <c r="W1598" s="32"/>
      <c r="X1598" s="32"/>
    </row>
    <row r="1599">
      <c r="A1599" s="40"/>
      <c r="B1599" s="40"/>
      <c r="C1599" s="40"/>
      <c r="D1599" s="78"/>
      <c r="E1599" s="79"/>
      <c r="F1599" s="40"/>
      <c r="G1599" s="78"/>
      <c r="H1599" s="78"/>
      <c r="I1599" s="80"/>
      <c r="J1599" s="80"/>
      <c r="K1599" s="79"/>
      <c r="L1599" s="25"/>
      <c r="M1599" s="25"/>
      <c r="N1599" s="63"/>
      <c r="O1599" s="63"/>
      <c r="P1599" s="63"/>
      <c r="Q1599" s="63"/>
      <c r="R1599" s="32"/>
      <c r="S1599" s="32"/>
      <c r="T1599" s="32"/>
      <c r="U1599" s="32"/>
      <c r="W1599" s="32"/>
      <c r="X1599" s="32"/>
    </row>
    <row r="1600">
      <c r="A1600" s="40"/>
      <c r="B1600" s="40"/>
      <c r="C1600" s="40"/>
      <c r="D1600" s="78"/>
      <c r="E1600" s="79"/>
      <c r="F1600" s="40"/>
      <c r="G1600" s="78"/>
      <c r="H1600" s="78"/>
      <c r="I1600" s="80"/>
      <c r="J1600" s="80"/>
      <c r="K1600" s="79"/>
      <c r="L1600" s="25"/>
      <c r="M1600" s="25"/>
      <c r="N1600" s="63"/>
      <c r="O1600" s="63"/>
      <c r="P1600" s="63"/>
      <c r="Q1600" s="63"/>
      <c r="R1600" s="32"/>
      <c r="S1600" s="32"/>
      <c r="T1600" s="32"/>
      <c r="U1600" s="32"/>
      <c r="W1600" s="32"/>
      <c r="X1600" s="32"/>
    </row>
    <row r="1601">
      <c r="A1601" s="40"/>
      <c r="B1601" s="40"/>
      <c r="C1601" s="40"/>
      <c r="D1601" s="78"/>
      <c r="E1601" s="79"/>
      <c r="F1601" s="40"/>
      <c r="G1601" s="78"/>
      <c r="H1601" s="78"/>
      <c r="I1601" s="80"/>
      <c r="J1601" s="80"/>
      <c r="K1601" s="79"/>
      <c r="L1601" s="25"/>
      <c r="M1601" s="25"/>
      <c r="N1601" s="63"/>
      <c r="O1601" s="63"/>
      <c r="P1601" s="63"/>
      <c r="Q1601" s="63"/>
      <c r="R1601" s="32"/>
      <c r="S1601" s="32"/>
      <c r="T1601" s="32"/>
      <c r="U1601" s="32"/>
      <c r="W1601" s="32"/>
      <c r="X1601" s="32"/>
    </row>
    <row r="1602">
      <c r="A1602" s="40"/>
      <c r="B1602" s="40"/>
      <c r="C1602" s="40"/>
      <c r="D1602" s="78"/>
      <c r="E1602" s="79"/>
      <c r="F1602" s="40"/>
      <c r="G1602" s="78"/>
      <c r="H1602" s="78"/>
      <c r="I1602" s="80"/>
      <c r="J1602" s="80"/>
      <c r="K1602" s="79"/>
      <c r="L1602" s="25"/>
      <c r="M1602" s="25"/>
      <c r="N1602" s="63"/>
      <c r="O1602" s="63"/>
      <c r="P1602" s="63"/>
      <c r="Q1602" s="63"/>
      <c r="R1602" s="32"/>
      <c r="S1602" s="32"/>
      <c r="T1602" s="32"/>
      <c r="U1602" s="32"/>
      <c r="W1602" s="32"/>
      <c r="X1602" s="32"/>
    </row>
    <row r="1603">
      <c r="A1603" s="40"/>
      <c r="B1603" s="40"/>
      <c r="C1603" s="40"/>
      <c r="D1603" s="78"/>
      <c r="E1603" s="79"/>
      <c r="F1603" s="40"/>
      <c r="G1603" s="78"/>
      <c r="H1603" s="78"/>
      <c r="I1603" s="80"/>
      <c r="J1603" s="80"/>
      <c r="K1603" s="79"/>
      <c r="L1603" s="25"/>
      <c r="M1603" s="25"/>
      <c r="N1603" s="63"/>
      <c r="O1603" s="63"/>
      <c r="P1603" s="63"/>
      <c r="Q1603" s="63"/>
      <c r="R1603" s="32"/>
      <c r="S1603" s="32"/>
      <c r="T1603" s="32"/>
      <c r="U1603" s="32"/>
      <c r="W1603" s="32"/>
      <c r="X1603" s="32"/>
    </row>
    <row r="1604">
      <c r="A1604" s="40"/>
      <c r="B1604" s="40"/>
      <c r="C1604" s="40"/>
      <c r="D1604" s="78"/>
      <c r="E1604" s="79"/>
      <c r="F1604" s="40"/>
      <c r="G1604" s="78"/>
      <c r="H1604" s="78"/>
      <c r="I1604" s="80"/>
      <c r="J1604" s="80"/>
      <c r="K1604" s="79"/>
      <c r="L1604" s="25"/>
      <c r="M1604" s="25"/>
      <c r="N1604" s="63"/>
      <c r="O1604" s="63"/>
      <c r="P1604" s="63"/>
      <c r="Q1604" s="63"/>
      <c r="R1604" s="32"/>
      <c r="S1604" s="32"/>
      <c r="T1604" s="32"/>
      <c r="U1604" s="32"/>
      <c r="W1604" s="32"/>
      <c r="X1604" s="32"/>
    </row>
    <row r="1605">
      <c r="A1605" s="40"/>
      <c r="B1605" s="40"/>
      <c r="C1605" s="40"/>
      <c r="D1605" s="78"/>
      <c r="E1605" s="79"/>
      <c r="F1605" s="40"/>
      <c r="G1605" s="78"/>
      <c r="H1605" s="78"/>
      <c r="I1605" s="80"/>
      <c r="J1605" s="80"/>
      <c r="K1605" s="79"/>
      <c r="L1605" s="25"/>
      <c r="M1605" s="25"/>
      <c r="N1605" s="63"/>
      <c r="O1605" s="63"/>
      <c r="P1605" s="63"/>
      <c r="Q1605" s="63"/>
      <c r="R1605" s="32"/>
      <c r="S1605" s="32"/>
      <c r="T1605" s="32"/>
      <c r="U1605" s="32"/>
      <c r="W1605" s="32"/>
      <c r="X1605" s="32"/>
    </row>
    <row r="1606">
      <c r="A1606" s="40"/>
      <c r="B1606" s="40"/>
      <c r="C1606" s="40"/>
      <c r="D1606" s="78"/>
      <c r="E1606" s="79"/>
      <c r="F1606" s="40"/>
      <c r="G1606" s="78"/>
      <c r="H1606" s="78"/>
      <c r="I1606" s="80"/>
      <c r="J1606" s="80"/>
      <c r="K1606" s="79"/>
      <c r="L1606" s="25"/>
      <c r="M1606" s="25"/>
      <c r="N1606" s="63"/>
      <c r="O1606" s="63"/>
      <c r="P1606" s="63"/>
      <c r="Q1606" s="63"/>
      <c r="R1606" s="32"/>
      <c r="S1606" s="32"/>
      <c r="T1606" s="32"/>
      <c r="U1606" s="32"/>
      <c r="W1606" s="32"/>
      <c r="X1606" s="32"/>
    </row>
    <row r="1607">
      <c r="A1607" s="40"/>
      <c r="B1607" s="40"/>
      <c r="C1607" s="40"/>
      <c r="D1607" s="78"/>
      <c r="E1607" s="79"/>
      <c r="F1607" s="40"/>
      <c r="G1607" s="78"/>
      <c r="H1607" s="78"/>
      <c r="I1607" s="80"/>
      <c r="J1607" s="80"/>
      <c r="K1607" s="79"/>
      <c r="L1607" s="25"/>
      <c r="M1607" s="25"/>
      <c r="N1607" s="63"/>
      <c r="O1607" s="63"/>
      <c r="P1607" s="63"/>
      <c r="Q1607" s="63"/>
      <c r="R1607" s="32"/>
      <c r="S1607" s="32"/>
      <c r="T1607" s="32"/>
      <c r="U1607" s="32"/>
      <c r="W1607" s="32"/>
      <c r="X1607" s="32"/>
    </row>
    <row r="1608">
      <c r="A1608" s="40"/>
      <c r="B1608" s="40"/>
      <c r="C1608" s="40"/>
      <c r="D1608" s="78"/>
      <c r="E1608" s="79"/>
      <c r="F1608" s="40"/>
      <c r="G1608" s="78"/>
      <c r="H1608" s="78"/>
      <c r="I1608" s="80"/>
      <c r="J1608" s="80"/>
      <c r="K1608" s="79"/>
      <c r="L1608" s="25"/>
      <c r="M1608" s="25"/>
      <c r="N1608" s="63"/>
      <c r="O1608" s="63"/>
      <c r="P1608" s="63"/>
      <c r="Q1608" s="63"/>
      <c r="R1608" s="32"/>
      <c r="S1608" s="32"/>
      <c r="T1608" s="32"/>
      <c r="U1608" s="32"/>
      <c r="W1608" s="32"/>
      <c r="X1608" s="32"/>
    </row>
    <row r="1609">
      <c r="A1609" s="40"/>
      <c r="B1609" s="40"/>
      <c r="C1609" s="40"/>
      <c r="D1609" s="78"/>
      <c r="E1609" s="79"/>
      <c r="F1609" s="40"/>
      <c r="G1609" s="78"/>
      <c r="H1609" s="78"/>
      <c r="I1609" s="80"/>
      <c r="J1609" s="80"/>
      <c r="K1609" s="79"/>
      <c r="L1609" s="25"/>
      <c r="M1609" s="25"/>
      <c r="N1609" s="63"/>
      <c r="O1609" s="63"/>
      <c r="P1609" s="63"/>
      <c r="Q1609" s="63"/>
      <c r="R1609" s="32"/>
      <c r="S1609" s="32"/>
      <c r="T1609" s="32"/>
      <c r="U1609" s="32"/>
      <c r="W1609" s="32"/>
      <c r="X1609" s="32"/>
    </row>
    <row r="1610">
      <c r="A1610" s="40"/>
      <c r="B1610" s="40"/>
      <c r="C1610" s="40"/>
      <c r="D1610" s="78"/>
      <c r="E1610" s="79"/>
      <c r="F1610" s="40"/>
      <c r="G1610" s="78"/>
      <c r="H1610" s="78"/>
      <c r="I1610" s="80"/>
      <c r="J1610" s="80"/>
      <c r="K1610" s="79"/>
      <c r="L1610" s="25"/>
      <c r="M1610" s="25"/>
      <c r="N1610" s="63"/>
      <c r="O1610" s="63"/>
      <c r="P1610" s="63"/>
      <c r="Q1610" s="63"/>
      <c r="R1610" s="32"/>
      <c r="S1610" s="32"/>
      <c r="T1610" s="32"/>
      <c r="U1610" s="32"/>
      <c r="W1610" s="32"/>
      <c r="X1610" s="32"/>
    </row>
    <row r="1611">
      <c r="A1611" s="40"/>
      <c r="B1611" s="40"/>
      <c r="C1611" s="40"/>
      <c r="D1611" s="78"/>
      <c r="E1611" s="79"/>
      <c r="F1611" s="40"/>
      <c r="G1611" s="78"/>
      <c r="H1611" s="78"/>
      <c r="I1611" s="80"/>
      <c r="J1611" s="80"/>
      <c r="K1611" s="79"/>
      <c r="L1611" s="25"/>
      <c r="M1611" s="25"/>
      <c r="N1611" s="63"/>
      <c r="O1611" s="63"/>
      <c r="P1611" s="63"/>
      <c r="Q1611" s="63"/>
      <c r="R1611" s="32"/>
      <c r="S1611" s="32"/>
      <c r="T1611" s="32"/>
      <c r="U1611" s="32"/>
      <c r="W1611" s="32"/>
      <c r="X1611" s="32"/>
    </row>
    <row r="1612">
      <c r="A1612" s="40"/>
      <c r="B1612" s="40"/>
      <c r="C1612" s="40"/>
      <c r="D1612" s="78"/>
      <c r="E1612" s="79"/>
      <c r="F1612" s="40"/>
      <c r="G1612" s="78"/>
      <c r="H1612" s="78"/>
      <c r="I1612" s="80"/>
      <c r="J1612" s="80"/>
      <c r="K1612" s="79"/>
      <c r="L1612" s="25"/>
      <c r="M1612" s="25"/>
      <c r="N1612" s="63"/>
      <c r="O1612" s="63"/>
      <c r="P1612" s="63"/>
      <c r="Q1612" s="63"/>
      <c r="R1612" s="32"/>
      <c r="S1612" s="32"/>
      <c r="T1612" s="32"/>
      <c r="U1612" s="32"/>
      <c r="W1612" s="32"/>
      <c r="X1612" s="32"/>
    </row>
    <row r="1613">
      <c r="A1613" s="40"/>
      <c r="B1613" s="40"/>
      <c r="C1613" s="40"/>
      <c r="D1613" s="78"/>
      <c r="E1613" s="79"/>
      <c r="F1613" s="40"/>
      <c r="G1613" s="78"/>
      <c r="H1613" s="78"/>
      <c r="I1613" s="80"/>
      <c r="J1613" s="80"/>
      <c r="K1613" s="79"/>
      <c r="L1613" s="25"/>
      <c r="M1613" s="25"/>
      <c r="N1613" s="63"/>
      <c r="O1613" s="63"/>
      <c r="P1613" s="63"/>
      <c r="Q1613" s="63"/>
      <c r="R1613" s="32"/>
      <c r="S1613" s="32"/>
      <c r="T1613" s="32"/>
      <c r="U1613" s="32"/>
      <c r="W1613" s="32"/>
      <c r="X1613" s="32"/>
    </row>
    <row r="1614">
      <c r="A1614" s="40"/>
      <c r="B1614" s="40"/>
      <c r="C1614" s="40"/>
      <c r="D1614" s="78"/>
      <c r="E1614" s="79"/>
      <c r="F1614" s="40"/>
      <c r="G1614" s="78"/>
      <c r="H1614" s="78"/>
      <c r="I1614" s="80"/>
      <c r="J1614" s="80"/>
      <c r="K1614" s="79"/>
      <c r="L1614" s="25"/>
      <c r="M1614" s="25"/>
      <c r="N1614" s="63"/>
      <c r="O1614" s="63"/>
      <c r="P1614" s="63"/>
      <c r="Q1614" s="63"/>
      <c r="R1614" s="32"/>
      <c r="S1614" s="32"/>
      <c r="T1614" s="32"/>
      <c r="U1614" s="32"/>
      <c r="W1614" s="32"/>
      <c r="X1614" s="32"/>
    </row>
    <row r="1615">
      <c r="A1615" s="40"/>
      <c r="B1615" s="40"/>
      <c r="C1615" s="40"/>
      <c r="D1615" s="78"/>
      <c r="E1615" s="79"/>
      <c r="F1615" s="40"/>
      <c r="G1615" s="78"/>
      <c r="H1615" s="78"/>
      <c r="I1615" s="80"/>
      <c r="J1615" s="80"/>
      <c r="K1615" s="79"/>
      <c r="L1615" s="25"/>
      <c r="M1615" s="25"/>
      <c r="N1615" s="63"/>
      <c r="O1615" s="63"/>
      <c r="P1615" s="63"/>
      <c r="Q1615" s="63"/>
      <c r="R1615" s="32"/>
      <c r="S1615" s="32"/>
      <c r="T1615" s="32"/>
      <c r="U1615" s="32"/>
      <c r="W1615" s="32"/>
      <c r="X1615" s="32"/>
    </row>
    <row r="1616">
      <c r="A1616" s="40"/>
      <c r="B1616" s="40"/>
      <c r="C1616" s="40"/>
      <c r="D1616" s="78"/>
      <c r="E1616" s="79"/>
      <c r="F1616" s="40"/>
      <c r="G1616" s="78"/>
      <c r="H1616" s="78"/>
      <c r="I1616" s="80"/>
      <c r="J1616" s="80"/>
      <c r="K1616" s="79"/>
      <c r="L1616" s="25"/>
      <c r="M1616" s="25"/>
      <c r="N1616" s="63"/>
      <c r="O1616" s="63"/>
      <c r="P1616" s="63"/>
      <c r="Q1616" s="63"/>
      <c r="R1616" s="32"/>
      <c r="S1616" s="32"/>
      <c r="T1616" s="32"/>
      <c r="U1616" s="32"/>
      <c r="W1616" s="32"/>
      <c r="X1616" s="32"/>
    </row>
    <row r="1617">
      <c r="A1617" s="40"/>
      <c r="B1617" s="40"/>
      <c r="C1617" s="40"/>
      <c r="D1617" s="78"/>
      <c r="E1617" s="79"/>
      <c r="F1617" s="40"/>
      <c r="G1617" s="78"/>
      <c r="H1617" s="78"/>
      <c r="I1617" s="80"/>
      <c r="J1617" s="80"/>
      <c r="K1617" s="79"/>
      <c r="L1617" s="25"/>
      <c r="M1617" s="25"/>
      <c r="N1617" s="63"/>
      <c r="O1617" s="63"/>
      <c r="P1617" s="63"/>
      <c r="Q1617" s="63"/>
      <c r="R1617" s="32"/>
      <c r="S1617" s="32"/>
      <c r="T1617" s="32"/>
      <c r="U1617" s="32"/>
      <c r="W1617" s="32"/>
      <c r="X1617" s="32"/>
    </row>
    <row r="1618">
      <c r="A1618" s="40"/>
      <c r="B1618" s="40"/>
      <c r="C1618" s="40"/>
      <c r="D1618" s="78"/>
      <c r="E1618" s="79"/>
      <c r="F1618" s="40"/>
      <c r="G1618" s="78"/>
      <c r="H1618" s="78"/>
      <c r="I1618" s="80"/>
      <c r="J1618" s="80"/>
      <c r="K1618" s="79"/>
      <c r="L1618" s="25"/>
      <c r="M1618" s="25"/>
      <c r="N1618" s="63"/>
      <c r="O1618" s="63"/>
      <c r="P1618" s="63"/>
      <c r="Q1618" s="63"/>
      <c r="R1618" s="32"/>
      <c r="S1618" s="32"/>
      <c r="T1618" s="32"/>
      <c r="U1618" s="32"/>
      <c r="W1618" s="32"/>
      <c r="X1618" s="32"/>
    </row>
    <row r="1619">
      <c r="A1619" s="40"/>
      <c r="B1619" s="40"/>
      <c r="C1619" s="40"/>
      <c r="D1619" s="78"/>
      <c r="E1619" s="79"/>
      <c r="F1619" s="40"/>
      <c r="G1619" s="78"/>
      <c r="H1619" s="78"/>
      <c r="I1619" s="80"/>
      <c r="J1619" s="80"/>
      <c r="K1619" s="79"/>
      <c r="L1619" s="25"/>
      <c r="M1619" s="25"/>
      <c r="N1619" s="63"/>
      <c r="O1619" s="63"/>
      <c r="P1619" s="63"/>
      <c r="Q1619" s="63"/>
      <c r="R1619" s="32"/>
      <c r="S1619" s="32"/>
      <c r="T1619" s="32"/>
      <c r="U1619" s="32"/>
      <c r="W1619" s="32"/>
      <c r="X1619" s="32"/>
    </row>
    <row r="1620">
      <c r="A1620" s="40"/>
      <c r="B1620" s="40"/>
      <c r="C1620" s="40"/>
      <c r="D1620" s="78"/>
      <c r="E1620" s="79"/>
      <c r="F1620" s="40"/>
      <c r="G1620" s="78"/>
      <c r="H1620" s="78"/>
      <c r="I1620" s="80"/>
      <c r="J1620" s="80"/>
      <c r="K1620" s="79"/>
      <c r="L1620" s="25"/>
      <c r="M1620" s="25"/>
      <c r="N1620" s="63"/>
      <c r="O1620" s="63"/>
      <c r="P1620" s="63"/>
      <c r="Q1620" s="63"/>
      <c r="R1620" s="32"/>
      <c r="S1620" s="32"/>
      <c r="T1620" s="32"/>
      <c r="U1620" s="32"/>
      <c r="W1620" s="32"/>
      <c r="X1620" s="32"/>
    </row>
    <row r="1621">
      <c r="A1621" s="40"/>
      <c r="B1621" s="40"/>
      <c r="C1621" s="40"/>
      <c r="D1621" s="78"/>
      <c r="E1621" s="79"/>
      <c r="F1621" s="40"/>
      <c r="G1621" s="78"/>
      <c r="H1621" s="78"/>
      <c r="I1621" s="80"/>
      <c r="J1621" s="80"/>
      <c r="K1621" s="79"/>
      <c r="L1621" s="25"/>
      <c r="M1621" s="25"/>
      <c r="N1621" s="63"/>
      <c r="O1621" s="63"/>
      <c r="P1621" s="63"/>
      <c r="Q1621" s="63"/>
      <c r="R1621" s="32"/>
      <c r="S1621" s="32"/>
      <c r="T1621" s="32"/>
      <c r="U1621" s="32"/>
      <c r="W1621" s="32"/>
      <c r="X1621" s="32"/>
    </row>
    <row r="1622">
      <c r="A1622" s="40"/>
      <c r="B1622" s="40"/>
      <c r="C1622" s="40"/>
      <c r="D1622" s="78"/>
      <c r="E1622" s="79"/>
      <c r="F1622" s="40"/>
      <c r="G1622" s="78"/>
      <c r="H1622" s="78"/>
      <c r="I1622" s="80"/>
      <c r="J1622" s="80"/>
      <c r="K1622" s="79"/>
      <c r="L1622" s="25"/>
      <c r="M1622" s="25"/>
      <c r="N1622" s="63"/>
      <c r="O1622" s="63"/>
      <c r="P1622" s="63"/>
      <c r="Q1622" s="63"/>
      <c r="R1622" s="32"/>
      <c r="S1622" s="32"/>
      <c r="T1622" s="32"/>
      <c r="U1622" s="32"/>
      <c r="W1622" s="32"/>
      <c r="X1622" s="32"/>
    </row>
    <row r="1623">
      <c r="A1623" s="40"/>
      <c r="B1623" s="40"/>
      <c r="C1623" s="40"/>
      <c r="D1623" s="78"/>
      <c r="E1623" s="79"/>
      <c r="F1623" s="40"/>
      <c r="G1623" s="78"/>
      <c r="H1623" s="78"/>
      <c r="I1623" s="80"/>
      <c r="J1623" s="80"/>
      <c r="K1623" s="79"/>
      <c r="L1623" s="25"/>
      <c r="M1623" s="25"/>
      <c r="N1623" s="63"/>
      <c r="O1623" s="63"/>
      <c r="P1623" s="63"/>
      <c r="Q1623" s="63"/>
      <c r="R1623" s="32"/>
      <c r="S1623" s="32"/>
      <c r="T1623" s="32"/>
      <c r="U1623" s="32"/>
      <c r="W1623" s="32"/>
      <c r="X1623" s="32"/>
    </row>
    <row r="1624">
      <c r="A1624" s="40"/>
      <c r="B1624" s="40"/>
      <c r="C1624" s="40"/>
      <c r="D1624" s="78"/>
      <c r="E1624" s="79"/>
      <c r="F1624" s="40"/>
      <c r="G1624" s="78"/>
      <c r="H1624" s="78"/>
      <c r="I1624" s="80"/>
      <c r="J1624" s="80"/>
      <c r="K1624" s="79"/>
      <c r="L1624" s="25"/>
      <c r="M1624" s="25"/>
      <c r="N1624" s="63"/>
      <c r="O1624" s="63"/>
      <c r="P1624" s="63"/>
      <c r="Q1624" s="63"/>
      <c r="R1624" s="32"/>
      <c r="S1624" s="32"/>
      <c r="T1624" s="32"/>
      <c r="U1624" s="32"/>
      <c r="W1624" s="32"/>
      <c r="X1624" s="32"/>
    </row>
    <row r="1625">
      <c r="A1625" s="40"/>
      <c r="B1625" s="40"/>
      <c r="C1625" s="40"/>
      <c r="D1625" s="78"/>
      <c r="E1625" s="79"/>
      <c r="F1625" s="40"/>
      <c r="G1625" s="78"/>
      <c r="H1625" s="78"/>
      <c r="I1625" s="80"/>
      <c r="J1625" s="80"/>
      <c r="K1625" s="79"/>
      <c r="L1625" s="25"/>
      <c r="M1625" s="25"/>
      <c r="N1625" s="63"/>
      <c r="O1625" s="63"/>
      <c r="P1625" s="63"/>
      <c r="Q1625" s="63"/>
      <c r="R1625" s="32"/>
      <c r="S1625" s="32"/>
      <c r="T1625" s="32"/>
      <c r="U1625" s="32"/>
      <c r="W1625" s="32"/>
      <c r="X1625" s="32"/>
    </row>
    <row r="1626">
      <c r="A1626" s="40"/>
      <c r="B1626" s="40"/>
      <c r="C1626" s="40"/>
      <c r="D1626" s="78"/>
      <c r="E1626" s="79"/>
      <c r="F1626" s="40"/>
      <c r="G1626" s="78"/>
      <c r="H1626" s="78"/>
      <c r="I1626" s="80"/>
      <c r="J1626" s="80"/>
      <c r="K1626" s="79"/>
      <c r="L1626" s="25"/>
      <c r="M1626" s="25"/>
      <c r="N1626" s="63"/>
      <c r="O1626" s="63"/>
      <c r="P1626" s="63"/>
      <c r="Q1626" s="63"/>
      <c r="R1626" s="32"/>
      <c r="S1626" s="32"/>
      <c r="T1626" s="32"/>
      <c r="U1626" s="32"/>
      <c r="W1626" s="32"/>
      <c r="X1626" s="32"/>
    </row>
    <row r="1627">
      <c r="A1627" s="40"/>
      <c r="B1627" s="40"/>
      <c r="C1627" s="40"/>
      <c r="D1627" s="78"/>
      <c r="E1627" s="79"/>
      <c r="F1627" s="40"/>
      <c r="G1627" s="78"/>
      <c r="H1627" s="78"/>
      <c r="I1627" s="80"/>
      <c r="J1627" s="80"/>
      <c r="K1627" s="79"/>
      <c r="L1627" s="25"/>
      <c r="M1627" s="25"/>
      <c r="N1627" s="63"/>
      <c r="O1627" s="63"/>
      <c r="P1627" s="63"/>
      <c r="Q1627" s="63"/>
      <c r="R1627" s="32"/>
      <c r="S1627" s="32"/>
      <c r="T1627" s="32"/>
      <c r="U1627" s="32"/>
      <c r="W1627" s="32"/>
      <c r="X1627" s="32"/>
    </row>
    <row r="1628">
      <c r="A1628" s="40"/>
      <c r="B1628" s="40"/>
      <c r="C1628" s="40"/>
      <c r="D1628" s="78"/>
      <c r="E1628" s="79"/>
      <c r="F1628" s="40"/>
      <c r="G1628" s="78"/>
      <c r="H1628" s="78"/>
      <c r="I1628" s="80"/>
      <c r="J1628" s="80"/>
      <c r="K1628" s="79"/>
      <c r="L1628" s="25"/>
      <c r="M1628" s="25"/>
      <c r="N1628" s="63"/>
      <c r="O1628" s="63"/>
      <c r="P1628" s="63"/>
      <c r="Q1628" s="63"/>
      <c r="R1628" s="32"/>
      <c r="S1628" s="32"/>
      <c r="T1628" s="32"/>
      <c r="U1628" s="32"/>
      <c r="W1628" s="32"/>
      <c r="X1628" s="32"/>
    </row>
    <row r="1629">
      <c r="A1629" s="40"/>
      <c r="B1629" s="40"/>
      <c r="C1629" s="40"/>
      <c r="D1629" s="78"/>
      <c r="E1629" s="79"/>
      <c r="F1629" s="40"/>
      <c r="G1629" s="78"/>
      <c r="H1629" s="78"/>
      <c r="I1629" s="80"/>
      <c r="J1629" s="80"/>
      <c r="K1629" s="79"/>
      <c r="L1629" s="25"/>
      <c r="M1629" s="25"/>
      <c r="N1629" s="63"/>
      <c r="O1629" s="63"/>
      <c r="P1629" s="63"/>
      <c r="Q1629" s="63"/>
      <c r="R1629" s="32"/>
      <c r="S1629" s="32"/>
      <c r="T1629" s="32"/>
      <c r="U1629" s="32"/>
      <c r="W1629" s="32"/>
      <c r="X1629" s="32"/>
    </row>
    <row r="1630">
      <c r="A1630" s="40"/>
      <c r="B1630" s="40"/>
      <c r="C1630" s="40"/>
      <c r="D1630" s="78"/>
      <c r="E1630" s="79"/>
      <c r="F1630" s="40"/>
      <c r="G1630" s="78"/>
      <c r="H1630" s="78"/>
      <c r="I1630" s="80"/>
      <c r="J1630" s="80"/>
      <c r="K1630" s="79"/>
      <c r="L1630" s="25"/>
      <c r="M1630" s="25"/>
      <c r="N1630" s="63"/>
      <c r="O1630" s="63"/>
      <c r="P1630" s="63"/>
      <c r="Q1630" s="63"/>
      <c r="R1630" s="32"/>
      <c r="S1630" s="32"/>
      <c r="T1630" s="32"/>
      <c r="U1630" s="32"/>
      <c r="W1630" s="32"/>
      <c r="X1630" s="32"/>
    </row>
    <row r="1631">
      <c r="A1631" s="40"/>
      <c r="B1631" s="40"/>
      <c r="C1631" s="40"/>
      <c r="D1631" s="78"/>
      <c r="E1631" s="79"/>
      <c r="F1631" s="40"/>
      <c r="G1631" s="78"/>
      <c r="H1631" s="78"/>
      <c r="I1631" s="80"/>
      <c r="J1631" s="80"/>
      <c r="K1631" s="79"/>
      <c r="L1631" s="25"/>
      <c r="M1631" s="25"/>
      <c r="N1631" s="63"/>
      <c r="O1631" s="63"/>
      <c r="P1631" s="63"/>
      <c r="Q1631" s="63"/>
      <c r="R1631" s="32"/>
      <c r="S1631" s="32"/>
      <c r="T1631" s="32"/>
      <c r="U1631" s="32"/>
      <c r="W1631" s="32"/>
      <c r="X1631" s="32"/>
    </row>
    <row r="1632">
      <c r="A1632" s="40"/>
      <c r="B1632" s="40"/>
      <c r="C1632" s="40"/>
      <c r="D1632" s="78"/>
      <c r="E1632" s="79"/>
      <c r="F1632" s="40"/>
      <c r="G1632" s="78"/>
      <c r="H1632" s="78"/>
      <c r="I1632" s="80"/>
      <c r="J1632" s="80"/>
      <c r="K1632" s="79"/>
      <c r="L1632" s="25"/>
      <c r="M1632" s="25"/>
      <c r="N1632" s="63"/>
      <c r="O1632" s="63"/>
      <c r="P1632" s="63"/>
      <c r="Q1632" s="63"/>
      <c r="R1632" s="32"/>
      <c r="S1632" s="32"/>
      <c r="T1632" s="32"/>
      <c r="U1632" s="32"/>
      <c r="W1632" s="32"/>
      <c r="X1632" s="32"/>
    </row>
    <row r="1633">
      <c r="A1633" s="40"/>
      <c r="B1633" s="40"/>
      <c r="C1633" s="40"/>
      <c r="D1633" s="78"/>
      <c r="E1633" s="79"/>
      <c r="F1633" s="40"/>
      <c r="G1633" s="78"/>
      <c r="H1633" s="78"/>
      <c r="I1633" s="80"/>
      <c r="J1633" s="80"/>
      <c r="K1633" s="79"/>
      <c r="L1633" s="25"/>
      <c r="M1633" s="25"/>
      <c r="N1633" s="63"/>
      <c r="O1633" s="63"/>
      <c r="P1633" s="63"/>
      <c r="Q1633" s="63"/>
      <c r="R1633" s="32"/>
      <c r="S1633" s="32"/>
      <c r="T1633" s="32"/>
      <c r="U1633" s="32"/>
      <c r="W1633" s="32"/>
      <c r="X1633" s="32"/>
    </row>
    <row r="1634">
      <c r="A1634" s="40"/>
      <c r="B1634" s="40"/>
      <c r="C1634" s="40"/>
      <c r="D1634" s="78"/>
      <c r="E1634" s="79"/>
      <c r="F1634" s="40"/>
      <c r="G1634" s="78"/>
      <c r="H1634" s="78"/>
      <c r="I1634" s="80"/>
      <c r="J1634" s="80"/>
      <c r="K1634" s="79"/>
      <c r="L1634" s="25"/>
      <c r="M1634" s="25"/>
      <c r="N1634" s="63"/>
      <c r="O1634" s="63"/>
      <c r="P1634" s="63"/>
      <c r="Q1634" s="63"/>
      <c r="R1634" s="32"/>
      <c r="S1634" s="32"/>
      <c r="T1634" s="32"/>
      <c r="U1634" s="32"/>
      <c r="W1634" s="32"/>
      <c r="X1634" s="32"/>
    </row>
    <row r="1635">
      <c r="A1635" s="40"/>
      <c r="B1635" s="40"/>
      <c r="C1635" s="40"/>
      <c r="D1635" s="78"/>
      <c r="E1635" s="79"/>
      <c r="F1635" s="40"/>
      <c r="G1635" s="78"/>
      <c r="H1635" s="78"/>
      <c r="I1635" s="80"/>
      <c r="J1635" s="80"/>
      <c r="K1635" s="79"/>
      <c r="L1635" s="25"/>
      <c r="M1635" s="25"/>
      <c r="N1635" s="63"/>
      <c r="O1635" s="63"/>
      <c r="P1635" s="63"/>
      <c r="Q1635" s="63"/>
      <c r="R1635" s="32"/>
      <c r="S1635" s="32"/>
      <c r="T1635" s="32"/>
      <c r="U1635" s="32"/>
      <c r="W1635" s="32"/>
      <c r="X1635" s="32"/>
    </row>
    <row r="1636">
      <c r="A1636" s="40"/>
      <c r="B1636" s="40"/>
      <c r="C1636" s="40"/>
      <c r="D1636" s="78"/>
      <c r="E1636" s="79"/>
      <c r="F1636" s="40"/>
      <c r="G1636" s="78"/>
      <c r="H1636" s="78"/>
      <c r="I1636" s="80"/>
      <c r="J1636" s="80"/>
      <c r="K1636" s="79"/>
      <c r="L1636" s="25"/>
      <c r="M1636" s="25"/>
      <c r="N1636" s="63"/>
      <c r="O1636" s="63"/>
      <c r="P1636" s="63"/>
      <c r="Q1636" s="63"/>
      <c r="R1636" s="32"/>
      <c r="S1636" s="32"/>
      <c r="T1636" s="32"/>
      <c r="U1636" s="32"/>
      <c r="W1636" s="32"/>
      <c r="X1636" s="32"/>
    </row>
    <row r="1637">
      <c r="A1637" s="40"/>
      <c r="B1637" s="40"/>
      <c r="C1637" s="40"/>
      <c r="D1637" s="78"/>
      <c r="E1637" s="79"/>
      <c r="F1637" s="40"/>
      <c r="G1637" s="78"/>
      <c r="H1637" s="78"/>
      <c r="I1637" s="80"/>
      <c r="J1637" s="80"/>
      <c r="K1637" s="79"/>
      <c r="L1637" s="25"/>
      <c r="M1637" s="25"/>
      <c r="N1637" s="63"/>
      <c r="O1637" s="63"/>
      <c r="P1637" s="63"/>
      <c r="Q1637" s="63"/>
      <c r="R1637" s="32"/>
      <c r="S1637" s="32"/>
      <c r="T1637" s="32"/>
      <c r="U1637" s="32"/>
      <c r="W1637" s="32"/>
      <c r="X1637" s="32"/>
    </row>
    <row r="1638">
      <c r="A1638" s="40"/>
      <c r="B1638" s="40"/>
      <c r="C1638" s="40"/>
      <c r="D1638" s="78"/>
      <c r="E1638" s="79"/>
      <c r="F1638" s="40"/>
      <c r="G1638" s="78"/>
      <c r="H1638" s="78"/>
      <c r="I1638" s="80"/>
      <c r="J1638" s="80"/>
      <c r="K1638" s="79"/>
      <c r="L1638" s="25"/>
      <c r="M1638" s="25"/>
      <c r="N1638" s="63"/>
      <c r="O1638" s="63"/>
      <c r="P1638" s="63"/>
      <c r="Q1638" s="63"/>
      <c r="R1638" s="32"/>
      <c r="S1638" s="32"/>
      <c r="T1638" s="32"/>
      <c r="U1638" s="32"/>
      <c r="W1638" s="32"/>
      <c r="X1638" s="32"/>
    </row>
    <row r="1639">
      <c r="A1639" s="40"/>
      <c r="B1639" s="40"/>
      <c r="C1639" s="40"/>
      <c r="D1639" s="78"/>
      <c r="E1639" s="79"/>
      <c r="F1639" s="40"/>
      <c r="G1639" s="78"/>
      <c r="H1639" s="78"/>
      <c r="I1639" s="80"/>
      <c r="J1639" s="80"/>
      <c r="K1639" s="79"/>
      <c r="L1639" s="25"/>
      <c r="M1639" s="25"/>
      <c r="N1639" s="63"/>
      <c r="O1639" s="63"/>
      <c r="P1639" s="63"/>
      <c r="Q1639" s="63"/>
      <c r="R1639" s="32"/>
      <c r="S1639" s="32"/>
      <c r="T1639" s="32"/>
      <c r="U1639" s="32"/>
      <c r="W1639" s="32"/>
      <c r="X1639" s="32"/>
    </row>
    <row r="1640">
      <c r="A1640" s="40"/>
      <c r="B1640" s="40"/>
      <c r="C1640" s="40"/>
      <c r="D1640" s="78"/>
      <c r="E1640" s="79"/>
      <c r="F1640" s="40"/>
      <c r="G1640" s="78"/>
      <c r="H1640" s="78"/>
      <c r="I1640" s="80"/>
      <c r="J1640" s="80"/>
      <c r="K1640" s="79"/>
      <c r="L1640" s="25"/>
      <c r="M1640" s="25"/>
      <c r="N1640" s="63"/>
      <c r="O1640" s="63"/>
      <c r="P1640" s="63"/>
      <c r="Q1640" s="63"/>
      <c r="R1640" s="32"/>
      <c r="S1640" s="32"/>
      <c r="T1640" s="32"/>
      <c r="U1640" s="32"/>
      <c r="W1640" s="32"/>
      <c r="X1640" s="32"/>
    </row>
    <row r="1641">
      <c r="A1641" s="40"/>
      <c r="B1641" s="40"/>
      <c r="C1641" s="40"/>
      <c r="D1641" s="78"/>
      <c r="E1641" s="79"/>
      <c r="F1641" s="40"/>
      <c r="G1641" s="78"/>
      <c r="H1641" s="78"/>
      <c r="I1641" s="80"/>
      <c r="J1641" s="80"/>
      <c r="K1641" s="79"/>
      <c r="L1641" s="25"/>
      <c r="M1641" s="25"/>
      <c r="N1641" s="63"/>
      <c r="O1641" s="63"/>
      <c r="P1641" s="63"/>
      <c r="Q1641" s="63"/>
      <c r="R1641" s="32"/>
      <c r="S1641" s="32"/>
      <c r="T1641" s="32"/>
      <c r="U1641" s="32"/>
      <c r="W1641" s="32"/>
      <c r="X1641" s="32"/>
    </row>
    <row r="1642">
      <c r="A1642" s="40"/>
      <c r="B1642" s="40"/>
      <c r="C1642" s="40"/>
      <c r="D1642" s="78"/>
      <c r="E1642" s="79"/>
      <c r="F1642" s="40"/>
      <c r="G1642" s="78"/>
      <c r="H1642" s="78"/>
      <c r="I1642" s="80"/>
      <c r="J1642" s="80"/>
      <c r="K1642" s="79"/>
      <c r="L1642" s="25"/>
      <c r="M1642" s="25"/>
      <c r="N1642" s="63"/>
      <c r="O1642" s="63"/>
      <c r="P1642" s="63"/>
      <c r="Q1642" s="63"/>
      <c r="R1642" s="32"/>
      <c r="S1642" s="32"/>
      <c r="T1642" s="32"/>
      <c r="U1642" s="32"/>
      <c r="W1642" s="32"/>
      <c r="X1642" s="32"/>
    </row>
    <row r="1643">
      <c r="A1643" s="40"/>
      <c r="B1643" s="40"/>
      <c r="C1643" s="40"/>
      <c r="D1643" s="78"/>
      <c r="E1643" s="79"/>
      <c r="F1643" s="40"/>
      <c r="G1643" s="78"/>
      <c r="H1643" s="78"/>
      <c r="I1643" s="80"/>
      <c r="J1643" s="80"/>
      <c r="K1643" s="79"/>
      <c r="L1643" s="25"/>
      <c r="M1643" s="25"/>
      <c r="N1643" s="63"/>
      <c r="O1643" s="63"/>
      <c r="P1643" s="63"/>
      <c r="Q1643" s="63"/>
      <c r="R1643" s="32"/>
      <c r="S1643" s="32"/>
      <c r="T1643" s="32"/>
      <c r="U1643" s="32"/>
      <c r="W1643" s="32"/>
      <c r="X1643" s="32"/>
    </row>
    <row r="1644">
      <c r="A1644" s="40"/>
      <c r="B1644" s="40"/>
      <c r="C1644" s="40"/>
      <c r="D1644" s="78"/>
      <c r="E1644" s="79"/>
      <c r="F1644" s="40"/>
      <c r="G1644" s="78"/>
      <c r="H1644" s="78"/>
      <c r="I1644" s="80"/>
      <c r="J1644" s="80"/>
      <c r="K1644" s="79"/>
      <c r="L1644" s="25"/>
      <c r="M1644" s="25"/>
      <c r="N1644" s="63"/>
      <c r="O1644" s="63"/>
      <c r="P1644" s="63"/>
      <c r="Q1644" s="63"/>
      <c r="R1644" s="32"/>
      <c r="S1644" s="32"/>
      <c r="T1644" s="32"/>
      <c r="U1644" s="32"/>
      <c r="W1644" s="32"/>
      <c r="X1644" s="32"/>
    </row>
    <row r="1645">
      <c r="A1645" s="40"/>
      <c r="B1645" s="40"/>
      <c r="C1645" s="40"/>
      <c r="D1645" s="78"/>
      <c r="E1645" s="79"/>
      <c r="F1645" s="40"/>
      <c r="G1645" s="78"/>
      <c r="H1645" s="78"/>
      <c r="I1645" s="80"/>
      <c r="J1645" s="80"/>
      <c r="K1645" s="79"/>
      <c r="L1645" s="25"/>
      <c r="M1645" s="25"/>
      <c r="N1645" s="63"/>
      <c r="O1645" s="63"/>
      <c r="P1645" s="63"/>
      <c r="Q1645" s="63"/>
      <c r="R1645" s="32"/>
      <c r="S1645" s="32"/>
      <c r="T1645" s="32"/>
      <c r="U1645" s="32"/>
      <c r="W1645" s="32"/>
      <c r="X1645" s="32"/>
    </row>
    <row r="1646">
      <c r="A1646" s="40"/>
      <c r="B1646" s="40"/>
      <c r="C1646" s="40"/>
      <c r="D1646" s="78"/>
      <c r="E1646" s="79"/>
      <c r="F1646" s="40"/>
      <c r="G1646" s="78"/>
      <c r="H1646" s="78"/>
      <c r="I1646" s="80"/>
      <c r="J1646" s="80"/>
      <c r="K1646" s="79"/>
      <c r="L1646" s="25"/>
      <c r="M1646" s="25"/>
      <c r="N1646" s="63"/>
      <c r="O1646" s="63"/>
      <c r="P1646" s="63"/>
      <c r="Q1646" s="63"/>
      <c r="R1646" s="32"/>
      <c r="S1646" s="32"/>
      <c r="T1646" s="32"/>
      <c r="U1646" s="32"/>
      <c r="W1646" s="32"/>
      <c r="X1646" s="32"/>
    </row>
    <row r="1647">
      <c r="A1647" s="40"/>
      <c r="B1647" s="40"/>
      <c r="C1647" s="40"/>
      <c r="D1647" s="78"/>
      <c r="E1647" s="79"/>
      <c r="F1647" s="40"/>
      <c r="G1647" s="78"/>
      <c r="H1647" s="78"/>
      <c r="I1647" s="80"/>
      <c r="J1647" s="80"/>
      <c r="K1647" s="79"/>
      <c r="L1647" s="25"/>
      <c r="M1647" s="25"/>
      <c r="N1647" s="63"/>
      <c r="O1647" s="63"/>
      <c r="P1647" s="63"/>
      <c r="Q1647" s="63"/>
      <c r="R1647" s="32"/>
      <c r="S1647" s="32"/>
      <c r="T1647" s="32"/>
      <c r="U1647" s="32"/>
      <c r="W1647" s="32"/>
      <c r="X1647" s="32"/>
    </row>
    <row r="1648">
      <c r="A1648" s="40"/>
      <c r="B1648" s="40"/>
      <c r="C1648" s="40"/>
      <c r="D1648" s="78"/>
      <c r="E1648" s="79"/>
      <c r="F1648" s="40"/>
      <c r="G1648" s="78"/>
      <c r="H1648" s="78"/>
      <c r="I1648" s="80"/>
      <c r="J1648" s="80"/>
      <c r="K1648" s="79"/>
      <c r="L1648" s="25"/>
      <c r="M1648" s="25"/>
      <c r="N1648" s="63"/>
      <c r="O1648" s="63"/>
      <c r="P1648" s="63"/>
      <c r="Q1648" s="63"/>
      <c r="R1648" s="32"/>
      <c r="S1648" s="32"/>
      <c r="T1648" s="32"/>
      <c r="U1648" s="32"/>
      <c r="W1648" s="32"/>
      <c r="X1648" s="32"/>
    </row>
    <row r="1649">
      <c r="A1649" s="40"/>
      <c r="B1649" s="40"/>
      <c r="C1649" s="40"/>
      <c r="D1649" s="78"/>
      <c r="E1649" s="79"/>
      <c r="F1649" s="40"/>
      <c r="G1649" s="78"/>
      <c r="H1649" s="78"/>
      <c r="I1649" s="80"/>
      <c r="J1649" s="80"/>
      <c r="K1649" s="79"/>
      <c r="L1649" s="25"/>
      <c r="M1649" s="25"/>
      <c r="N1649" s="63"/>
      <c r="O1649" s="63"/>
      <c r="P1649" s="63"/>
      <c r="Q1649" s="63"/>
      <c r="R1649" s="32"/>
      <c r="S1649" s="32"/>
      <c r="T1649" s="32"/>
      <c r="U1649" s="32"/>
      <c r="W1649" s="32"/>
      <c r="X1649" s="32"/>
    </row>
    <row r="1650">
      <c r="A1650" s="40"/>
      <c r="B1650" s="40"/>
      <c r="C1650" s="40"/>
      <c r="D1650" s="78"/>
      <c r="E1650" s="79"/>
      <c r="F1650" s="40"/>
      <c r="G1650" s="78"/>
      <c r="H1650" s="78"/>
      <c r="I1650" s="80"/>
      <c r="J1650" s="80"/>
      <c r="K1650" s="79"/>
      <c r="L1650" s="25"/>
      <c r="M1650" s="25"/>
      <c r="N1650" s="63"/>
      <c r="O1650" s="63"/>
      <c r="P1650" s="63"/>
      <c r="Q1650" s="63"/>
      <c r="R1650" s="32"/>
      <c r="S1650" s="32"/>
      <c r="T1650" s="32"/>
      <c r="U1650" s="32"/>
      <c r="W1650" s="32"/>
      <c r="X1650" s="32"/>
    </row>
    <row r="1651">
      <c r="A1651" s="40"/>
      <c r="B1651" s="40"/>
      <c r="C1651" s="40"/>
      <c r="D1651" s="78"/>
      <c r="E1651" s="79"/>
      <c r="F1651" s="40"/>
      <c r="G1651" s="78"/>
      <c r="H1651" s="78"/>
      <c r="I1651" s="80"/>
      <c r="J1651" s="80"/>
      <c r="K1651" s="79"/>
      <c r="L1651" s="25"/>
      <c r="M1651" s="25"/>
      <c r="N1651" s="63"/>
      <c r="O1651" s="63"/>
      <c r="P1651" s="63"/>
      <c r="Q1651" s="63"/>
      <c r="R1651" s="32"/>
      <c r="S1651" s="32"/>
      <c r="T1651" s="32"/>
      <c r="U1651" s="32"/>
      <c r="W1651" s="32"/>
      <c r="X1651" s="32"/>
    </row>
    <row r="1652">
      <c r="A1652" s="40"/>
      <c r="B1652" s="40"/>
      <c r="C1652" s="40"/>
      <c r="D1652" s="78"/>
      <c r="E1652" s="79"/>
      <c r="F1652" s="40"/>
      <c r="G1652" s="78"/>
      <c r="H1652" s="78"/>
      <c r="I1652" s="80"/>
      <c r="J1652" s="80"/>
      <c r="K1652" s="79"/>
      <c r="L1652" s="25"/>
      <c r="M1652" s="25"/>
      <c r="N1652" s="63"/>
      <c r="O1652" s="63"/>
      <c r="P1652" s="63"/>
      <c r="Q1652" s="63"/>
      <c r="R1652" s="32"/>
      <c r="S1652" s="32"/>
      <c r="T1652" s="32"/>
      <c r="U1652" s="32"/>
      <c r="W1652" s="32"/>
      <c r="X1652" s="32"/>
    </row>
    <row r="1653">
      <c r="A1653" s="40"/>
      <c r="B1653" s="40"/>
      <c r="C1653" s="40"/>
      <c r="D1653" s="78"/>
      <c r="E1653" s="79"/>
      <c r="F1653" s="40"/>
      <c r="G1653" s="78"/>
      <c r="H1653" s="78"/>
      <c r="I1653" s="80"/>
      <c r="J1653" s="80"/>
      <c r="K1653" s="79"/>
      <c r="L1653" s="25"/>
      <c r="M1653" s="25"/>
      <c r="N1653" s="63"/>
      <c r="O1653" s="63"/>
      <c r="P1653" s="63"/>
      <c r="Q1653" s="63"/>
      <c r="R1653" s="32"/>
      <c r="S1653" s="32"/>
      <c r="T1653" s="32"/>
      <c r="U1653" s="32"/>
      <c r="W1653" s="32"/>
      <c r="X1653" s="32"/>
    </row>
    <row r="1654">
      <c r="A1654" s="40"/>
      <c r="B1654" s="40"/>
      <c r="C1654" s="40"/>
      <c r="D1654" s="78"/>
      <c r="E1654" s="79"/>
      <c r="F1654" s="40"/>
      <c r="G1654" s="78"/>
      <c r="H1654" s="78"/>
      <c r="I1654" s="80"/>
      <c r="J1654" s="80"/>
      <c r="K1654" s="79"/>
      <c r="L1654" s="25"/>
      <c r="M1654" s="25"/>
      <c r="N1654" s="63"/>
      <c r="O1654" s="63"/>
      <c r="P1654" s="63"/>
      <c r="Q1654" s="63"/>
      <c r="R1654" s="32"/>
      <c r="S1654" s="32"/>
      <c r="T1654" s="32"/>
      <c r="U1654" s="32"/>
      <c r="W1654" s="32"/>
      <c r="X1654" s="32"/>
    </row>
    <row r="1655">
      <c r="A1655" s="40"/>
      <c r="B1655" s="40"/>
      <c r="C1655" s="40"/>
      <c r="D1655" s="78"/>
      <c r="E1655" s="79"/>
      <c r="F1655" s="40"/>
      <c r="G1655" s="78"/>
      <c r="H1655" s="78"/>
      <c r="I1655" s="80"/>
      <c r="J1655" s="80"/>
      <c r="K1655" s="79"/>
      <c r="L1655" s="25"/>
      <c r="M1655" s="25"/>
      <c r="N1655" s="63"/>
      <c r="O1655" s="63"/>
      <c r="P1655" s="63"/>
      <c r="Q1655" s="63"/>
      <c r="R1655" s="32"/>
      <c r="S1655" s="32"/>
      <c r="T1655" s="32"/>
      <c r="U1655" s="32"/>
      <c r="W1655" s="32"/>
      <c r="X1655" s="32"/>
    </row>
    <row r="1656">
      <c r="A1656" s="40"/>
      <c r="B1656" s="40"/>
      <c r="C1656" s="40"/>
      <c r="D1656" s="78"/>
      <c r="E1656" s="79"/>
      <c r="F1656" s="40"/>
      <c r="G1656" s="78"/>
      <c r="H1656" s="78"/>
      <c r="I1656" s="80"/>
      <c r="J1656" s="80"/>
      <c r="K1656" s="79"/>
      <c r="L1656" s="25"/>
      <c r="M1656" s="25"/>
      <c r="N1656" s="63"/>
      <c r="O1656" s="63"/>
      <c r="P1656" s="63"/>
      <c r="Q1656" s="63"/>
      <c r="R1656" s="32"/>
      <c r="S1656" s="32"/>
      <c r="T1656" s="32"/>
      <c r="U1656" s="32"/>
      <c r="W1656" s="32"/>
      <c r="X1656" s="32"/>
    </row>
    <row r="1657">
      <c r="A1657" s="40"/>
      <c r="B1657" s="40"/>
      <c r="C1657" s="40"/>
      <c r="D1657" s="78"/>
      <c r="E1657" s="79"/>
      <c r="F1657" s="40"/>
      <c r="G1657" s="78"/>
      <c r="H1657" s="78"/>
      <c r="I1657" s="80"/>
      <c r="J1657" s="80"/>
      <c r="K1657" s="79"/>
      <c r="L1657" s="25"/>
      <c r="M1657" s="25"/>
      <c r="N1657" s="63"/>
      <c r="O1657" s="63"/>
      <c r="P1657" s="63"/>
      <c r="Q1657" s="63"/>
      <c r="R1657" s="32"/>
      <c r="S1657" s="32"/>
      <c r="T1657" s="32"/>
      <c r="U1657" s="32"/>
      <c r="W1657" s="32"/>
      <c r="X1657" s="32"/>
    </row>
    <row r="1658">
      <c r="A1658" s="40"/>
      <c r="B1658" s="40"/>
      <c r="C1658" s="40"/>
      <c r="D1658" s="78"/>
      <c r="E1658" s="79"/>
      <c r="F1658" s="40"/>
      <c r="G1658" s="78"/>
      <c r="H1658" s="78"/>
      <c r="I1658" s="80"/>
      <c r="J1658" s="80"/>
      <c r="K1658" s="79"/>
      <c r="L1658" s="25"/>
      <c r="M1658" s="25"/>
      <c r="N1658" s="63"/>
      <c r="O1658" s="63"/>
      <c r="P1658" s="63"/>
      <c r="Q1658" s="63"/>
      <c r="R1658" s="32"/>
      <c r="S1658" s="32"/>
      <c r="T1658" s="32"/>
      <c r="U1658" s="32"/>
      <c r="W1658" s="32"/>
      <c r="X1658" s="32"/>
    </row>
    <row r="1659">
      <c r="A1659" s="40"/>
      <c r="B1659" s="40"/>
      <c r="C1659" s="40"/>
      <c r="D1659" s="78"/>
      <c r="E1659" s="79"/>
      <c r="F1659" s="40"/>
      <c r="G1659" s="78"/>
      <c r="H1659" s="78"/>
      <c r="I1659" s="80"/>
      <c r="J1659" s="80"/>
      <c r="K1659" s="79"/>
      <c r="L1659" s="25"/>
      <c r="M1659" s="25"/>
      <c r="N1659" s="63"/>
      <c r="O1659" s="63"/>
      <c r="P1659" s="63"/>
      <c r="Q1659" s="63"/>
      <c r="R1659" s="32"/>
      <c r="S1659" s="32"/>
      <c r="T1659" s="32"/>
      <c r="U1659" s="32"/>
      <c r="W1659" s="32"/>
      <c r="X1659" s="32"/>
    </row>
    <row r="1660">
      <c r="A1660" s="40"/>
      <c r="B1660" s="40"/>
      <c r="C1660" s="40"/>
      <c r="D1660" s="78"/>
      <c r="E1660" s="79"/>
      <c r="F1660" s="40"/>
      <c r="G1660" s="78"/>
      <c r="H1660" s="78"/>
      <c r="I1660" s="80"/>
      <c r="J1660" s="80"/>
      <c r="K1660" s="79"/>
      <c r="L1660" s="25"/>
      <c r="M1660" s="25"/>
      <c r="N1660" s="63"/>
      <c r="O1660" s="63"/>
      <c r="P1660" s="63"/>
      <c r="Q1660" s="63"/>
      <c r="R1660" s="32"/>
      <c r="S1660" s="32"/>
      <c r="T1660" s="32"/>
      <c r="U1660" s="32"/>
      <c r="W1660" s="32"/>
      <c r="X1660" s="32"/>
    </row>
    <row r="1661">
      <c r="A1661" s="40"/>
      <c r="B1661" s="40"/>
      <c r="C1661" s="40"/>
      <c r="D1661" s="78"/>
      <c r="E1661" s="79"/>
      <c r="F1661" s="40"/>
      <c r="G1661" s="78"/>
      <c r="H1661" s="78"/>
      <c r="I1661" s="80"/>
      <c r="J1661" s="80"/>
      <c r="K1661" s="79"/>
      <c r="L1661" s="25"/>
      <c r="M1661" s="25"/>
      <c r="N1661" s="63"/>
      <c r="O1661" s="63"/>
      <c r="P1661" s="63"/>
      <c r="Q1661" s="63"/>
      <c r="R1661" s="32"/>
      <c r="S1661" s="32"/>
      <c r="T1661" s="32"/>
      <c r="U1661" s="32"/>
      <c r="W1661" s="32"/>
      <c r="X1661" s="32"/>
    </row>
    <row r="1662">
      <c r="A1662" s="40"/>
      <c r="B1662" s="40"/>
      <c r="C1662" s="40"/>
      <c r="D1662" s="78"/>
      <c r="E1662" s="79"/>
      <c r="F1662" s="40"/>
      <c r="G1662" s="78"/>
      <c r="H1662" s="78"/>
      <c r="I1662" s="80"/>
      <c r="J1662" s="80"/>
      <c r="K1662" s="79"/>
      <c r="L1662" s="25"/>
      <c r="M1662" s="25"/>
      <c r="N1662" s="63"/>
      <c r="O1662" s="63"/>
      <c r="P1662" s="63"/>
      <c r="Q1662" s="63"/>
      <c r="R1662" s="32"/>
      <c r="S1662" s="32"/>
      <c r="T1662" s="32"/>
      <c r="U1662" s="32"/>
      <c r="W1662" s="32"/>
      <c r="X1662" s="32"/>
    </row>
    <row r="1663">
      <c r="A1663" s="40"/>
      <c r="B1663" s="40"/>
      <c r="C1663" s="40"/>
      <c r="D1663" s="78"/>
      <c r="E1663" s="79"/>
      <c r="F1663" s="40"/>
      <c r="G1663" s="78"/>
      <c r="H1663" s="78"/>
      <c r="I1663" s="80"/>
      <c r="J1663" s="80"/>
      <c r="K1663" s="79"/>
      <c r="L1663" s="25"/>
      <c r="M1663" s="25"/>
      <c r="N1663" s="63"/>
      <c r="O1663" s="63"/>
      <c r="P1663" s="63"/>
      <c r="Q1663" s="63"/>
      <c r="R1663" s="32"/>
      <c r="S1663" s="32"/>
      <c r="T1663" s="32"/>
      <c r="U1663" s="32"/>
      <c r="W1663" s="32"/>
      <c r="X1663" s="32"/>
    </row>
    <row r="1664">
      <c r="A1664" s="40"/>
      <c r="B1664" s="40"/>
      <c r="C1664" s="40"/>
      <c r="D1664" s="78"/>
      <c r="E1664" s="79"/>
      <c r="F1664" s="40"/>
      <c r="G1664" s="78"/>
      <c r="H1664" s="78"/>
      <c r="I1664" s="80"/>
      <c r="J1664" s="80"/>
      <c r="K1664" s="79"/>
      <c r="L1664" s="25"/>
      <c r="M1664" s="25"/>
      <c r="N1664" s="63"/>
      <c r="O1664" s="63"/>
      <c r="P1664" s="63"/>
      <c r="Q1664" s="63"/>
      <c r="R1664" s="32"/>
      <c r="S1664" s="32"/>
      <c r="T1664" s="32"/>
      <c r="U1664" s="32"/>
      <c r="W1664" s="32"/>
      <c r="X1664" s="32"/>
    </row>
    <row r="1665">
      <c r="A1665" s="40"/>
      <c r="B1665" s="40"/>
      <c r="C1665" s="40"/>
      <c r="D1665" s="78"/>
      <c r="E1665" s="79"/>
      <c r="F1665" s="40"/>
      <c r="G1665" s="78"/>
      <c r="H1665" s="78"/>
      <c r="I1665" s="80"/>
      <c r="J1665" s="80"/>
      <c r="K1665" s="79"/>
      <c r="L1665" s="25"/>
      <c r="M1665" s="25"/>
      <c r="N1665" s="63"/>
      <c r="O1665" s="63"/>
      <c r="P1665" s="63"/>
      <c r="Q1665" s="63"/>
      <c r="R1665" s="32"/>
      <c r="S1665" s="32"/>
      <c r="T1665" s="32"/>
      <c r="U1665" s="32"/>
      <c r="W1665" s="32"/>
      <c r="X1665" s="32"/>
    </row>
    <row r="1666">
      <c r="A1666" s="40"/>
      <c r="B1666" s="40"/>
      <c r="C1666" s="40"/>
      <c r="D1666" s="78"/>
      <c r="E1666" s="79"/>
      <c r="F1666" s="40"/>
      <c r="G1666" s="78"/>
      <c r="H1666" s="78"/>
      <c r="I1666" s="80"/>
      <c r="J1666" s="80"/>
      <c r="K1666" s="79"/>
      <c r="L1666" s="25"/>
      <c r="M1666" s="25"/>
      <c r="N1666" s="63"/>
      <c r="O1666" s="63"/>
      <c r="P1666" s="63"/>
      <c r="Q1666" s="63"/>
      <c r="R1666" s="32"/>
      <c r="S1666" s="32"/>
      <c r="T1666" s="32"/>
      <c r="U1666" s="32"/>
      <c r="W1666" s="32"/>
      <c r="X1666" s="32"/>
    </row>
    <row r="1667">
      <c r="A1667" s="40"/>
      <c r="B1667" s="40"/>
      <c r="C1667" s="40"/>
      <c r="D1667" s="78"/>
      <c r="E1667" s="79"/>
      <c r="F1667" s="40"/>
      <c r="G1667" s="78"/>
      <c r="H1667" s="78"/>
      <c r="I1667" s="80"/>
      <c r="J1667" s="80"/>
      <c r="K1667" s="79"/>
      <c r="L1667" s="25"/>
      <c r="M1667" s="25"/>
      <c r="N1667" s="63"/>
      <c r="O1667" s="63"/>
      <c r="P1667" s="63"/>
      <c r="Q1667" s="63"/>
      <c r="R1667" s="32"/>
      <c r="S1667" s="32"/>
      <c r="T1667" s="32"/>
      <c r="U1667" s="32"/>
      <c r="W1667" s="32"/>
      <c r="X1667" s="32"/>
    </row>
  </sheetData>
  <autoFilter ref="$A$1:$AL$1667">
    <sortState ref="A1:AL1667">
      <sortCondition descending="1" ref="A1:A1667"/>
      <sortCondition ref="M1:M1667"/>
    </sortState>
  </autoFilter>
  <customSheetViews>
    <customSheetView guid="{F0C816E5-BA8A-405C-94DC-EACBAA8CA531}" filter="1" showAutoFilter="1">
      <autoFilter ref="$A$1:$K$1">
        <sortState ref="A1:K1">
          <sortCondition descending="1" ref="A1"/>
          <sortCondition ref="E1"/>
        </sortState>
      </autoFilter>
    </customSheetView>
    <customSheetView guid="{03AC4DB2-571C-4A54-B779-BFBAC2413457}" filter="1" showAutoFilter="1">
      <autoFilter ref="$A$1:$K$1">
        <sortState ref="A1:K1">
          <sortCondition descending="1" ref="A1"/>
        </sortState>
      </autoFilter>
    </customSheetView>
    <customSheetView guid="{98F63DDC-2B23-4AA8-881C-55EA36B1ABDA}" filter="1" showAutoFilter="1">
      <autoFilter ref="$A$1:$K$1">
        <sortState ref="A1:K1">
          <sortCondition descending="1" ref="A1"/>
        </sortState>
      </autoFilter>
    </customSheetView>
  </customSheetViews>
  <dataValidations>
    <dataValidation type="list" allowBlank="1" showErrorMessage="1" sqref="M17 M74 M147 M177 M250 M364 M368 M372 M374 M554 M620 M798">
      <formula1>"Other,Polkadot Protocol &amp; SDK,Smart Contracts,SDKs,Protocol Subsidies,Privacy,ZK,Staking,Wallets,Explorers,Software Services,Light Clients,Bridge,Multisig,Indexing,RPCs and Nodes,Software Development,Data Services &amp; Indexing,Snapshots,UIs,Governance,Event"&amp;"s,Events/Conference Hosting,Events/Conference Attendance &amp; Side Events,Events/Meetups,Education,Anti-Scam,Research,Community Building,Events/Meetups,Infrastructure,Media,Business Development,Incubation,Games,Ecosystem Services,Advertising/Sponsorships,Adv"&amp;"ertising/Influencers,Advertising/Digital Ads,Advertising/Platform Integrations,Advertising/Physical Ads,Recruiting,Trainings &amp; Hackathon,Security,Stablecoins,Loans,Market Operations"</formula1>
    </dataValidation>
    <dataValidation type="list" allowBlank="1" showErrorMessage="1" sqref="M2:M16 M18:M73 M75:M146 M148:M176 M178:M249 M251:M363 M365:M367 M369:M371 M373 M375:M553 M555:M619 M621:M797 M799:M1657">
      <formula1>"Other,Polkadot Protocol &amp; SDK,Smart Contracts,SDKs,Protocol Subsidies,Privacy,ZK,Staking,Wallets,Explorers,Software Services,Light Clients,Bridge,Multisig,Indexing,RPCs and Nodes,Software Development,Data Services,Snapshots,UIs,Governance,Events,Events/Co"&amp;"nference Hosting,Events/Conference Attendance &amp; Side Events,Events/Meetups,Education,Anti-Scam,Research,Community Building,Events/Meetups,Infrastructure,Media,Business Development,Incubation,Games,Ecosystem Services,Advertising/Sponsorships,Advertising/In"&amp;"fluencers,Advertising/Digital Ads,Advertising/Platform Integrations,Advertising/Physical Ads,Recruiting,Trainings &amp; Hackathon,Security,Stablecoins,Loans,Market Operations"</formula1>
    </dataValidation>
    <dataValidation type="list" allowBlank="1" showErrorMessage="1" sqref="M1658:M1667">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formula1>
    </dataValidation>
    <dataValidation type="list" allowBlank="1" showErrorMessage="1" sqref="L2:L1667">
      <formula1>"Development,Operations,Outreach,Research,Talent &amp; Education,Economy"</formula1>
    </dataValidation>
  </dataValidations>
  <hyperlinks>
    <hyperlink r:id="rId1" ref="B322"/>
  </hyperlinks>
  <printOptions/>
  <pageMargins bottom="1.0" footer="0.0" header="0.0" left="0.75" right="0.75" top="1.0"/>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4" max="4" width="65.57"/>
    <col customWidth="1" min="6" max="6" width="20.57"/>
    <col customWidth="1" min="7" max="7" width="56.57"/>
    <col customWidth="1" min="11" max="11" width="18.14"/>
    <col customWidth="1" min="12" max="12" width="26.29"/>
  </cols>
  <sheetData>
    <row r="1">
      <c r="A1" s="1" t="s">
        <v>945</v>
      </c>
      <c r="B1" s="1" t="s">
        <v>153</v>
      </c>
      <c r="C1" s="1" t="s">
        <v>2407</v>
      </c>
      <c r="D1" s="1" t="s">
        <v>1309</v>
      </c>
      <c r="E1" s="5" t="s">
        <v>3</v>
      </c>
      <c r="F1" s="4" t="s">
        <v>2408</v>
      </c>
      <c r="G1" s="1" t="s">
        <v>2409</v>
      </c>
      <c r="H1" s="95" t="s">
        <v>2410</v>
      </c>
      <c r="I1" s="95" t="s">
        <v>1305</v>
      </c>
      <c r="J1" s="4" t="s">
        <v>1306</v>
      </c>
      <c r="K1" s="96" t="s">
        <v>64</v>
      </c>
      <c r="L1" s="96" t="s">
        <v>79</v>
      </c>
      <c r="M1" s="1" t="s">
        <v>2411</v>
      </c>
      <c r="N1" s="1" t="s">
        <v>2412</v>
      </c>
      <c r="O1" s="1" t="s">
        <v>1307</v>
      </c>
      <c r="P1" s="1" t="s">
        <v>1308</v>
      </c>
      <c r="Q1" s="65" t="s">
        <v>177</v>
      </c>
      <c r="R1" s="97" t="s">
        <v>178</v>
      </c>
      <c r="S1" s="65" t="s">
        <v>68</v>
      </c>
      <c r="T1" s="98" t="s">
        <v>179</v>
      </c>
      <c r="U1" s="99" t="s">
        <v>2413</v>
      </c>
      <c r="V1" s="1" t="s">
        <v>154</v>
      </c>
    </row>
    <row r="2" hidden="1">
      <c r="A2" s="67">
        <f>HYPERLINK("https://polkadot.subsquare.io/treasury/child-bounties/1419", 1419)</f>
        <v>1419</v>
      </c>
      <c r="B2" s="1">
        <v>19.0</v>
      </c>
      <c r="C2" s="1" t="s">
        <v>2414</v>
      </c>
      <c r="D2" s="1" t="s">
        <v>943</v>
      </c>
      <c r="E2" s="5">
        <v>5609.0</v>
      </c>
      <c r="F2" s="4">
        <v>31639.07334804535</v>
      </c>
      <c r="G2" s="1" t="s">
        <v>2415</v>
      </c>
      <c r="H2" s="95">
        <v>45461.0</v>
      </c>
      <c r="I2" s="95">
        <v>45469.0</v>
      </c>
      <c r="J2" s="4">
        <v>35232.61980390549</v>
      </c>
      <c r="K2" s="1"/>
      <c r="L2" s="1"/>
      <c r="M2" s="1" t="str">
        <f>VLOOKUP(B2,Bounties!A:D,3,FALSE)</f>
        <v>Development</v>
      </c>
      <c r="N2" s="1" t="str">
        <f>VLOOKUP(B2,Bounties!A:D,4,FALSE)</f>
        <v>Smart Contracts</v>
      </c>
      <c r="O2" s="1" t="str">
        <f t="shared" ref="O2:P2" si="1">IF(ISBLANK(K2),M2,K2)</f>
        <v>Development</v>
      </c>
      <c r="P2" s="1" t="str">
        <f t="shared" si="1"/>
        <v>Smart Contracts</v>
      </c>
      <c r="Q2" s="61" t="str">
        <f t="shared" ref="Q2:Q1394" si="3">LEFT(I2,4)</f>
        <v>2024</v>
      </c>
      <c r="R2" s="62">
        <f t="shared" ref="R2:R1394" si="4">VALUE(RIGHT(LEFT(I2,7),2))</f>
        <v>6</v>
      </c>
      <c r="S2" s="61" t="str">
        <f t="shared" ref="S2:S1394" si="5">Q2 &amp; "-Q" &amp; CHOOSE(CEILING(R2/3, 1), "1", "2", "3", "4")</f>
        <v>2024-Q2</v>
      </c>
      <c r="T2" s="63" t="str">
        <f t="shared" ref="T2:T1394" si="6">Q2&amp;"-"&amp;TEXT(R2, "00")</f>
        <v>2024-06</v>
      </c>
      <c r="U2" s="64" t="str">
        <f t="shared" ref="U2:U1394" si="7">Q2 &amp; "-H" &amp; CHOOSE(CEILING(R2/6, 1), "1", "2")</f>
        <v>2024-H1</v>
      </c>
      <c r="V2" s="9" t="str">
        <f>VLOOKUP(B2,Bounties!A:E,2,FALSE)</f>
        <v>Wasm Smart Contracts Bounty</v>
      </c>
    </row>
    <row r="3" hidden="1">
      <c r="A3" s="67">
        <f>HYPERLINK("https://polkadot.subsquare.io/treasury/child-bounties/1418", 1418)</f>
        <v>1418</v>
      </c>
      <c r="B3" s="1">
        <v>11.0</v>
      </c>
      <c r="C3" s="1" t="s">
        <v>2416</v>
      </c>
      <c r="D3" s="1" t="s">
        <v>2417</v>
      </c>
      <c r="E3" s="5">
        <v>287.68</v>
      </c>
      <c r="F3" s="4">
        <v>1661.539273376465</v>
      </c>
      <c r="G3" s="1"/>
      <c r="H3" s="95">
        <v>45460.0</v>
      </c>
      <c r="I3" s="95">
        <v>45460.0</v>
      </c>
      <c r="J3" s="4">
        <v>1661.539273376465</v>
      </c>
      <c r="K3" s="1"/>
      <c r="L3" s="1"/>
      <c r="M3" s="1" t="str">
        <f>VLOOKUP(B3,Bounties!A:D,3,FALSE)</f>
        <v>Research</v>
      </c>
      <c r="N3" s="1" t="str">
        <f>VLOOKUP(B3,Bounties!A:D,4,FALSE)</f>
        <v>Anti-Scam</v>
      </c>
      <c r="O3" s="1" t="str">
        <f t="shared" ref="O3:P3" si="2">IF(ISBLANK(K3),M3,K3)</f>
        <v>Research</v>
      </c>
      <c r="P3" s="1" t="str">
        <f t="shared" si="2"/>
        <v>Anti-Scam</v>
      </c>
      <c r="Q3" s="61" t="str">
        <f t="shared" si="3"/>
        <v>2024</v>
      </c>
      <c r="R3" s="62">
        <f t="shared" si="4"/>
        <v>6</v>
      </c>
      <c r="S3" s="61" t="str">
        <f t="shared" si="5"/>
        <v>2024-Q2</v>
      </c>
      <c r="T3" s="63" t="str">
        <f t="shared" si="6"/>
        <v>2024-06</v>
      </c>
      <c r="U3" s="64" t="str">
        <f t="shared" si="7"/>
        <v>2024-H1</v>
      </c>
      <c r="V3" s="9" t="str">
        <f>VLOOKUP(B3,Bounties!A:E,2,FALSE)</f>
        <v>Anti-Scam Bounty</v>
      </c>
    </row>
    <row r="4" hidden="1">
      <c r="A4" s="67">
        <f>HYPERLINK("https://polkadot.subsquare.io/treasury/child-bounties/1417", 1417)</f>
        <v>1417</v>
      </c>
      <c r="B4" s="1">
        <v>42.0</v>
      </c>
      <c r="C4" s="1" t="s">
        <v>2414</v>
      </c>
      <c r="D4" s="1" t="s">
        <v>942</v>
      </c>
      <c r="E4" s="5">
        <v>127.22</v>
      </c>
      <c r="F4" s="4">
        <v>717.6186327934265</v>
      </c>
      <c r="G4" s="1" t="s">
        <v>2418</v>
      </c>
      <c r="H4" s="95">
        <v>45460.0</v>
      </c>
      <c r="I4" s="95">
        <v>45468.0</v>
      </c>
      <c r="J4" s="4">
        <v>799.1253149318695</v>
      </c>
      <c r="K4" s="1"/>
      <c r="L4" s="1"/>
      <c r="M4" s="1" t="str">
        <f>VLOOKUP(B4,Bounties!A:D,3,FALSE)</f>
        <v>Outreach</v>
      </c>
      <c r="N4" s="1" t="str">
        <f>VLOOKUP(B4,Bounties!A:D,4,FALSE)</f>
        <v>Media</v>
      </c>
      <c r="O4" s="1" t="str">
        <f t="shared" ref="O4:P4" si="8">IF(ISBLANK(K4),M4,K4)</f>
        <v>Outreach</v>
      </c>
      <c r="P4" s="1" t="str">
        <f t="shared" si="8"/>
        <v>Media</v>
      </c>
      <c r="Q4" s="61" t="str">
        <f t="shared" si="3"/>
        <v>2024</v>
      </c>
      <c r="R4" s="62">
        <f t="shared" si="4"/>
        <v>6</v>
      </c>
      <c r="S4" s="61" t="str">
        <f t="shared" si="5"/>
        <v>2024-Q2</v>
      </c>
      <c r="T4" s="63" t="str">
        <f t="shared" si="6"/>
        <v>2024-06</v>
      </c>
      <c r="U4" s="64" t="str">
        <f t="shared" si="7"/>
        <v>2024-H1</v>
      </c>
      <c r="V4" s="9" t="str">
        <f>VLOOKUP(B4,Bounties!A:E,2,FALSE)</f>
        <v>Spanish Bounty</v>
      </c>
    </row>
    <row r="5" hidden="1">
      <c r="A5" s="67">
        <f>HYPERLINK("https://polkadot.subsquare.io/treasury/child-bounties/1416", 1416)</f>
        <v>1416</v>
      </c>
      <c r="B5" s="1">
        <v>42.0</v>
      </c>
      <c r="C5" s="1" t="s">
        <v>2416</v>
      </c>
      <c r="D5" s="1" t="s">
        <v>2419</v>
      </c>
      <c r="E5" s="5">
        <v>1319.52</v>
      </c>
      <c r="F5" s="4">
        <v>7621.086978607178</v>
      </c>
      <c r="G5" s="1"/>
      <c r="H5" s="95">
        <v>45460.0</v>
      </c>
      <c r="I5" s="95">
        <v>45460.0</v>
      </c>
      <c r="J5" s="4">
        <v>7621.086978607178</v>
      </c>
      <c r="K5" s="1"/>
      <c r="L5" s="1"/>
      <c r="M5" s="1" t="str">
        <f>VLOOKUP(B5,Bounties!A:D,3,FALSE)</f>
        <v>Outreach</v>
      </c>
      <c r="N5" s="1" t="str">
        <f>VLOOKUP(B5,Bounties!A:D,4,FALSE)</f>
        <v>Media</v>
      </c>
      <c r="O5" s="1" t="str">
        <f t="shared" ref="O5:P5" si="9">IF(ISBLANK(K5),M5,K5)</f>
        <v>Outreach</v>
      </c>
      <c r="P5" s="1" t="str">
        <f t="shared" si="9"/>
        <v>Media</v>
      </c>
      <c r="Q5" s="61" t="str">
        <f t="shared" si="3"/>
        <v>2024</v>
      </c>
      <c r="R5" s="62">
        <f t="shared" si="4"/>
        <v>6</v>
      </c>
      <c r="S5" s="61" t="str">
        <f t="shared" si="5"/>
        <v>2024-Q2</v>
      </c>
      <c r="T5" s="63" t="str">
        <f t="shared" si="6"/>
        <v>2024-06</v>
      </c>
      <c r="U5" s="64" t="str">
        <f t="shared" si="7"/>
        <v>2024-H1</v>
      </c>
      <c r="V5" s="9" t="str">
        <f>VLOOKUP(B5,Bounties!A:E,2,FALSE)</f>
        <v>Spanish Bounty</v>
      </c>
    </row>
    <row r="6" hidden="1">
      <c r="A6" s="67">
        <f>HYPERLINK("https://polkadot.subsquare.io/treasury/child-bounties/1413", 1413)</f>
        <v>1413</v>
      </c>
      <c r="B6" s="1">
        <v>42.0</v>
      </c>
      <c r="C6" s="1" t="s">
        <v>2414</v>
      </c>
      <c r="D6" s="1" t="s">
        <v>941</v>
      </c>
      <c r="E6" s="5">
        <v>11.18</v>
      </c>
      <c r="F6" s="4">
        <v>63.06379747390747</v>
      </c>
      <c r="G6" s="1" t="s">
        <v>2420</v>
      </c>
      <c r="H6" s="95">
        <v>45460.0</v>
      </c>
      <c r="I6" s="95">
        <v>45469.0</v>
      </c>
      <c r="J6" s="4">
        <v>70.22654473304749</v>
      </c>
      <c r="K6" s="1"/>
      <c r="L6" s="1"/>
      <c r="M6" s="1" t="str">
        <f>VLOOKUP(B6,Bounties!A:D,3,FALSE)</f>
        <v>Outreach</v>
      </c>
      <c r="N6" s="1" t="str">
        <f>VLOOKUP(B6,Bounties!A:D,4,FALSE)</f>
        <v>Media</v>
      </c>
      <c r="O6" s="1" t="str">
        <f t="shared" ref="O6:P6" si="10">IF(ISBLANK(K6),M6,K6)</f>
        <v>Outreach</v>
      </c>
      <c r="P6" s="1" t="str">
        <f t="shared" si="10"/>
        <v>Media</v>
      </c>
      <c r="Q6" s="61" t="str">
        <f t="shared" si="3"/>
        <v>2024</v>
      </c>
      <c r="R6" s="62">
        <f t="shared" si="4"/>
        <v>6</v>
      </c>
      <c r="S6" s="61" t="str">
        <f t="shared" si="5"/>
        <v>2024-Q2</v>
      </c>
      <c r="T6" s="63" t="str">
        <f t="shared" si="6"/>
        <v>2024-06</v>
      </c>
      <c r="U6" s="64" t="str">
        <f t="shared" si="7"/>
        <v>2024-H1</v>
      </c>
      <c r="V6" s="9" t="str">
        <f>VLOOKUP(B6,Bounties!A:E,2,FALSE)</f>
        <v>Spanish Bounty</v>
      </c>
    </row>
    <row r="7" hidden="1">
      <c r="A7" s="67">
        <f>HYPERLINK("https://polkadot.subsquare.io/treasury/child-bounties/1412", 1412)</f>
        <v>1412</v>
      </c>
      <c r="B7" s="1">
        <v>42.0</v>
      </c>
      <c r="C7" s="1" t="s">
        <v>2416</v>
      </c>
      <c r="D7" s="1" t="s">
        <v>2421</v>
      </c>
      <c r="E7" s="5">
        <v>7.19</v>
      </c>
      <c r="F7" s="4">
        <v>41.526930532455445</v>
      </c>
      <c r="G7" s="1"/>
      <c r="H7" s="95">
        <v>45460.0</v>
      </c>
      <c r="I7" s="95">
        <v>45460.0</v>
      </c>
      <c r="J7" s="4">
        <v>41.526930532455445</v>
      </c>
      <c r="K7" s="1"/>
      <c r="L7" s="1"/>
      <c r="M7" s="1" t="str">
        <f>VLOOKUP(B7,Bounties!A:D,3,FALSE)</f>
        <v>Outreach</v>
      </c>
      <c r="N7" s="1" t="str">
        <f>VLOOKUP(B7,Bounties!A:D,4,FALSE)</f>
        <v>Media</v>
      </c>
      <c r="O7" s="1" t="str">
        <f t="shared" ref="O7:P7" si="11">IF(ISBLANK(K7),M7,K7)</f>
        <v>Outreach</v>
      </c>
      <c r="P7" s="1" t="str">
        <f t="shared" si="11"/>
        <v>Media</v>
      </c>
      <c r="Q7" s="61" t="str">
        <f t="shared" si="3"/>
        <v>2024</v>
      </c>
      <c r="R7" s="62">
        <f t="shared" si="4"/>
        <v>6</v>
      </c>
      <c r="S7" s="61" t="str">
        <f t="shared" si="5"/>
        <v>2024-Q2</v>
      </c>
      <c r="T7" s="63" t="str">
        <f t="shared" si="6"/>
        <v>2024-06</v>
      </c>
      <c r="U7" s="64" t="str">
        <f t="shared" si="7"/>
        <v>2024-H1</v>
      </c>
      <c r="V7" s="9" t="str">
        <f>VLOOKUP(B7,Bounties!A:E,2,FALSE)</f>
        <v>Spanish Bounty</v>
      </c>
    </row>
    <row r="8" hidden="1">
      <c r="A8" s="67">
        <f>HYPERLINK("https://polkadot.subsquare.io/treasury/child-bounties/1411", 1411)</f>
        <v>1411</v>
      </c>
      <c r="B8" s="1">
        <v>42.0</v>
      </c>
      <c r="C8" s="1" t="s">
        <v>2414</v>
      </c>
      <c r="D8" s="1" t="s">
        <v>940</v>
      </c>
      <c r="E8" s="5">
        <v>14.28</v>
      </c>
      <c r="F8" s="4">
        <v>80.55018138885498</v>
      </c>
      <c r="G8" s="1" t="s">
        <v>2422</v>
      </c>
      <c r="H8" s="95">
        <v>45460.0</v>
      </c>
      <c r="I8" s="95">
        <v>45468.0</v>
      </c>
      <c r="J8" s="4">
        <v>89.69902135848999</v>
      </c>
      <c r="K8" s="1"/>
      <c r="L8" s="1"/>
      <c r="M8" s="1" t="str">
        <f>VLOOKUP(B8,Bounties!A:D,3,FALSE)</f>
        <v>Outreach</v>
      </c>
      <c r="N8" s="1" t="str">
        <f>VLOOKUP(B8,Bounties!A:D,4,FALSE)</f>
        <v>Media</v>
      </c>
      <c r="O8" s="1" t="str">
        <f t="shared" ref="O8:P8" si="12">IF(ISBLANK(K8),M8,K8)</f>
        <v>Outreach</v>
      </c>
      <c r="P8" s="1" t="str">
        <f t="shared" si="12"/>
        <v>Media</v>
      </c>
      <c r="Q8" s="61" t="str">
        <f t="shared" si="3"/>
        <v>2024</v>
      </c>
      <c r="R8" s="62">
        <f t="shared" si="4"/>
        <v>6</v>
      </c>
      <c r="S8" s="61" t="str">
        <f t="shared" si="5"/>
        <v>2024-Q2</v>
      </c>
      <c r="T8" s="63" t="str">
        <f t="shared" si="6"/>
        <v>2024-06</v>
      </c>
      <c r="U8" s="64" t="str">
        <f t="shared" si="7"/>
        <v>2024-H1</v>
      </c>
      <c r="V8" s="9" t="str">
        <f>VLOOKUP(B8,Bounties!A:E,2,FALSE)</f>
        <v>Spanish Bounty</v>
      </c>
    </row>
    <row r="9" hidden="1">
      <c r="A9" s="67">
        <f>HYPERLINK("https://polkadot.subsquare.io/treasury/child-bounties/1410", 1410)</f>
        <v>1410</v>
      </c>
      <c r="B9" s="1">
        <v>42.0</v>
      </c>
      <c r="C9" s="1" t="s">
        <v>2414</v>
      </c>
      <c r="D9" s="1" t="s">
        <v>939</v>
      </c>
      <c r="E9" s="5">
        <v>60.11</v>
      </c>
      <c r="F9" s="4">
        <v>339.06662487983704</v>
      </c>
      <c r="G9" s="1" t="s">
        <v>2423</v>
      </c>
      <c r="H9" s="95">
        <v>45460.0</v>
      </c>
      <c r="I9" s="95">
        <v>45468.0</v>
      </c>
      <c r="J9" s="4">
        <v>377.5776032114029</v>
      </c>
      <c r="K9" s="1"/>
      <c r="L9" s="1"/>
      <c r="M9" s="1" t="str">
        <f>VLOOKUP(B9,Bounties!A:D,3,FALSE)</f>
        <v>Outreach</v>
      </c>
      <c r="N9" s="1" t="str">
        <f>VLOOKUP(B9,Bounties!A:D,4,FALSE)</f>
        <v>Media</v>
      </c>
      <c r="O9" s="1" t="str">
        <f t="shared" ref="O9:P9" si="13">IF(ISBLANK(K9),M9,K9)</f>
        <v>Outreach</v>
      </c>
      <c r="P9" s="1" t="str">
        <f t="shared" si="13"/>
        <v>Media</v>
      </c>
      <c r="Q9" s="61" t="str">
        <f t="shared" si="3"/>
        <v>2024</v>
      </c>
      <c r="R9" s="62">
        <f t="shared" si="4"/>
        <v>6</v>
      </c>
      <c r="S9" s="61" t="str">
        <f t="shared" si="5"/>
        <v>2024-Q2</v>
      </c>
      <c r="T9" s="63" t="str">
        <f t="shared" si="6"/>
        <v>2024-06</v>
      </c>
      <c r="U9" s="64" t="str">
        <f t="shared" si="7"/>
        <v>2024-H1</v>
      </c>
      <c r="V9" s="9" t="str">
        <f>VLOOKUP(B9,Bounties!A:E,2,FALSE)</f>
        <v>Spanish Bounty</v>
      </c>
    </row>
    <row r="10" hidden="1">
      <c r="A10" s="67">
        <f>HYPERLINK("https://polkadot.subsquare.io/treasury/child-bounties/1406", 1406)</f>
        <v>1406</v>
      </c>
      <c r="B10" s="1">
        <v>42.0</v>
      </c>
      <c r="C10" s="1" t="s">
        <v>2414</v>
      </c>
      <c r="D10" s="1" t="s">
        <v>938</v>
      </c>
      <c r="E10" s="5">
        <v>38.56</v>
      </c>
      <c r="F10" s="4">
        <v>217.50805282592773</v>
      </c>
      <c r="G10" s="1" t="s">
        <v>2423</v>
      </c>
      <c r="H10" s="95">
        <v>45460.0</v>
      </c>
      <c r="I10" s="95">
        <v>45468.0</v>
      </c>
      <c r="J10" s="4">
        <v>242.2124834442139</v>
      </c>
      <c r="K10" s="1"/>
      <c r="L10" s="1"/>
      <c r="M10" s="1" t="str">
        <f>VLOOKUP(B10,Bounties!A:D,3,FALSE)</f>
        <v>Outreach</v>
      </c>
      <c r="N10" s="1" t="str">
        <f>VLOOKUP(B10,Bounties!A:D,4,FALSE)</f>
        <v>Media</v>
      </c>
      <c r="O10" s="1" t="str">
        <f t="shared" ref="O10:P10" si="14">IF(ISBLANK(K10),M10,K10)</f>
        <v>Outreach</v>
      </c>
      <c r="P10" s="1" t="str">
        <f t="shared" si="14"/>
        <v>Media</v>
      </c>
      <c r="Q10" s="61" t="str">
        <f t="shared" si="3"/>
        <v>2024</v>
      </c>
      <c r="R10" s="62">
        <f t="shared" si="4"/>
        <v>6</v>
      </c>
      <c r="S10" s="61" t="str">
        <f t="shared" si="5"/>
        <v>2024-Q2</v>
      </c>
      <c r="T10" s="63" t="str">
        <f t="shared" si="6"/>
        <v>2024-06</v>
      </c>
      <c r="U10" s="64" t="str">
        <f t="shared" si="7"/>
        <v>2024-H1</v>
      </c>
      <c r="V10" s="9" t="str">
        <f>VLOOKUP(B10,Bounties!A:E,2,FALSE)</f>
        <v>Spanish Bounty</v>
      </c>
    </row>
    <row r="11" hidden="1">
      <c r="A11" s="67">
        <f>HYPERLINK("https://polkadot.subsquare.io/treasury/child-bounties/1405", 1405)</f>
        <v>1405</v>
      </c>
      <c r="B11" s="1">
        <v>36.0</v>
      </c>
      <c r="C11" s="1" t="s">
        <v>2424</v>
      </c>
      <c r="D11" s="1" t="s">
        <v>2425</v>
      </c>
      <c r="E11" s="5">
        <v>804.12</v>
      </c>
      <c r="F11" s="4">
        <v>4644.316464500427</v>
      </c>
      <c r="G11" s="1"/>
      <c r="H11" s="95">
        <v>45460.0</v>
      </c>
      <c r="I11" s="95">
        <v>45460.0</v>
      </c>
      <c r="J11" s="4">
        <v>4644.316464500427</v>
      </c>
      <c r="K11" s="1"/>
      <c r="L11" s="1"/>
      <c r="M11" s="1" t="str">
        <f>VLOOKUP(B11,Bounties!A:D,3,FALSE)</f>
        <v>Development</v>
      </c>
      <c r="N11" s="1" t="str">
        <f>VLOOKUP(B11,Bounties!A:D,4,FALSE)</f>
        <v>Software Development</v>
      </c>
      <c r="O11" s="1" t="str">
        <f t="shared" ref="O11:P11" si="15">IF(ISBLANK(K11),M11,K11)</f>
        <v>Development</v>
      </c>
      <c r="P11" s="1" t="str">
        <f t="shared" si="15"/>
        <v>Software Development</v>
      </c>
      <c r="Q11" s="61" t="str">
        <f t="shared" si="3"/>
        <v>2024</v>
      </c>
      <c r="R11" s="62">
        <f t="shared" si="4"/>
        <v>6</v>
      </c>
      <c r="S11" s="61" t="str">
        <f t="shared" si="5"/>
        <v>2024-Q2</v>
      </c>
      <c r="T11" s="63" t="str">
        <f t="shared" si="6"/>
        <v>2024-06</v>
      </c>
      <c r="U11" s="64" t="str">
        <f t="shared" si="7"/>
        <v>2024-H1</v>
      </c>
      <c r="V11" s="9" t="str">
        <f>VLOOKUP(B11,Bounties!A:E,2,FALSE)</f>
        <v>DeFi Infrastructure and Tooling Bounty</v>
      </c>
    </row>
    <row r="12" hidden="1">
      <c r="A12" s="67">
        <f>HYPERLINK("https://polkadot.subsquare.io/treasury/child-bounties/1404", 1404)</f>
        <v>1404</v>
      </c>
      <c r="B12" s="1">
        <v>36.0</v>
      </c>
      <c r="C12" s="1" t="s">
        <v>2424</v>
      </c>
      <c r="D12" s="1" t="s">
        <v>2426</v>
      </c>
      <c r="E12" s="5">
        <v>9649.4</v>
      </c>
      <c r="F12" s="4">
        <v>55731.566547966</v>
      </c>
      <c r="G12" s="1"/>
      <c r="H12" s="95">
        <v>45460.0</v>
      </c>
      <c r="I12" s="95">
        <v>45460.0</v>
      </c>
      <c r="J12" s="4">
        <v>55731.566547966</v>
      </c>
      <c r="K12" s="1"/>
      <c r="L12" s="1"/>
      <c r="M12" s="1" t="str">
        <f>VLOOKUP(B12,Bounties!A:D,3,FALSE)</f>
        <v>Development</v>
      </c>
      <c r="N12" s="1" t="str">
        <f>VLOOKUP(B12,Bounties!A:D,4,FALSE)</f>
        <v>Software Development</v>
      </c>
      <c r="O12" s="1" t="str">
        <f t="shared" ref="O12:P12" si="16">IF(ISBLANK(K12),M12,K12)</f>
        <v>Development</v>
      </c>
      <c r="P12" s="1" t="str">
        <f t="shared" si="16"/>
        <v>Software Development</v>
      </c>
      <c r="Q12" s="61" t="str">
        <f t="shared" si="3"/>
        <v>2024</v>
      </c>
      <c r="R12" s="62">
        <f t="shared" si="4"/>
        <v>6</v>
      </c>
      <c r="S12" s="61" t="str">
        <f t="shared" si="5"/>
        <v>2024-Q2</v>
      </c>
      <c r="T12" s="63" t="str">
        <f t="shared" si="6"/>
        <v>2024-06</v>
      </c>
      <c r="U12" s="64" t="str">
        <f t="shared" si="7"/>
        <v>2024-H1</v>
      </c>
      <c r="V12" s="9" t="str">
        <f>VLOOKUP(B12,Bounties!A:E,2,FALSE)</f>
        <v>DeFi Infrastructure and Tooling Bounty</v>
      </c>
    </row>
    <row r="13" hidden="1">
      <c r="A13" s="67">
        <f>HYPERLINK("https://polkadot.subsquare.io/treasury/child-bounties/1403", 1403)</f>
        <v>1403</v>
      </c>
      <c r="B13" s="1">
        <v>36.0</v>
      </c>
      <c r="C13" s="1" t="s">
        <v>2424</v>
      </c>
      <c r="D13" s="1" t="s">
        <v>2427</v>
      </c>
      <c r="E13" s="5">
        <v>10131.88</v>
      </c>
      <c r="F13" s="4">
        <v>58518.20263187408</v>
      </c>
      <c r="G13" s="1"/>
      <c r="H13" s="95">
        <v>45460.0</v>
      </c>
      <c r="I13" s="95">
        <v>45460.0</v>
      </c>
      <c r="J13" s="4">
        <v>58518.20263187408</v>
      </c>
      <c r="K13" s="1"/>
      <c r="L13" s="1"/>
      <c r="M13" s="1" t="str">
        <f>VLOOKUP(B13,Bounties!A:D,3,FALSE)</f>
        <v>Development</v>
      </c>
      <c r="N13" s="1" t="str">
        <f>VLOOKUP(B13,Bounties!A:D,4,FALSE)</f>
        <v>Software Development</v>
      </c>
      <c r="O13" s="1" t="str">
        <f t="shared" ref="O13:P13" si="17">IF(ISBLANK(K13),M13,K13)</f>
        <v>Development</v>
      </c>
      <c r="P13" s="1" t="str">
        <f t="shared" si="17"/>
        <v>Software Development</v>
      </c>
      <c r="Q13" s="61" t="str">
        <f t="shared" si="3"/>
        <v>2024</v>
      </c>
      <c r="R13" s="62">
        <f t="shared" si="4"/>
        <v>6</v>
      </c>
      <c r="S13" s="61" t="str">
        <f t="shared" si="5"/>
        <v>2024-Q2</v>
      </c>
      <c r="T13" s="63" t="str">
        <f t="shared" si="6"/>
        <v>2024-06</v>
      </c>
      <c r="U13" s="64" t="str">
        <f t="shared" si="7"/>
        <v>2024-H1</v>
      </c>
      <c r="V13" s="9" t="str">
        <f>VLOOKUP(B13,Bounties!A:E,2,FALSE)</f>
        <v>DeFi Infrastructure and Tooling Bounty</v>
      </c>
    </row>
    <row r="14" hidden="1">
      <c r="A14" s="67">
        <f>HYPERLINK("https://polkadot.subsquare.io/treasury/child-bounties/1402", 1402)</f>
        <v>1402</v>
      </c>
      <c r="B14" s="1">
        <v>10.0</v>
      </c>
      <c r="C14" s="1" t="s">
        <v>2416</v>
      </c>
      <c r="D14" s="1" t="s">
        <v>2428</v>
      </c>
      <c r="E14" s="5">
        <v>21470.0</v>
      </c>
      <c r="F14" s="4">
        <v>124003.2264995575</v>
      </c>
      <c r="G14" s="1"/>
      <c r="H14" s="95">
        <v>45459.0</v>
      </c>
      <c r="I14" s="95">
        <v>45459.0</v>
      </c>
      <c r="J14" s="4">
        <v>124003.2264995575</v>
      </c>
      <c r="K14" s="1"/>
      <c r="L14" s="1"/>
      <c r="M14" s="1" t="str">
        <f>VLOOKUP(B14,Bounties!A:D,3,FALSE)</f>
        <v>Talent &amp; Education</v>
      </c>
      <c r="N14" s="1" t="str">
        <f>VLOOKUP(B14,Bounties!A:D,4,FALSE)</f>
        <v>Incubation</v>
      </c>
      <c r="O14" s="1" t="str">
        <f t="shared" ref="O14:P14" si="18">IF(ISBLANK(K14),M14,K14)</f>
        <v>Talent &amp; Education</v>
      </c>
      <c r="P14" s="1" t="str">
        <f t="shared" si="18"/>
        <v>Incubation</v>
      </c>
      <c r="Q14" s="61" t="str">
        <f t="shared" si="3"/>
        <v>2024</v>
      </c>
      <c r="R14" s="62">
        <f t="shared" si="4"/>
        <v>6</v>
      </c>
      <c r="S14" s="61" t="str">
        <f t="shared" si="5"/>
        <v>2024-Q2</v>
      </c>
      <c r="T14" s="63" t="str">
        <f t="shared" si="6"/>
        <v>2024-06</v>
      </c>
      <c r="U14" s="64" t="str">
        <f t="shared" si="7"/>
        <v>2024-H1</v>
      </c>
      <c r="V14" s="9" t="str">
        <f>VLOOKUP(B14,Bounties!A:E,2,FALSE)</f>
        <v>Polkadot Pioneers Bounty</v>
      </c>
    </row>
    <row r="15" hidden="1">
      <c r="A15" s="67">
        <f>HYPERLINK("https://polkadot.subsquare.io/treasury/child-bounties/1401", 1401)</f>
        <v>1401</v>
      </c>
      <c r="B15" s="1">
        <v>43.0</v>
      </c>
      <c r="C15" s="1" t="s">
        <v>2414</v>
      </c>
      <c r="D15" s="1" t="s">
        <v>937</v>
      </c>
      <c r="E15" s="5">
        <v>168.77</v>
      </c>
      <c r="F15" s="4">
        <v>1025.09463534832</v>
      </c>
      <c r="G15" s="1" t="s">
        <v>2429</v>
      </c>
      <c r="H15" s="95">
        <v>45457.0</v>
      </c>
      <c r="I15" s="95">
        <v>45469.0</v>
      </c>
      <c r="J15" s="4">
        <v>1060.1193161535264</v>
      </c>
      <c r="K15" s="1"/>
      <c r="L15" s="1"/>
      <c r="M15" s="1" t="str">
        <f>VLOOKUP(B15,Bounties!A:D,3,FALSE)</f>
        <v>Outreach</v>
      </c>
      <c r="N15" s="1" t="str">
        <f>VLOOKUP(B15,Bounties!A:D,4,FALSE)</f>
        <v>Events/Meetups</v>
      </c>
      <c r="O15" s="1" t="str">
        <f t="shared" ref="O15:P15" si="19">IF(ISBLANK(K15),M15,K15)</f>
        <v>Outreach</v>
      </c>
      <c r="P15" s="1" t="str">
        <f t="shared" si="19"/>
        <v>Events/Meetups</v>
      </c>
      <c r="Q15" s="61" t="str">
        <f t="shared" si="3"/>
        <v>2024</v>
      </c>
      <c r="R15" s="62">
        <f t="shared" si="4"/>
        <v>6</v>
      </c>
      <c r="S15" s="61" t="str">
        <f t="shared" si="5"/>
        <v>2024-Q2</v>
      </c>
      <c r="T15" s="63" t="str">
        <f t="shared" si="6"/>
        <v>2024-06</v>
      </c>
      <c r="U15" s="64" t="str">
        <f t="shared" si="7"/>
        <v>2024-H1</v>
      </c>
      <c r="V15" s="9" t="str">
        <f>VLOOKUP(B15,Bounties!A:E,2,FALSE)</f>
        <v>Meetups Bounty</v>
      </c>
    </row>
    <row r="16" hidden="1">
      <c r="A16" s="67">
        <f>HYPERLINK("https://polkadot.subsquare.io/treasury/child-bounties/1400", 1400)</f>
        <v>1400</v>
      </c>
      <c r="B16" s="1">
        <v>43.0</v>
      </c>
      <c r="C16" s="1" t="s">
        <v>2416</v>
      </c>
      <c r="D16" s="1" t="s">
        <v>2430</v>
      </c>
      <c r="E16" s="5">
        <v>110.0</v>
      </c>
      <c r="F16" s="4">
        <v>668.1306505203247</v>
      </c>
      <c r="G16" s="1"/>
      <c r="H16" s="95">
        <v>45457.0</v>
      </c>
      <c r="I16" s="95">
        <v>45457.0</v>
      </c>
      <c r="J16" s="4">
        <v>668.1306505203247</v>
      </c>
      <c r="K16" s="1"/>
      <c r="L16" s="1"/>
      <c r="M16" s="1" t="str">
        <f>VLOOKUP(B16,Bounties!A:D,3,FALSE)</f>
        <v>Outreach</v>
      </c>
      <c r="N16" s="1" t="str">
        <f>VLOOKUP(B16,Bounties!A:D,4,FALSE)</f>
        <v>Events/Meetups</v>
      </c>
      <c r="O16" s="1" t="str">
        <f t="shared" ref="O16:P16" si="20">IF(ISBLANK(K16),M16,K16)</f>
        <v>Outreach</v>
      </c>
      <c r="P16" s="1" t="str">
        <f t="shared" si="20"/>
        <v>Events/Meetups</v>
      </c>
      <c r="Q16" s="61" t="str">
        <f t="shared" si="3"/>
        <v>2024</v>
      </c>
      <c r="R16" s="62">
        <f t="shared" si="4"/>
        <v>6</v>
      </c>
      <c r="S16" s="61" t="str">
        <f t="shared" si="5"/>
        <v>2024-Q2</v>
      </c>
      <c r="T16" s="63" t="str">
        <f t="shared" si="6"/>
        <v>2024-06</v>
      </c>
      <c r="U16" s="64" t="str">
        <f t="shared" si="7"/>
        <v>2024-H1</v>
      </c>
      <c r="V16" s="9" t="str">
        <f>VLOOKUP(B16,Bounties!A:E,2,FALSE)</f>
        <v>Meetups Bounty</v>
      </c>
    </row>
    <row r="17" hidden="1">
      <c r="A17" s="67">
        <f>HYPERLINK("https://polkadot.subsquare.io/treasury/child-bounties/1399", 1399)</f>
        <v>1399</v>
      </c>
      <c r="B17" s="1">
        <v>43.0</v>
      </c>
      <c r="C17" s="1" t="s">
        <v>2414</v>
      </c>
      <c r="D17" s="1" t="s">
        <v>936</v>
      </c>
      <c r="E17" s="5">
        <v>119.9</v>
      </c>
      <c r="F17" s="4">
        <v>738.9150692462922</v>
      </c>
      <c r="G17" s="1" t="s">
        <v>2431</v>
      </c>
      <c r="H17" s="95">
        <v>45455.0</v>
      </c>
      <c r="I17" s="95">
        <v>45466.0</v>
      </c>
      <c r="J17" s="4">
        <v>694.6138867378235</v>
      </c>
      <c r="K17" s="1"/>
      <c r="L17" s="1"/>
      <c r="M17" s="1" t="str">
        <f>VLOOKUP(B17,Bounties!A:D,3,FALSE)</f>
        <v>Outreach</v>
      </c>
      <c r="N17" s="1" t="str">
        <f>VLOOKUP(B17,Bounties!A:D,4,FALSE)</f>
        <v>Events/Meetups</v>
      </c>
      <c r="O17" s="1" t="str">
        <f t="shared" ref="O17:P17" si="21">IF(ISBLANK(K17),M17,K17)</f>
        <v>Outreach</v>
      </c>
      <c r="P17" s="1" t="str">
        <f t="shared" si="21"/>
        <v>Events/Meetups</v>
      </c>
      <c r="Q17" s="61" t="str">
        <f t="shared" si="3"/>
        <v>2024</v>
      </c>
      <c r="R17" s="62">
        <f t="shared" si="4"/>
        <v>6</v>
      </c>
      <c r="S17" s="61" t="str">
        <f t="shared" si="5"/>
        <v>2024-Q2</v>
      </c>
      <c r="T17" s="63" t="str">
        <f t="shared" si="6"/>
        <v>2024-06</v>
      </c>
      <c r="U17" s="64" t="str">
        <f t="shared" si="7"/>
        <v>2024-H1</v>
      </c>
      <c r="V17" s="9" t="str">
        <f>VLOOKUP(B17,Bounties!A:E,2,FALSE)</f>
        <v>Meetups Bounty</v>
      </c>
    </row>
    <row r="18" hidden="1">
      <c r="A18" s="67">
        <f>HYPERLINK("https://polkadot.subsquare.io/treasury/child-bounties/1398", 1398)</f>
        <v>1398</v>
      </c>
      <c r="B18" s="1">
        <v>22.0</v>
      </c>
      <c r="C18" s="1" t="s">
        <v>2416</v>
      </c>
      <c r="D18" s="1" t="s">
        <v>2432</v>
      </c>
      <c r="E18" s="5">
        <v>18360.0</v>
      </c>
      <c r="F18" s="4">
        <v>113148.29584121704</v>
      </c>
      <c r="G18" s="1"/>
      <c r="H18" s="95">
        <v>45455.0</v>
      </c>
      <c r="I18" s="95">
        <v>45455.0</v>
      </c>
      <c r="J18" s="4">
        <v>113148.29584121704</v>
      </c>
      <c r="K18" s="1"/>
      <c r="L18" s="1"/>
      <c r="M18" s="1" t="str">
        <f>VLOOKUP(B18,Bounties!A:D,3,FALSE)</f>
        <v>Development</v>
      </c>
      <c r="N18" s="1" t="str">
        <f>VLOOKUP(B18,Bounties!A:D,4,FALSE)</f>
        <v>Ecosystem Services</v>
      </c>
      <c r="O18" s="1" t="str">
        <f t="shared" ref="O18:P18" si="22">IF(ISBLANK(K18),M18,K18)</f>
        <v>Development</v>
      </c>
      <c r="P18" s="1" t="str">
        <f t="shared" si="22"/>
        <v>Ecosystem Services</v>
      </c>
      <c r="Q18" s="61" t="str">
        <f t="shared" si="3"/>
        <v>2024</v>
      </c>
      <c r="R18" s="62">
        <f t="shared" si="4"/>
        <v>6</v>
      </c>
      <c r="S18" s="61" t="str">
        <f t="shared" si="5"/>
        <v>2024-Q2</v>
      </c>
      <c r="T18" s="63" t="str">
        <f t="shared" si="6"/>
        <v>2024-06</v>
      </c>
      <c r="U18" s="64" t="str">
        <f t="shared" si="7"/>
        <v>2024-H1</v>
      </c>
      <c r="V18" s="9" t="str">
        <f>VLOOKUP(B18,Bounties!A:E,2,FALSE)</f>
        <v>Polkadot Assurance Legion Bounty</v>
      </c>
    </row>
    <row r="19" hidden="1">
      <c r="A19" s="67">
        <f>HYPERLINK("https://polkadot.subsquare.io/treasury/child-bounties/1397", 1397)</f>
        <v>1397</v>
      </c>
      <c r="B19" s="1">
        <v>11.0</v>
      </c>
      <c r="C19" s="1" t="s">
        <v>2414</v>
      </c>
      <c r="D19" s="1" t="s">
        <v>935</v>
      </c>
      <c r="E19" s="5">
        <v>301.66</v>
      </c>
      <c r="F19" s="4">
        <v>1859.0585470294955</v>
      </c>
      <c r="G19" s="1" t="s">
        <v>2433</v>
      </c>
      <c r="H19" s="95">
        <v>45454.0</v>
      </c>
      <c r="I19" s="95">
        <v>45465.0</v>
      </c>
      <c r="J19" s="4">
        <v>1762.4470310211184</v>
      </c>
      <c r="K19" s="1"/>
      <c r="L19" s="1"/>
      <c r="M19" s="1" t="str">
        <f>VLOOKUP(B19,Bounties!A:D,3,FALSE)</f>
        <v>Research</v>
      </c>
      <c r="N19" s="1" t="str">
        <f>VLOOKUP(B19,Bounties!A:D,4,FALSE)</f>
        <v>Anti-Scam</v>
      </c>
      <c r="O19" s="1" t="str">
        <f t="shared" ref="O19:P19" si="23">IF(ISBLANK(K19),M19,K19)</f>
        <v>Research</v>
      </c>
      <c r="P19" s="1" t="str">
        <f t="shared" si="23"/>
        <v>Anti-Scam</v>
      </c>
      <c r="Q19" s="61" t="str">
        <f t="shared" si="3"/>
        <v>2024</v>
      </c>
      <c r="R19" s="62">
        <f t="shared" si="4"/>
        <v>6</v>
      </c>
      <c r="S19" s="61" t="str">
        <f t="shared" si="5"/>
        <v>2024-Q2</v>
      </c>
      <c r="T19" s="63" t="str">
        <f t="shared" si="6"/>
        <v>2024-06</v>
      </c>
      <c r="U19" s="64" t="str">
        <f t="shared" si="7"/>
        <v>2024-H1</v>
      </c>
      <c r="V19" s="9" t="str">
        <f>VLOOKUP(B19,Bounties!A:E,2,FALSE)</f>
        <v>Anti-Scam Bounty</v>
      </c>
    </row>
    <row r="20" hidden="1">
      <c r="A20" s="67">
        <f>HYPERLINK("https://polkadot.subsquare.io/treasury/child-bounties/1396", 1396)</f>
        <v>1396</v>
      </c>
      <c r="B20" s="1">
        <v>11.0</v>
      </c>
      <c r="C20" s="1" t="s">
        <v>2414</v>
      </c>
      <c r="D20" s="1" t="s">
        <v>934</v>
      </c>
      <c r="E20" s="5">
        <v>512.59</v>
      </c>
      <c r="F20" s="4">
        <v>3158.9697693490984</v>
      </c>
      <c r="G20" s="1" t="s">
        <v>2434</v>
      </c>
      <c r="H20" s="95">
        <v>45454.0</v>
      </c>
      <c r="I20" s="95">
        <v>45465.0</v>
      </c>
      <c r="J20" s="4">
        <v>2994.8044939041138</v>
      </c>
      <c r="K20" s="1"/>
      <c r="L20" s="1"/>
      <c r="M20" s="1" t="str">
        <f>VLOOKUP(B20,Bounties!A:D,3,FALSE)</f>
        <v>Research</v>
      </c>
      <c r="N20" s="1" t="str">
        <f>VLOOKUP(B20,Bounties!A:D,4,FALSE)</f>
        <v>Anti-Scam</v>
      </c>
      <c r="O20" s="1" t="str">
        <f t="shared" ref="O20:P20" si="24">IF(ISBLANK(K20),M20,K20)</f>
        <v>Research</v>
      </c>
      <c r="P20" s="1" t="str">
        <f t="shared" si="24"/>
        <v>Anti-Scam</v>
      </c>
      <c r="Q20" s="61" t="str">
        <f t="shared" si="3"/>
        <v>2024</v>
      </c>
      <c r="R20" s="62">
        <f t="shared" si="4"/>
        <v>6</v>
      </c>
      <c r="S20" s="61" t="str">
        <f t="shared" si="5"/>
        <v>2024-Q2</v>
      </c>
      <c r="T20" s="63" t="str">
        <f t="shared" si="6"/>
        <v>2024-06</v>
      </c>
      <c r="U20" s="64" t="str">
        <f t="shared" si="7"/>
        <v>2024-H1</v>
      </c>
      <c r="V20" s="9" t="str">
        <f>VLOOKUP(B20,Bounties!A:E,2,FALSE)</f>
        <v>Anti-Scam Bounty</v>
      </c>
    </row>
    <row r="21" hidden="1">
      <c r="A21" s="67">
        <f>HYPERLINK("https://polkadot.subsquare.io/treasury/child-bounties/1394", 1394)</f>
        <v>1394</v>
      </c>
      <c r="B21" s="1">
        <v>33.0</v>
      </c>
      <c r="C21" s="1" t="s">
        <v>2414</v>
      </c>
      <c r="D21" s="1" t="s">
        <v>933</v>
      </c>
      <c r="E21" s="5">
        <v>21220.0</v>
      </c>
      <c r="F21" s="4">
        <v>134960.73072433472</v>
      </c>
      <c r="G21" s="1" t="s">
        <v>2435</v>
      </c>
      <c r="H21" s="95">
        <v>45453.0</v>
      </c>
      <c r="I21" s="95">
        <v>45461.0</v>
      </c>
      <c r="J21" s="4">
        <v>119066.73669815063</v>
      </c>
      <c r="K21" s="1"/>
      <c r="L21" s="1"/>
      <c r="M21" s="1" t="str">
        <f>VLOOKUP(B21,Bounties!A:D,3,FALSE)</f>
        <v>Outreach</v>
      </c>
      <c r="N21" s="1" t="str">
        <f>VLOOKUP(B21,Bounties!A:D,4,FALSE)</f>
        <v>Advertising</v>
      </c>
      <c r="O21" s="1" t="str">
        <f t="shared" ref="O21:P21" si="25">IF(ISBLANK(K21),M21,K21)</f>
        <v>Outreach</v>
      </c>
      <c r="P21" s="1" t="str">
        <f t="shared" si="25"/>
        <v>Advertising</v>
      </c>
      <c r="Q21" s="61" t="str">
        <f t="shared" si="3"/>
        <v>2024</v>
      </c>
      <c r="R21" s="62">
        <f t="shared" si="4"/>
        <v>6</v>
      </c>
      <c r="S21" s="61" t="str">
        <f t="shared" si="5"/>
        <v>2024-Q2</v>
      </c>
      <c r="T21" s="63" t="str">
        <f t="shared" si="6"/>
        <v>2024-06</v>
      </c>
      <c r="U21" s="64" t="str">
        <f t="shared" si="7"/>
        <v>2024-H1</v>
      </c>
      <c r="V21" s="9" t="str">
        <f>VLOOKUP(B21,Bounties!A:E,2,FALSE)</f>
        <v>Marketing Bounty</v>
      </c>
    </row>
    <row r="22" hidden="1">
      <c r="A22" s="67">
        <f>HYPERLINK("https://polkadot.subsquare.io/treasury/child-bounties/1393", 1393)</f>
        <v>1393</v>
      </c>
      <c r="B22" s="1">
        <v>42.0</v>
      </c>
      <c r="C22" s="1" t="s">
        <v>2414</v>
      </c>
      <c r="D22" s="1" t="s">
        <v>932</v>
      </c>
      <c r="E22" s="5">
        <v>22.06</v>
      </c>
      <c r="F22" s="4">
        <v>140.30319131851195</v>
      </c>
      <c r="G22" s="1" t="s">
        <v>2436</v>
      </c>
      <c r="H22" s="95">
        <v>45453.0</v>
      </c>
      <c r="I22" s="95">
        <v>45462.0</v>
      </c>
      <c r="J22" s="4">
        <v>126.7980115032196</v>
      </c>
      <c r="K22" s="1"/>
      <c r="L22" s="1"/>
      <c r="M22" s="1" t="str">
        <f>VLOOKUP(B22,Bounties!A:D,3,FALSE)</f>
        <v>Outreach</v>
      </c>
      <c r="N22" s="1" t="str">
        <f>VLOOKUP(B22,Bounties!A:D,4,FALSE)</f>
        <v>Media</v>
      </c>
      <c r="O22" s="1" t="str">
        <f t="shared" ref="O22:P22" si="26">IF(ISBLANK(K22),M22,K22)</f>
        <v>Outreach</v>
      </c>
      <c r="P22" s="1" t="str">
        <f t="shared" si="26"/>
        <v>Media</v>
      </c>
      <c r="Q22" s="61" t="str">
        <f t="shared" si="3"/>
        <v>2024</v>
      </c>
      <c r="R22" s="62">
        <f t="shared" si="4"/>
        <v>6</v>
      </c>
      <c r="S22" s="61" t="str">
        <f t="shared" si="5"/>
        <v>2024-Q2</v>
      </c>
      <c r="T22" s="63" t="str">
        <f t="shared" si="6"/>
        <v>2024-06</v>
      </c>
      <c r="U22" s="64" t="str">
        <f t="shared" si="7"/>
        <v>2024-H1</v>
      </c>
      <c r="V22" s="9" t="str">
        <f>VLOOKUP(B22,Bounties!A:E,2,FALSE)</f>
        <v>Spanish Bounty</v>
      </c>
    </row>
    <row r="23" hidden="1">
      <c r="A23" s="67">
        <f>HYPERLINK("https://polkadot.subsquare.io/treasury/child-bounties/1392", 1392)</f>
        <v>1392</v>
      </c>
      <c r="B23" s="1">
        <v>32.0</v>
      </c>
      <c r="C23" s="1" t="s">
        <v>2414</v>
      </c>
      <c r="D23" s="1" t="s">
        <v>931</v>
      </c>
      <c r="E23" s="5">
        <v>9.819035621</v>
      </c>
      <c r="F23" s="4">
        <v>62.44977485478</v>
      </c>
      <c r="G23" s="1" t="s">
        <v>2437</v>
      </c>
      <c r="H23" s="95">
        <v>45453.0</v>
      </c>
      <c r="I23" s="95">
        <v>45468.0</v>
      </c>
      <c r="J23" s="4">
        <v>61.677723101390264</v>
      </c>
      <c r="K23" s="1"/>
      <c r="L23" s="1"/>
      <c r="M23" s="1" t="str">
        <f>VLOOKUP(B23,Bounties!A:D,3,FALSE)</f>
        <v>Operations</v>
      </c>
      <c r="N23" s="1" t="str">
        <f>VLOOKUP(B23,Bounties!A:D,4,FALSE)</f>
        <v>RPCs and Nodes</v>
      </c>
      <c r="O23" s="1" t="str">
        <f t="shared" ref="O23:P23" si="27">IF(ISBLANK(K23),M23,K23)</f>
        <v>Operations</v>
      </c>
      <c r="P23" s="1" t="str">
        <f t="shared" si="27"/>
        <v>RPCs and Nodes</v>
      </c>
      <c r="Q23" s="61" t="str">
        <f t="shared" si="3"/>
        <v>2024</v>
      </c>
      <c r="R23" s="62">
        <f t="shared" si="4"/>
        <v>6</v>
      </c>
      <c r="S23" s="61" t="str">
        <f t="shared" si="5"/>
        <v>2024-Q2</v>
      </c>
      <c r="T23" s="63" t="str">
        <f t="shared" si="6"/>
        <v>2024-06</v>
      </c>
      <c r="U23" s="64" t="str">
        <f t="shared" si="7"/>
        <v>2024-H1</v>
      </c>
      <c r="V23" s="9" t="str">
        <f>VLOOKUP(B23,Bounties!A:E,2,FALSE)</f>
        <v>System Parachains Collator Bounty</v>
      </c>
    </row>
    <row r="24" hidden="1">
      <c r="A24" s="67">
        <f>HYPERLINK("https://polkadot.subsquare.io/treasury/child-bounties/1390", 1390)</f>
        <v>1390</v>
      </c>
      <c r="B24" s="1">
        <v>32.0</v>
      </c>
      <c r="C24" s="1" t="s">
        <v>2414</v>
      </c>
      <c r="D24" s="1" t="s">
        <v>930</v>
      </c>
      <c r="E24" s="5">
        <v>9.819035621</v>
      </c>
      <c r="F24" s="4">
        <v>62.44977485478</v>
      </c>
      <c r="G24" s="1" t="s">
        <v>2438</v>
      </c>
      <c r="H24" s="95">
        <v>45453.0</v>
      </c>
      <c r="I24" s="95">
        <v>45468.0</v>
      </c>
      <c r="J24" s="4">
        <v>61.677723101390264</v>
      </c>
      <c r="K24" s="1"/>
      <c r="L24" s="1"/>
      <c r="M24" s="1" t="str">
        <f>VLOOKUP(B24,Bounties!A:D,3,FALSE)</f>
        <v>Operations</v>
      </c>
      <c r="N24" s="1" t="str">
        <f>VLOOKUP(B24,Bounties!A:D,4,FALSE)</f>
        <v>RPCs and Nodes</v>
      </c>
      <c r="O24" s="1" t="str">
        <f t="shared" ref="O24:P24" si="28">IF(ISBLANK(K24),M24,K24)</f>
        <v>Operations</v>
      </c>
      <c r="P24" s="1" t="str">
        <f t="shared" si="28"/>
        <v>RPCs and Nodes</v>
      </c>
      <c r="Q24" s="61" t="str">
        <f t="shared" si="3"/>
        <v>2024</v>
      </c>
      <c r="R24" s="62">
        <f t="shared" si="4"/>
        <v>6</v>
      </c>
      <c r="S24" s="61" t="str">
        <f t="shared" si="5"/>
        <v>2024-Q2</v>
      </c>
      <c r="T24" s="63" t="str">
        <f t="shared" si="6"/>
        <v>2024-06</v>
      </c>
      <c r="U24" s="64" t="str">
        <f t="shared" si="7"/>
        <v>2024-H1</v>
      </c>
      <c r="V24" s="9" t="str">
        <f>VLOOKUP(B24,Bounties!A:E,2,FALSE)</f>
        <v>System Parachains Collator Bounty</v>
      </c>
    </row>
    <row r="25" hidden="1">
      <c r="A25" s="67">
        <f>HYPERLINK("https://polkadot.subsquare.io/treasury/child-bounties/1389", 1389)</f>
        <v>1389</v>
      </c>
      <c r="B25" s="1">
        <v>32.0</v>
      </c>
      <c r="C25" s="1" t="s">
        <v>2414</v>
      </c>
      <c r="D25" s="1" t="s">
        <v>929</v>
      </c>
      <c r="E25" s="5">
        <v>44.0780608114</v>
      </c>
      <c r="F25" s="4">
        <v>280.3396463722058</v>
      </c>
      <c r="G25" s="1" t="s">
        <v>2439</v>
      </c>
      <c r="H25" s="95">
        <v>45453.0</v>
      </c>
      <c r="I25" s="95">
        <v>45466.0</v>
      </c>
      <c r="J25" s="4">
        <v>257.5258483399199</v>
      </c>
      <c r="K25" s="1"/>
      <c r="L25" s="1"/>
      <c r="M25" s="1" t="str">
        <f>VLOOKUP(B25,Bounties!A:D,3,FALSE)</f>
        <v>Operations</v>
      </c>
      <c r="N25" s="1" t="str">
        <f>VLOOKUP(B25,Bounties!A:D,4,FALSE)</f>
        <v>RPCs and Nodes</v>
      </c>
      <c r="O25" s="1" t="str">
        <f t="shared" ref="O25:P25" si="29">IF(ISBLANK(K25),M25,K25)</f>
        <v>Operations</v>
      </c>
      <c r="P25" s="1" t="str">
        <f t="shared" si="29"/>
        <v>RPCs and Nodes</v>
      </c>
      <c r="Q25" s="61" t="str">
        <f t="shared" si="3"/>
        <v>2024</v>
      </c>
      <c r="R25" s="62">
        <f t="shared" si="4"/>
        <v>6</v>
      </c>
      <c r="S25" s="61" t="str">
        <f t="shared" si="5"/>
        <v>2024-Q2</v>
      </c>
      <c r="T25" s="63" t="str">
        <f t="shared" si="6"/>
        <v>2024-06</v>
      </c>
      <c r="U25" s="64" t="str">
        <f t="shared" si="7"/>
        <v>2024-H1</v>
      </c>
      <c r="V25" s="9" t="str">
        <f>VLOOKUP(B25,Bounties!A:E,2,FALSE)</f>
        <v>System Parachains Collator Bounty</v>
      </c>
    </row>
    <row r="26" hidden="1">
      <c r="A26" s="67">
        <f>HYPERLINK("https://polkadot.subsquare.io/treasury/child-bounties/1386", 1386)</f>
        <v>1386</v>
      </c>
      <c r="B26" s="1">
        <v>32.0</v>
      </c>
      <c r="C26" s="1" t="s">
        <v>2414</v>
      </c>
      <c r="D26" s="1" t="s">
        <v>928</v>
      </c>
      <c r="E26" s="5">
        <v>57.1597433293</v>
      </c>
      <c r="F26" s="4">
        <v>363.54009084532254</v>
      </c>
      <c r="G26" s="1" t="s">
        <v>2440</v>
      </c>
      <c r="H26" s="95">
        <v>45453.0</v>
      </c>
      <c r="I26" s="95">
        <v>45462.0</v>
      </c>
      <c r="J26" s="4">
        <v>328.54677208475346</v>
      </c>
      <c r="K26" s="1"/>
      <c r="L26" s="1"/>
      <c r="M26" s="1" t="str">
        <f>VLOOKUP(B26,Bounties!A:D,3,FALSE)</f>
        <v>Operations</v>
      </c>
      <c r="N26" s="1" t="str">
        <f>VLOOKUP(B26,Bounties!A:D,4,FALSE)</f>
        <v>RPCs and Nodes</v>
      </c>
      <c r="O26" s="1" t="str">
        <f t="shared" ref="O26:P26" si="30">IF(ISBLANK(K26),M26,K26)</f>
        <v>Operations</v>
      </c>
      <c r="P26" s="1" t="str">
        <f t="shared" si="30"/>
        <v>RPCs and Nodes</v>
      </c>
      <c r="Q26" s="61" t="str">
        <f t="shared" si="3"/>
        <v>2024</v>
      </c>
      <c r="R26" s="62">
        <f t="shared" si="4"/>
        <v>6</v>
      </c>
      <c r="S26" s="61" t="str">
        <f t="shared" si="5"/>
        <v>2024-Q2</v>
      </c>
      <c r="T26" s="63" t="str">
        <f t="shared" si="6"/>
        <v>2024-06</v>
      </c>
      <c r="U26" s="64" t="str">
        <f t="shared" si="7"/>
        <v>2024-H1</v>
      </c>
      <c r="V26" s="9" t="str">
        <f>VLOOKUP(B26,Bounties!A:E,2,FALSE)</f>
        <v>System Parachains Collator Bounty</v>
      </c>
    </row>
    <row r="27" hidden="1">
      <c r="A27" s="67">
        <f>HYPERLINK("https://polkadot.subsquare.io/treasury/child-bounties/1384", 1384)</f>
        <v>1384</v>
      </c>
      <c r="B27" s="1">
        <v>32.0</v>
      </c>
      <c r="C27" s="1" t="s">
        <v>2414</v>
      </c>
      <c r="D27" s="1" t="s">
        <v>927</v>
      </c>
      <c r="E27" s="5">
        <v>56.9917602472</v>
      </c>
      <c r="F27" s="4">
        <v>362.4717063255515</v>
      </c>
      <c r="G27" s="1" t="s">
        <v>2441</v>
      </c>
      <c r="H27" s="95">
        <v>45453.0</v>
      </c>
      <c r="I27" s="95">
        <v>45468.0</v>
      </c>
      <c r="J27" s="4">
        <v>357.99055459884687</v>
      </c>
      <c r="K27" s="1"/>
      <c r="L27" s="1"/>
      <c r="M27" s="1" t="str">
        <f>VLOOKUP(B27,Bounties!A:D,3,FALSE)</f>
        <v>Operations</v>
      </c>
      <c r="N27" s="1" t="str">
        <f>VLOOKUP(B27,Bounties!A:D,4,FALSE)</f>
        <v>RPCs and Nodes</v>
      </c>
      <c r="O27" s="1" t="str">
        <f t="shared" ref="O27:P27" si="31">IF(ISBLANK(K27),M27,K27)</f>
        <v>Operations</v>
      </c>
      <c r="P27" s="1" t="str">
        <f t="shared" si="31"/>
        <v>RPCs and Nodes</v>
      </c>
      <c r="Q27" s="61" t="str">
        <f t="shared" si="3"/>
        <v>2024</v>
      </c>
      <c r="R27" s="62">
        <f t="shared" si="4"/>
        <v>6</v>
      </c>
      <c r="S27" s="61" t="str">
        <f t="shared" si="5"/>
        <v>2024-Q2</v>
      </c>
      <c r="T27" s="63" t="str">
        <f t="shared" si="6"/>
        <v>2024-06</v>
      </c>
      <c r="U27" s="64" t="str">
        <f t="shared" si="7"/>
        <v>2024-H1</v>
      </c>
      <c r="V27" s="9" t="str">
        <f>VLOOKUP(B27,Bounties!A:E,2,FALSE)</f>
        <v>System Parachains Collator Bounty</v>
      </c>
    </row>
    <row r="28" hidden="1">
      <c r="A28" s="67">
        <f>HYPERLINK("https://polkadot.subsquare.io/treasury/child-bounties/1383", 1383)</f>
        <v>1383</v>
      </c>
      <c r="B28" s="1">
        <v>32.0</v>
      </c>
      <c r="C28" s="1" t="s">
        <v>2414</v>
      </c>
      <c r="D28" s="1" t="s">
        <v>926</v>
      </c>
      <c r="E28" s="5">
        <v>56.2533346155</v>
      </c>
      <c r="F28" s="4">
        <v>357.7752660409233</v>
      </c>
      <c r="G28" s="1" t="s">
        <v>2442</v>
      </c>
      <c r="H28" s="95">
        <v>45453.0</v>
      </c>
      <c r="I28" s="95">
        <v>45461.0</v>
      </c>
      <c r="J28" s="4">
        <v>315.64095103942986</v>
      </c>
      <c r="K28" s="1"/>
      <c r="L28" s="1"/>
      <c r="M28" s="1" t="str">
        <f>VLOOKUP(B28,Bounties!A:D,3,FALSE)</f>
        <v>Operations</v>
      </c>
      <c r="N28" s="1" t="str">
        <f>VLOOKUP(B28,Bounties!A:D,4,FALSE)</f>
        <v>RPCs and Nodes</v>
      </c>
      <c r="O28" s="1" t="str">
        <f t="shared" ref="O28:P28" si="32">IF(ISBLANK(K28),M28,K28)</f>
        <v>Operations</v>
      </c>
      <c r="P28" s="1" t="str">
        <f t="shared" si="32"/>
        <v>RPCs and Nodes</v>
      </c>
      <c r="Q28" s="61" t="str">
        <f t="shared" si="3"/>
        <v>2024</v>
      </c>
      <c r="R28" s="62">
        <f t="shared" si="4"/>
        <v>6</v>
      </c>
      <c r="S28" s="61" t="str">
        <f t="shared" si="5"/>
        <v>2024-Q2</v>
      </c>
      <c r="T28" s="63" t="str">
        <f t="shared" si="6"/>
        <v>2024-06</v>
      </c>
      <c r="U28" s="64" t="str">
        <f t="shared" si="7"/>
        <v>2024-H1</v>
      </c>
      <c r="V28" s="9" t="str">
        <f>VLOOKUP(B28,Bounties!A:E,2,FALSE)</f>
        <v>System Parachains Collator Bounty</v>
      </c>
    </row>
    <row r="29" hidden="1">
      <c r="A29" s="67">
        <f>HYPERLINK("https://polkadot.subsquare.io/treasury/child-bounties/1382", 1382)</f>
        <v>1382</v>
      </c>
      <c r="B29" s="1">
        <v>32.0</v>
      </c>
      <c r="C29" s="1" t="s">
        <v>2414</v>
      </c>
      <c r="D29" s="1" t="s">
        <v>925</v>
      </c>
      <c r="E29" s="5">
        <v>57.1737419195</v>
      </c>
      <c r="F29" s="4">
        <v>363.62912288879585</v>
      </c>
      <c r="G29" s="1" t="s">
        <v>2443</v>
      </c>
      <c r="H29" s="95">
        <v>45453.0</v>
      </c>
      <c r="I29" s="95">
        <v>45461.0</v>
      </c>
      <c r="J29" s="4">
        <v>320.8054135333235</v>
      </c>
      <c r="K29" s="1"/>
      <c r="L29" s="1"/>
      <c r="M29" s="1" t="str">
        <f>VLOOKUP(B29,Bounties!A:D,3,FALSE)</f>
        <v>Operations</v>
      </c>
      <c r="N29" s="1" t="str">
        <f>VLOOKUP(B29,Bounties!A:D,4,FALSE)</f>
        <v>RPCs and Nodes</v>
      </c>
      <c r="O29" s="1" t="str">
        <f t="shared" ref="O29:P29" si="33">IF(ISBLANK(K29),M29,K29)</f>
        <v>Operations</v>
      </c>
      <c r="P29" s="1" t="str">
        <f t="shared" si="33"/>
        <v>RPCs and Nodes</v>
      </c>
      <c r="Q29" s="61" t="str">
        <f t="shared" si="3"/>
        <v>2024</v>
      </c>
      <c r="R29" s="62">
        <f t="shared" si="4"/>
        <v>6</v>
      </c>
      <c r="S29" s="61" t="str">
        <f t="shared" si="5"/>
        <v>2024-Q2</v>
      </c>
      <c r="T29" s="63" t="str">
        <f t="shared" si="6"/>
        <v>2024-06</v>
      </c>
      <c r="U29" s="64" t="str">
        <f t="shared" si="7"/>
        <v>2024-H1</v>
      </c>
      <c r="V29" s="9" t="str">
        <f>VLOOKUP(B29,Bounties!A:E,2,FALSE)</f>
        <v>System Parachains Collator Bounty</v>
      </c>
    </row>
    <row r="30" hidden="1">
      <c r="A30" s="67">
        <f>HYPERLINK("https://polkadot.subsquare.io/treasury/child-bounties/1380", 1380)</f>
        <v>1380</v>
      </c>
      <c r="B30" s="1">
        <v>32.0</v>
      </c>
      <c r="C30" s="1" t="s">
        <v>2414</v>
      </c>
      <c r="D30" s="1" t="s">
        <v>924</v>
      </c>
      <c r="E30" s="5">
        <v>42.0637855575</v>
      </c>
      <c r="F30" s="4">
        <v>267.5287104557925</v>
      </c>
      <c r="G30" s="1" t="s">
        <v>2444</v>
      </c>
      <c r="H30" s="95">
        <v>45453.0</v>
      </c>
      <c r="I30" s="95">
        <v>45462.0</v>
      </c>
      <c r="J30" s="4">
        <v>236.02251081537813</v>
      </c>
      <c r="K30" s="1"/>
      <c r="L30" s="1"/>
      <c r="M30" s="1" t="str">
        <f>VLOOKUP(B30,Bounties!A:D,3,FALSE)</f>
        <v>Operations</v>
      </c>
      <c r="N30" s="1" t="str">
        <f>VLOOKUP(B30,Bounties!A:D,4,FALSE)</f>
        <v>RPCs and Nodes</v>
      </c>
      <c r="O30" s="1" t="str">
        <f t="shared" ref="O30:P30" si="34">IF(ISBLANK(K30),M30,K30)</f>
        <v>Operations</v>
      </c>
      <c r="P30" s="1" t="str">
        <f t="shared" si="34"/>
        <v>RPCs and Nodes</v>
      </c>
      <c r="Q30" s="61" t="str">
        <f t="shared" si="3"/>
        <v>2024</v>
      </c>
      <c r="R30" s="62">
        <f t="shared" si="4"/>
        <v>6</v>
      </c>
      <c r="S30" s="61" t="str">
        <f t="shared" si="5"/>
        <v>2024-Q2</v>
      </c>
      <c r="T30" s="63" t="str">
        <f t="shared" si="6"/>
        <v>2024-06</v>
      </c>
      <c r="U30" s="64" t="str">
        <f t="shared" si="7"/>
        <v>2024-H1</v>
      </c>
      <c r="V30" s="9" t="str">
        <f>VLOOKUP(B30,Bounties!A:E,2,FALSE)</f>
        <v>System Parachains Collator Bounty</v>
      </c>
    </row>
    <row r="31" hidden="1">
      <c r="A31" s="67">
        <f>HYPERLINK("https://polkadot.subsquare.io/treasury/child-bounties/1379", 1379)</f>
        <v>1379</v>
      </c>
      <c r="B31" s="1">
        <v>32.0</v>
      </c>
      <c r="C31" s="1" t="s">
        <v>2414</v>
      </c>
      <c r="D31" s="1" t="s">
        <v>923</v>
      </c>
      <c r="E31" s="5">
        <v>42.1024993127</v>
      </c>
      <c r="F31" s="4">
        <v>267.774932731517</v>
      </c>
      <c r="G31" s="1" t="s">
        <v>2445</v>
      </c>
      <c r="H31" s="95">
        <v>45453.0</v>
      </c>
      <c r="I31" s="95">
        <v>45462.0</v>
      </c>
      <c r="J31" s="4">
        <v>236.23973609798864</v>
      </c>
      <c r="K31" s="1"/>
      <c r="L31" s="1"/>
      <c r="M31" s="1" t="str">
        <f>VLOOKUP(B31,Bounties!A:D,3,FALSE)</f>
        <v>Operations</v>
      </c>
      <c r="N31" s="1" t="str">
        <f>VLOOKUP(B31,Bounties!A:D,4,FALSE)</f>
        <v>RPCs and Nodes</v>
      </c>
      <c r="O31" s="1" t="str">
        <f t="shared" ref="O31:P31" si="35">IF(ISBLANK(K31),M31,K31)</f>
        <v>Operations</v>
      </c>
      <c r="P31" s="1" t="str">
        <f t="shared" si="35"/>
        <v>RPCs and Nodes</v>
      </c>
      <c r="Q31" s="61" t="str">
        <f t="shared" si="3"/>
        <v>2024</v>
      </c>
      <c r="R31" s="62">
        <f t="shared" si="4"/>
        <v>6</v>
      </c>
      <c r="S31" s="61" t="str">
        <f t="shared" si="5"/>
        <v>2024-Q2</v>
      </c>
      <c r="T31" s="63" t="str">
        <f t="shared" si="6"/>
        <v>2024-06</v>
      </c>
      <c r="U31" s="64" t="str">
        <f t="shared" si="7"/>
        <v>2024-H1</v>
      </c>
      <c r="V31" s="9" t="str">
        <f>VLOOKUP(B31,Bounties!A:E,2,FALSE)</f>
        <v>System Parachains Collator Bounty</v>
      </c>
    </row>
    <row r="32" hidden="1">
      <c r="A32" s="67">
        <f>HYPERLINK("https://polkadot.subsquare.io/treasury/child-bounties/1376", 1376)</f>
        <v>1376</v>
      </c>
      <c r="B32" s="1">
        <v>42.0</v>
      </c>
      <c r="C32" s="1" t="s">
        <v>2414</v>
      </c>
      <c r="D32" s="1" t="s">
        <v>922</v>
      </c>
      <c r="E32" s="5">
        <v>5.5</v>
      </c>
      <c r="F32" s="4">
        <v>34.98039674758911</v>
      </c>
      <c r="G32" s="1" t="s">
        <v>2446</v>
      </c>
      <c r="H32" s="95">
        <v>45453.0</v>
      </c>
      <c r="I32" s="95">
        <v>45462.0</v>
      </c>
      <c r="J32" s="4">
        <v>30.860841274261475</v>
      </c>
      <c r="K32" s="1"/>
      <c r="L32" s="1"/>
      <c r="M32" s="1" t="str">
        <f>VLOOKUP(B32,Bounties!A:D,3,FALSE)</f>
        <v>Outreach</v>
      </c>
      <c r="N32" s="1" t="str">
        <f>VLOOKUP(B32,Bounties!A:D,4,FALSE)</f>
        <v>Media</v>
      </c>
      <c r="O32" s="1" t="str">
        <f t="shared" ref="O32:P32" si="36">IF(ISBLANK(K32),M32,K32)</f>
        <v>Outreach</v>
      </c>
      <c r="P32" s="1" t="str">
        <f t="shared" si="36"/>
        <v>Media</v>
      </c>
      <c r="Q32" s="61" t="str">
        <f t="shared" si="3"/>
        <v>2024</v>
      </c>
      <c r="R32" s="62">
        <f t="shared" si="4"/>
        <v>6</v>
      </c>
      <c r="S32" s="61" t="str">
        <f t="shared" si="5"/>
        <v>2024-Q2</v>
      </c>
      <c r="T32" s="63" t="str">
        <f t="shared" si="6"/>
        <v>2024-06</v>
      </c>
      <c r="U32" s="64" t="str">
        <f t="shared" si="7"/>
        <v>2024-H1</v>
      </c>
      <c r="V32" s="9" t="str">
        <f>VLOOKUP(B32,Bounties!A:E,2,FALSE)</f>
        <v>Spanish Bounty</v>
      </c>
    </row>
    <row r="33" hidden="1">
      <c r="A33" s="67">
        <f>HYPERLINK("https://polkadot.subsquare.io/treasury/child-bounties/1375", 1375)</f>
        <v>1375</v>
      </c>
      <c r="B33" s="1">
        <v>42.0</v>
      </c>
      <c r="C33" s="1" t="s">
        <v>2414</v>
      </c>
      <c r="D33" s="1" t="s">
        <v>921</v>
      </c>
      <c r="E33" s="5">
        <v>8.69</v>
      </c>
      <c r="F33" s="4">
        <v>55.269026861190795</v>
      </c>
      <c r="G33" s="1" t="s">
        <v>2447</v>
      </c>
      <c r="H33" s="95">
        <v>45453.0</v>
      </c>
      <c r="I33" s="95">
        <v>45462.0</v>
      </c>
      <c r="J33" s="4">
        <v>49.948990025520324</v>
      </c>
      <c r="K33" s="1"/>
      <c r="L33" s="1"/>
      <c r="M33" s="1" t="str">
        <f>VLOOKUP(B33,Bounties!A:D,3,FALSE)</f>
        <v>Outreach</v>
      </c>
      <c r="N33" s="1" t="str">
        <f>VLOOKUP(B33,Bounties!A:D,4,FALSE)</f>
        <v>Media</v>
      </c>
      <c r="O33" s="1" t="str">
        <f t="shared" ref="O33:P33" si="37">IF(ISBLANK(K33),M33,K33)</f>
        <v>Outreach</v>
      </c>
      <c r="P33" s="1" t="str">
        <f t="shared" si="37"/>
        <v>Media</v>
      </c>
      <c r="Q33" s="61" t="str">
        <f t="shared" si="3"/>
        <v>2024</v>
      </c>
      <c r="R33" s="62">
        <f t="shared" si="4"/>
        <v>6</v>
      </c>
      <c r="S33" s="61" t="str">
        <f t="shared" si="5"/>
        <v>2024-Q2</v>
      </c>
      <c r="T33" s="63" t="str">
        <f t="shared" si="6"/>
        <v>2024-06</v>
      </c>
      <c r="U33" s="64" t="str">
        <f t="shared" si="7"/>
        <v>2024-H1</v>
      </c>
      <c r="V33" s="9" t="str">
        <f>VLOOKUP(B33,Bounties!A:E,2,FALSE)</f>
        <v>Spanish Bounty</v>
      </c>
    </row>
    <row r="34" hidden="1">
      <c r="A34" s="67">
        <f>HYPERLINK("https://polkadot.subsquare.io/treasury/child-bounties/1374", 1374)</f>
        <v>1374</v>
      </c>
      <c r="B34" s="1">
        <v>42.0</v>
      </c>
      <c r="C34" s="1" t="s">
        <v>2414</v>
      </c>
      <c r="D34" s="1" t="s">
        <v>920</v>
      </c>
      <c r="E34" s="5">
        <v>8.1</v>
      </c>
      <c r="F34" s="4">
        <v>51.51658430099487</v>
      </c>
      <c r="G34" s="1" t="s">
        <v>2448</v>
      </c>
      <c r="H34" s="95">
        <v>45453.0</v>
      </c>
      <c r="I34" s="95">
        <v>45461.0</v>
      </c>
      <c r="J34" s="4">
        <v>45.44960260391235</v>
      </c>
      <c r="K34" s="1"/>
      <c r="L34" s="1"/>
      <c r="M34" s="1" t="str">
        <f>VLOOKUP(B34,Bounties!A:D,3,FALSE)</f>
        <v>Outreach</v>
      </c>
      <c r="N34" s="1" t="str">
        <f>VLOOKUP(B34,Bounties!A:D,4,FALSE)</f>
        <v>Media</v>
      </c>
      <c r="O34" s="1" t="str">
        <f t="shared" ref="O34:P34" si="38">IF(ISBLANK(K34),M34,K34)</f>
        <v>Outreach</v>
      </c>
      <c r="P34" s="1" t="str">
        <f t="shared" si="38"/>
        <v>Media</v>
      </c>
      <c r="Q34" s="61" t="str">
        <f t="shared" si="3"/>
        <v>2024</v>
      </c>
      <c r="R34" s="62">
        <f t="shared" si="4"/>
        <v>6</v>
      </c>
      <c r="S34" s="61" t="str">
        <f t="shared" si="5"/>
        <v>2024-Q2</v>
      </c>
      <c r="T34" s="63" t="str">
        <f t="shared" si="6"/>
        <v>2024-06</v>
      </c>
      <c r="U34" s="64" t="str">
        <f t="shared" si="7"/>
        <v>2024-H1</v>
      </c>
      <c r="V34" s="9" t="str">
        <f>VLOOKUP(B34,Bounties!A:E,2,FALSE)</f>
        <v>Spanish Bounty</v>
      </c>
    </row>
    <row r="35" hidden="1">
      <c r="A35" s="67">
        <f>HYPERLINK("https://polkadot.subsquare.io/treasury/child-bounties/1373", 1373)</f>
        <v>1373</v>
      </c>
      <c r="B35" s="1">
        <v>42.0</v>
      </c>
      <c r="C35" s="1" t="s">
        <v>2414</v>
      </c>
      <c r="D35" s="1" t="s">
        <v>919</v>
      </c>
      <c r="E35" s="5">
        <v>6.7</v>
      </c>
      <c r="F35" s="4">
        <v>42.61248331069947</v>
      </c>
      <c r="G35" s="1" t="s">
        <v>2449</v>
      </c>
      <c r="H35" s="95">
        <v>45453.0</v>
      </c>
      <c r="I35" s="95">
        <v>45461.0</v>
      </c>
      <c r="J35" s="4">
        <v>37.59411573410034</v>
      </c>
      <c r="K35" s="1"/>
      <c r="L35" s="1"/>
      <c r="M35" s="1" t="str">
        <f>VLOOKUP(B35,Bounties!A:D,3,FALSE)</f>
        <v>Outreach</v>
      </c>
      <c r="N35" s="1" t="str">
        <f>VLOOKUP(B35,Bounties!A:D,4,FALSE)</f>
        <v>Media</v>
      </c>
      <c r="O35" s="1" t="str">
        <f t="shared" ref="O35:P35" si="39">IF(ISBLANK(K35),M35,K35)</f>
        <v>Outreach</v>
      </c>
      <c r="P35" s="1" t="str">
        <f t="shared" si="39"/>
        <v>Media</v>
      </c>
      <c r="Q35" s="61" t="str">
        <f t="shared" si="3"/>
        <v>2024</v>
      </c>
      <c r="R35" s="62">
        <f t="shared" si="4"/>
        <v>6</v>
      </c>
      <c r="S35" s="61" t="str">
        <f t="shared" si="5"/>
        <v>2024-Q2</v>
      </c>
      <c r="T35" s="63" t="str">
        <f t="shared" si="6"/>
        <v>2024-06</v>
      </c>
      <c r="U35" s="64" t="str">
        <f t="shared" si="7"/>
        <v>2024-H1</v>
      </c>
      <c r="V35" s="9" t="str">
        <f>VLOOKUP(B35,Bounties!A:E,2,FALSE)</f>
        <v>Spanish Bounty</v>
      </c>
    </row>
    <row r="36" hidden="1">
      <c r="A36" s="67">
        <f>HYPERLINK("https://polkadot.subsquare.io/treasury/child-bounties/1372", 1372)</f>
        <v>1372</v>
      </c>
      <c r="B36" s="1">
        <v>42.0</v>
      </c>
      <c r="C36" s="1" t="s">
        <v>2414</v>
      </c>
      <c r="D36" s="1" t="s">
        <v>918</v>
      </c>
      <c r="E36" s="5">
        <v>4.8</v>
      </c>
      <c r="F36" s="4">
        <v>30.528346252441406</v>
      </c>
      <c r="G36" s="1" t="s">
        <v>2450</v>
      </c>
      <c r="H36" s="95">
        <v>45453.0</v>
      </c>
      <c r="I36" s="95">
        <v>45462.0</v>
      </c>
      <c r="J36" s="4">
        <v>27.589775848388673</v>
      </c>
      <c r="K36" s="1"/>
      <c r="L36" s="1"/>
      <c r="M36" s="1" t="str">
        <f>VLOOKUP(B36,Bounties!A:D,3,FALSE)</f>
        <v>Outreach</v>
      </c>
      <c r="N36" s="1" t="str">
        <f>VLOOKUP(B36,Bounties!A:D,4,FALSE)</f>
        <v>Media</v>
      </c>
      <c r="O36" s="1" t="str">
        <f t="shared" ref="O36:P36" si="40">IF(ISBLANK(K36),M36,K36)</f>
        <v>Outreach</v>
      </c>
      <c r="P36" s="1" t="str">
        <f t="shared" si="40"/>
        <v>Media</v>
      </c>
      <c r="Q36" s="61" t="str">
        <f t="shared" si="3"/>
        <v>2024</v>
      </c>
      <c r="R36" s="62">
        <f t="shared" si="4"/>
        <v>6</v>
      </c>
      <c r="S36" s="61" t="str">
        <f t="shared" si="5"/>
        <v>2024-Q2</v>
      </c>
      <c r="T36" s="63" t="str">
        <f t="shared" si="6"/>
        <v>2024-06</v>
      </c>
      <c r="U36" s="64" t="str">
        <f t="shared" si="7"/>
        <v>2024-H1</v>
      </c>
      <c r="V36" s="9" t="str">
        <f>VLOOKUP(B36,Bounties!A:E,2,FALSE)</f>
        <v>Spanish Bounty</v>
      </c>
    </row>
    <row r="37" hidden="1">
      <c r="A37" s="67">
        <f>HYPERLINK("https://polkadot.subsquare.io/treasury/child-bounties/1371", 1371)</f>
        <v>1371</v>
      </c>
      <c r="B37" s="1">
        <v>42.0</v>
      </c>
      <c r="C37" s="1" t="s">
        <v>2414</v>
      </c>
      <c r="D37" s="1" t="s">
        <v>917</v>
      </c>
      <c r="E37" s="5">
        <v>6.05</v>
      </c>
      <c r="F37" s="4">
        <v>38.47843642234802</v>
      </c>
      <c r="G37" s="1" t="s">
        <v>2451</v>
      </c>
      <c r="H37" s="95">
        <v>45453.0</v>
      </c>
      <c r="I37" s="95">
        <v>45465.0</v>
      </c>
      <c r="J37" s="4">
        <v>35.34709453582764</v>
      </c>
      <c r="K37" s="1"/>
      <c r="L37" s="1"/>
      <c r="M37" s="1" t="str">
        <f>VLOOKUP(B37,Bounties!A:D,3,FALSE)</f>
        <v>Outreach</v>
      </c>
      <c r="N37" s="1" t="str">
        <f>VLOOKUP(B37,Bounties!A:D,4,FALSE)</f>
        <v>Media</v>
      </c>
      <c r="O37" s="1" t="str">
        <f t="shared" ref="O37:P37" si="41">IF(ISBLANK(K37),M37,K37)</f>
        <v>Outreach</v>
      </c>
      <c r="P37" s="1" t="str">
        <f t="shared" si="41"/>
        <v>Media</v>
      </c>
      <c r="Q37" s="61" t="str">
        <f t="shared" si="3"/>
        <v>2024</v>
      </c>
      <c r="R37" s="62">
        <f t="shared" si="4"/>
        <v>6</v>
      </c>
      <c r="S37" s="61" t="str">
        <f t="shared" si="5"/>
        <v>2024-Q2</v>
      </c>
      <c r="T37" s="63" t="str">
        <f t="shared" si="6"/>
        <v>2024-06</v>
      </c>
      <c r="U37" s="64" t="str">
        <f t="shared" si="7"/>
        <v>2024-H1</v>
      </c>
      <c r="V37" s="9" t="str">
        <f>VLOOKUP(B37,Bounties!A:E,2,FALSE)</f>
        <v>Spanish Bounty</v>
      </c>
    </row>
    <row r="38" hidden="1">
      <c r="A38" s="67">
        <f>HYPERLINK("https://polkadot.subsquare.io/treasury/child-bounties/1370", 1370)</f>
        <v>1370</v>
      </c>
      <c r="B38" s="1">
        <v>42.0</v>
      </c>
      <c r="C38" s="1" t="s">
        <v>2414</v>
      </c>
      <c r="D38" s="1" t="s">
        <v>916</v>
      </c>
      <c r="E38" s="5">
        <v>22.43</v>
      </c>
      <c r="F38" s="4">
        <v>142.6564180088043</v>
      </c>
      <c r="G38" s="1" t="s">
        <v>2452</v>
      </c>
      <c r="H38" s="95">
        <v>45453.0</v>
      </c>
      <c r="I38" s="95">
        <v>45461.0</v>
      </c>
      <c r="J38" s="4">
        <v>125.85612177848816</v>
      </c>
      <c r="K38" s="1"/>
      <c r="L38" s="1"/>
      <c r="M38" s="1" t="str">
        <f>VLOOKUP(B38,Bounties!A:D,3,FALSE)</f>
        <v>Outreach</v>
      </c>
      <c r="N38" s="1" t="str">
        <f>VLOOKUP(B38,Bounties!A:D,4,FALSE)</f>
        <v>Media</v>
      </c>
      <c r="O38" s="1" t="str">
        <f t="shared" ref="O38:P38" si="42">IF(ISBLANK(K38),M38,K38)</f>
        <v>Outreach</v>
      </c>
      <c r="P38" s="1" t="str">
        <f t="shared" si="42"/>
        <v>Media</v>
      </c>
      <c r="Q38" s="61" t="str">
        <f t="shared" si="3"/>
        <v>2024</v>
      </c>
      <c r="R38" s="62">
        <f t="shared" si="4"/>
        <v>6</v>
      </c>
      <c r="S38" s="61" t="str">
        <f t="shared" si="5"/>
        <v>2024-Q2</v>
      </c>
      <c r="T38" s="63" t="str">
        <f t="shared" si="6"/>
        <v>2024-06</v>
      </c>
      <c r="U38" s="64" t="str">
        <f t="shared" si="7"/>
        <v>2024-H1</v>
      </c>
      <c r="V38" s="9" t="str">
        <f>VLOOKUP(B38,Bounties!A:E,2,FALSE)</f>
        <v>Spanish Bounty</v>
      </c>
    </row>
    <row r="39" hidden="1">
      <c r="A39" s="67">
        <f>HYPERLINK("https://polkadot.subsquare.io/treasury/child-bounties/1369", 1369)</f>
        <v>1369</v>
      </c>
      <c r="B39" s="1">
        <v>42.0</v>
      </c>
      <c r="C39" s="1" t="s">
        <v>2414</v>
      </c>
      <c r="D39" s="1" t="s">
        <v>915</v>
      </c>
      <c r="E39" s="5">
        <v>160.7</v>
      </c>
      <c r="F39" s="4">
        <v>1022.0635922431945</v>
      </c>
      <c r="G39" s="1" t="s">
        <v>2452</v>
      </c>
      <c r="H39" s="95">
        <v>45453.0</v>
      </c>
      <c r="I39" s="95">
        <v>45461.0</v>
      </c>
      <c r="J39" s="4">
        <v>901.6976714134215</v>
      </c>
      <c r="K39" s="1"/>
      <c r="L39" s="1"/>
      <c r="M39" s="1" t="str">
        <f>VLOOKUP(B39,Bounties!A:D,3,FALSE)</f>
        <v>Outreach</v>
      </c>
      <c r="N39" s="1" t="str">
        <f>VLOOKUP(B39,Bounties!A:D,4,FALSE)</f>
        <v>Media</v>
      </c>
      <c r="O39" s="1" t="str">
        <f t="shared" ref="O39:P39" si="43">IF(ISBLANK(K39),M39,K39)</f>
        <v>Outreach</v>
      </c>
      <c r="P39" s="1" t="str">
        <f t="shared" si="43"/>
        <v>Media</v>
      </c>
      <c r="Q39" s="61" t="str">
        <f t="shared" si="3"/>
        <v>2024</v>
      </c>
      <c r="R39" s="62">
        <f t="shared" si="4"/>
        <v>6</v>
      </c>
      <c r="S39" s="61" t="str">
        <f t="shared" si="5"/>
        <v>2024-Q2</v>
      </c>
      <c r="T39" s="63" t="str">
        <f t="shared" si="6"/>
        <v>2024-06</v>
      </c>
      <c r="U39" s="64" t="str">
        <f t="shared" si="7"/>
        <v>2024-H1</v>
      </c>
      <c r="V39" s="9" t="str">
        <f>VLOOKUP(B39,Bounties!A:E,2,FALSE)</f>
        <v>Spanish Bounty</v>
      </c>
    </row>
    <row r="40" hidden="1">
      <c r="A40" s="67">
        <f>HYPERLINK("https://polkadot.subsquare.io/treasury/child-bounties/1368", 1368)</f>
        <v>1368</v>
      </c>
      <c r="B40" s="1">
        <v>42.0</v>
      </c>
      <c r="C40" s="1" t="s">
        <v>2414</v>
      </c>
      <c r="D40" s="1" t="s">
        <v>914</v>
      </c>
      <c r="E40" s="5">
        <v>31.5</v>
      </c>
      <c r="F40" s="4">
        <v>200.34227228164673</v>
      </c>
      <c r="G40" s="1" t="s">
        <v>2452</v>
      </c>
      <c r="H40" s="95">
        <v>45453.0</v>
      </c>
      <c r="I40" s="95">
        <v>45461.0</v>
      </c>
      <c r="J40" s="4">
        <v>176.74845457077026</v>
      </c>
      <c r="K40" s="1"/>
      <c r="L40" s="1"/>
      <c r="M40" s="1" t="str">
        <f>VLOOKUP(B40,Bounties!A:D,3,FALSE)</f>
        <v>Outreach</v>
      </c>
      <c r="N40" s="1" t="str">
        <f>VLOOKUP(B40,Bounties!A:D,4,FALSE)</f>
        <v>Media</v>
      </c>
      <c r="O40" s="1" t="str">
        <f t="shared" ref="O40:P40" si="44">IF(ISBLANK(K40),M40,K40)</f>
        <v>Outreach</v>
      </c>
      <c r="P40" s="1" t="str">
        <f t="shared" si="44"/>
        <v>Media</v>
      </c>
      <c r="Q40" s="61" t="str">
        <f t="shared" si="3"/>
        <v>2024</v>
      </c>
      <c r="R40" s="62">
        <f t="shared" si="4"/>
        <v>6</v>
      </c>
      <c r="S40" s="61" t="str">
        <f t="shared" si="5"/>
        <v>2024-Q2</v>
      </c>
      <c r="T40" s="63" t="str">
        <f t="shared" si="6"/>
        <v>2024-06</v>
      </c>
      <c r="U40" s="64" t="str">
        <f t="shared" si="7"/>
        <v>2024-H1</v>
      </c>
      <c r="V40" s="9" t="str">
        <f>VLOOKUP(B40,Bounties!A:E,2,FALSE)</f>
        <v>Spanish Bounty</v>
      </c>
    </row>
    <row r="41" hidden="1">
      <c r="A41" s="67">
        <f>HYPERLINK("https://polkadot.subsquare.io/treasury/child-bounties/1367", 1367)</f>
        <v>1367</v>
      </c>
      <c r="B41" s="1">
        <v>42.0</v>
      </c>
      <c r="C41" s="1" t="s">
        <v>2414</v>
      </c>
      <c r="D41" s="1" t="s">
        <v>913</v>
      </c>
      <c r="E41" s="5">
        <v>10.93</v>
      </c>
      <c r="F41" s="4">
        <v>69.51558844566345</v>
      </c>
      <c r="G41" s="1" t="s">
        <v>2450</v>
      </c>
      <c r="H41" s="95">
        <v>45453.0</v>
      </c>
      <c r="I41" s="95">
        <v>45462.0</v>
      </c>
      <c r="J41" s="4">
        <v>62.82421875476837</v>
      </c>
      <c r="K41" s="1"/>
      <c r="L41" s="1"/>
      <c r="M41" s="1" t="str">
        <f>VLOOKUP(B41,Bounties!A:D,3,FALSE)</f>
        <v>Outreach</v>
      </c>
      <c r="N41" s="1" t="str">
        <f>VLOOKUP(B41,Bounties!A:D,4,FALSE)</f>
        <v>Media</v>
      </c>
      <c r="O41" s="1" t="str">
        <f t="shared" ref="O41:P41" si="45">IF(ISBLANK(K41),M41,K41)</f>
        <v>Outreach</v>
      </c>
      <c r="P41" s="1" t="str">
        <f t="shared" si="45"/>
        <v>Media</v>
      </c>
      <c r="Q41" s="61" t="str">
        <f t="shared" si="3"/>
        <v>2024</v>
      </c>
      <c r="R41" s="62">
        <f t="shared" si="4"/>
        <v>6</v>
      </c>
      <c r="S41" s="61" t="str">
        <f t="shared" si="5"/>
        <v>2024-Q2</v>
      </c>
      <c r="T41" s="63" t="str">
        <f t="shared" si="6"/>
        <v>2024-06</v>
      </c>
      <c r="U41" s="64" t="str">
        <f t="shared" si="7"/>
        <v>2024-H1</v>
      </c>
      <c r="V41" s="9" t="str">
        <f>VLOOKUP(B41,Bounties!A:E,2,FALSE)</f>
        <v>Spanish Bounty</v>
      </c>
    </row>
    <row r="42" hidden="1">
      <c r="A42" s="67">
        <f>HYPERLINK("https://polkadot.subsquare.io/treasury/child-bounties/1366", 1366)</f>
        <v>1366</v>
      </c>
      <c r="B42" s="1">
        <v>42.0</v>
      </c>
      <c r="C42" s="1" t="s">
        <v>2414</v>
      </c>
      <c r="D42" s="1" t="s">
        <v>912</v>
      </c>
      <c r="E42" s="5">
        <v>32.58</v>
      </c>
      <c r="F42" s="4">
        <v>207.21115018844603</v>
      </c>
      <c r="G42" s="1" t="s">
        <v>2453</v>
      </c>
      <c r="H42" s="95">
        <v>45453.0</v>
      </c>
      <c r="I42" s="95">
        <v>45462.0</v>
      </c>
      <c r="J42" s="4">
        <v>182.80840158462524</v>
      </c>
      <c r="K42" s="1"/>
      <c r="L42" s="1"/>
      <c r="M42" s="1" t="str">
        <f>VLOOKUP(B42,Bounties!A:D,3,FALSE)</f>
        <v>Outreach</v>
      </c>
      <c r="N42" s="1" t="str">
        <f>VLOOKUP(B42,Bounties!A:D,4,FALSE)</f>
        <v>Media</v>
      </c>
      <c r="O42" s="1" t="str">
        <f t="shared" ref="O42:P42" si="46">IF(ISBLANK(K42),M42,K42)</f>
        <v>Outreach</v>
      </c>
      <c r="P42" s="1" t="str">
        <f t="shared" si="46"/>
        <v>Media</v>
      </c>
      <c r="Q42" s="61" t="str">
        <f t="shared" si="3"/>
        <v>2024</v>
      </c>
      <c r="R42" s="62">
        <f t="shared" si="4"/>
        <v>6</v>
      </c>
      <c r="S42" s="61" t="str">
        <f t="shared" si="5"/>
        <v>2024-Q2</v>
      </c>
      <c r="T42" s="63" t="str">
        <f t="shared" si="6"/>
        <v>2024-06</v>
      </c>
      <c r="U42" s="64" t="str">
        <f t="shared" si="7"/>
        <v>2024-H1</v>
      </c>
      <c r="V42" s="9" t="str">
        <f>VLOOKUP(B42,Bounties!A:E,2,FALSE)</f>
        <v>Spanish Bounty</v>
      </c>
    </row>
    <row r="43" hidden="1">
      <c r="A43" s="67">
        <f>HYPERLINK("https://polkadot.subsquare.io/treasury/child-bounties/1365", 1365)</f>
        <v>1365</v>
      </c>
      <c r="B43" s="1">
        <v>42.0</v>
      </c>
      <c r="C43" s="1" t="s">
        <v>2414</v>
      </c>
      <c r="D43" s="1" t="s">
        <v>911</v>
      </c>
      <c r="E43" s="5">
        <v>33.98</v>
      </c>
      <c r="F43" s="4">
        <v>216.11525117874143</v>
      </c>
      <c r="G43" s="1" t="s">
        <v>2454</v>
      </c>
      <c r="H43" s="95">
        <v>45453.0</v>
      </c>
      <c r="I43" s="95">
        <v>45461.0</v>
      </c>
      <c r="J43" s="4">
        <v>190.66388845443723</v>
      </c>
      <c r="K43" s="1"/>
      <c r="L43" s="1"/>
      <c r="M43" s="1" t="str">
        <f>VLOOKUP(B43,Bounties!A:D,3,FALSE)</f>
        <v>Outreach</v>
      </c>
      <c r="N43" s="1" t="str">
        <f>VLOOKUP(B43,Bounties!A:D,4,FALSE)</f>
        <v>Media</v>
      </c>
      <c r="O43" s="1" t="str">
        <f t="shared" ref="O43:P43" si="47">IF(ISBLANK(K43),M43,K43)</f>
        <v>Outreach</v>
      </c>
      <c r="P43" s="1" t="str">
        <f t="shared" si="47"/>
        <v>Media</v>
      </c>
      <c r="Q43" s="61" t="str">
        <f t="shared" si="3"/>
        <v>2024</v>
      </c>
      <c r="R43" s="62">
        <f t="shared" si="4"/>
        <v>6</v>
      </c>
      <c r="S43" s="61" t="str">
        <f t="shared" si="5"/>
        <v>2024-Q2</v>
      </c>
      <c r="T43" s="63" t="str">
        <f t="shared" si="6"/>
        <v>2024-06</v>
      </c>
      <c r="U43" s="64" t="str">
        <f t="shared" si="7"/>
        <v>2024-H1</v>
      </c>
      <c r="V43" s="9" t="str">
        <f>VLOOKUP(B43,Bounties!A:E,2,FALSE)</f>
        <v>Spanish Bounty</v>
      </c>
    </row>
    <row r="44" hidden="1">
      <c r="A44" s="67">
        <f>HYPERLINK("https://polkadot.subsquare.io/treasury/child-bounties/1364", 1364)</f>
        <v>1364</v>
      </c>
      <c r="B44" s="1">
        <v>42.0</v>
      </c>
      <c r="C44" s="1" t="s">
        <v>2414</v>
      </c>
      <c r="D44" s="1" t="s">
        <v>910</v>
      </c>
      <c r="E44" s="5">
        <v>30.47</v>
      </c>
      <c r="F44" s="4">
        <v>193.79139798164368</v>
      </c>
      <c r="G44" s="1" t="s">
        <v>2454</v>
      </c>
      <c r="H44" s="95">
        <v>45453.0</v>
      </c>
      <c r="I44" s="95">
        <v>45461.0</v>
      </c>
      <c r="J44" s="4">
        <v>170.96906065940857</v>
      </c>
      <c r="K44" s="1"/>
      <c r="L44" s="1"/>
      <c r="M44" s="1" t="str">
        <f>VLOOKUP(B44,Bounties!A:D,3,FALSE)</f>
        <v>Outreach</v>
      </c>
      <c r="N44" s="1" t="str">
        <f>VLOOKUP(B44,Bounties!A:D,4,FALSE)</f>
        <v>Media</v>
      </c>
      <c r="O44" s="1" t="str">
        <f t="shared" ref="O44:P44" si="48">IF(ISBLANK(K44),M44,K44)</f>
        <v>Outreach</v>
      </c>
      <c r="P44" s="1" t="str">
        <f t="shared" si="48"/>
        <v>Media</v>
      </c>
      <c r="Q44" s="61" t="str">
        <f t="shared" si="3"/>
        <v>2024</v>
      </c>
      <c r="R44" s="62">
        <f t="shared" si="4"/>
        <v>6</v>
      </c>
      <c r="S44" s="61" t="str">
        <f t="shared" si="5"/>
        <v>2024-Q2</v>
      </c>
      <c r="T44" s="63" t="str">
        <f t="shared" si="6"/>
        <v>2024-06</v>
      </c>
      <c r="U44" s="64" t="str">
        <f t="shared" si="7"/>
        <v>2024-H1</v>
      </c>
      <c r="V44" s="9" t="str">
        <f>VLOOKUP(B44,Bounties!A:E,2,FALSE)</f>
        <v>Spanish Bounty</v>
      </c>
    </row>
    <row r="45" hidden="1">
      <c r="A45" s="67">
        <f>HYPERLINK("https://polkadot.subsquare.io/treasury/child-bounties/1363", 1363)</f>
        <v>1363</v>
      </c>
      <c r="B45" s="1">
        <v>42.0</v>
      </c>
      <c r="C45" s="1" t="s">
        <v>2414</v>
      </c>
      <c r="D45" s="1" t="s">
        <v>909</v>
      </c>
      <c r="E45" s="5">
        <v>36.86</v>
      </c>
      <c r="F45" s="4">
        <v>234.4322589302063</v>
      </c>
      <c r="G45" s="1" t="s">
        <v>2454</v>
      </c>
      <c r="H45" s="95">
        <v>45453.0</v>
      </c>
      <c r="I45" s="95">
        <v>45461.0</v>
      </c>
      <c r="J45" s="4">
        <v>206.82374715805054</v>
      </c>
      <c r="K45" s="1"/>
      <c r="L45" s="1"/>
      <c r="M45" s="1" t="str">
        <f>VLOOKUP(B45,Bounties!A:D,3,FALSE)</f>
        <v>Outreach</v>
      </c>
      <c r="N45" s="1" t="str">
        <f>VLOOKUP(B45,Bounties!A:D,4,FALSE)</f>
        <v>Media</v>
      </c>
      <c r="O45" s="1" t="str">
        <f t="shared" ref="O45:P45" si="49">IF(ISBLANK(K45),M45,K45)</f>
        <v>Outreach</v>
      </c>
      <c r="P45" s="1" t="str">
        <f t="shared" si="49"/>
        <v>Media</v>
      </c>
      <c r="Q45" s="61" t="str">
        <f t="shared" si="3"/>
        <v>2024</v>
      </c>
      <c r="R45" s="62">
        <f t="shared" si="4"/>
        <v>6</v>
      </c>
      <c r="S45" s="61" t="str">
        <f t="shared" si="5"/>
        <v>2024-Q2</v>
      </c>
      <c r="T45" s="63" t="str">
        <f t="shared" si="6"/>
        <v>2024-06</v>
      </c>
      <c r="U45" s="64" t="str">
        <f t="shared" si="7"/>
        <v>2024-H1</v>
      </c>
      <c r="V45" s="9" t="str">
        <f>VLOOKUP(B45,Bounties!A:E,2,FALSE)</f>
        <v>Spanish Bounty</v>
      </c>
    </row>
    <row r="46" hidden="1">
      <c r="A46" s="67">
        <f>HYPERLINK("https://polkadot.subsquare.io/treasury/child-bounties/1362", 1362)</f>
        <v>1362</v>
      </c>
      <c r="B46" s="1">
        <v>42.0</v>
      </c>
      <c r="C46" s="1" t="s">
        <v>2414</v>
      </c>
      <c r="D46" s="1" t="s">
        <v>908</v>
      </c>
      <c r="E46" s="5">
        <v>17.02</v>
      </c>
      <c r="F46" s="4">
        <v>108.24842775344848</v>
      </c>
      <c r="G46" s="1" t="s">
        <v>2454</v>
      </c>
      <c r="H46" s="95">
        <v>45453.0</v>
      </c>
      <c r="I46" s="95">
        <v>45461.0</v>
      </c>
      <c r="J46" s="4">
        <v>95.5002760887146</v>
      </c>
      <c r="K46" s="1"/>
      <c r="L46" s="1"/>
      <c r="M46" s="1" t="str">
        <f>VLOOKUP(B46,Bounties!A:D,3,FALSE)</f>
        <v>Outreach</v>
      </c>
      <c r="N46" s="1" t="str">
        <f>VLOOKUP(B46,Bounties!A:D,4,FALSE)</f>
        <v>Media</v>
      </c>
      <c r="O46" s="1" t="str">
        <f t="shared" ref="O46:P46" si="50">IF(ISBLANK(K46),M46,K46)</f>
        <v>Outreach</v>
      </c>
      <c r="P46" s="1" t="str">
        <f t="shared" si="50"/>
        <v>Media</v>
      </c>
      <c r="Q46" s="61" t="str">
        <f t="shared" si="3"/>
        <v>2024</v>
      </c>
      <c r="R46" s="62">
        <f t="shared" si="4"/>
        <v>6</v>
      </c>
      <c r="S46" s="61" t="str">
        <f t="shared" si="5"/>
        <v>2024-Q2</v>
      </c>
      <c r="T46" s="63" t="str">
        <f t="shared" si="6"/>
        <v>2024-06</v>
      </c>
      <c r="U46" s="64" t="str">
        <f t="shared" si="7"/>
        <v>2024-H1</v>
      </c>
      <c r="V46" s="9" t="str">
        <f>VLOOKUP(B46,Bounties!A:E,2,FALSE)</f>
        <v>Spanish Bounty</v>
      </c>
    </row>
    <row r="47" hidden="1">
      <c r="A47" s="67">
        <f>HYPERLINK("https://polkadot.subsquare.io/treasury/child-bounties/1361", 1361)</f>
        <v>1361</v>
      </c>
      <c r="B47" s="1">
        <v>42.0</v>
      </c>
      <c r="C47" s="1" t="s">
        <v>2414</v>
      </c>
      <c r="D47" s="1" t="s">
        <v>907</v>
      </c>
      <c r="E47" s="5">
        <v>7.65</v>
      </c>
      <c r="F47" s="4">
        <v>48.65455183982849</v>
      </c>
      <c r="G47" s="1" t="s">
        <v>2455</v>
      </c>
      <c r="H47" s="95">
        <v>45453.0</v>
      </c>
      <c r="I47" s="95">
        <v>45462.0</v>
      </c>
      <c r="J47" s="4">
        <v>43.971205258369444</v>
      </c>
      <c r="K47" s="1"/>
      <c r="L47" s="1"/>
      <c r="M47" s="1" t="str">
        <f>VLOOKUP(B47,Bounties!A:D,3,FALSE)</f>
        <v>Outreach</v>
      </c>
      <c r="N47" s="1" t="str">
        <f>VLOOKUP(B47,Bounties!A:D,4,FALSE)</f>
        <v>Media</v>
      </c>
      <c r="O47" s="1" t="str">
        <f t="shared" ref="O47:P47" si="51">IF(ISBLANK(K47),M47,K47)</f>
        <v>Outreach</v>
      </c>
      <c r="P47" s="1" t="str">
        <f t="shared" si="51"/>
        <v>Media</v>
      </c>
      <c r="Q47" s="61" t="str">
        <f t="shared" si="3"/>
        <v>2024</v>
      </c>
      <c r="R47" s="62">
        <f t="shared" si="4"/>
        <v>6</v>
      </c>
      <c r="S47" s="61" t="str">
        <f t="shared" si="5"/>
        <v>2024-Q2</v>
      </c>
      <c r="T47" s="63" t="str">
        <f t="shared" si="6"/>
        <v>2024-06</v>
      </c>
      <c r="U47" s="64" t="str">
        <f t="shared" si="7"/>
        <v>2024-H1</v>
      </c>
      <c r="V47" s="9" t="str">
        <f>VLOOKUP(B47,Bounties!A:E,2,FALSE)</f>
        <v>Spanish Bounty</v>
      </c>
    </row>
    <row r="48" hidden="1">
      <c r="A48" s="67">
        <f>HYPERLINK("https://polkadot.subsquare.io/treasury/child-bounties/1360", 1360)</f>
        <v>1360</v>
      </c>
      <c r="B48" s="1">
        <v>42.0</v>
      </c>
      <c r="C48" s="1" t="s">
        <v>2414</v>
      </c>
      <c r="D48" s="1" t="s">
        <v>906</v>
      </c>
      <c r="E48" s="5">
        <v>12.42</v>
      </c>
      <c r="F48" s="4">
        <v>78.99209592819214</v>
      </c>
      <c r="G48" s="1" t="s">
        <v>2456</v>
      </c>
      <c r="H48" s="95">
        <v>45453.0</v>
      </c>
      <c r="I48" s="95">
        <v>45462.0</v>
      </c>
      <c r="J48" s="4">
        <v>71.38854500770569</v>
      </c>
      <c r="K48" s="1"/>
      <c r="L48" s="1"/>
      <c r="M48" s="1" t="str">
        <f>VLOOKUP(B48,Bounties!A:D,3,FALSE)</f>
        <v>Outreach</v>
      </c>
      <c r="N48" s="1" t="str">
        <f>VLOOKUP(B48,Bounties!A:D,4,FALSE)</f>
        <v>Media</v>
      </c>
      <c r="O48" s="1" t="str">
        <f t="shared" ref="O48:P48" si="52">IF(ISBLANK(K48),M48,K48)</f>
        <v>Outreach</v>
      </c>
      <c r="P48" s="1" t="str">
        <f t="shared" si="52"/>
        <v>Media</v>
      </c>
      <c r="Q48" s="61" t="str">
        <f t="shared" si="3"/>
        <v>2024</v>
      </c>
      <c r="R48" s="62">
        <f t="shared" si="4"/>
        <v>6</v>
      </c>
      <c r="S48" s="61" t="str">
        <f t="shared" si="5"/>
        <v>2024-Q2</v>
      </c>
      <c r="T48" s="63" t="str">
        <f t="shared" si="6"/>
        <v>2024-06</v>
      </c>
      <c r="U48" s="64" t="str">
        <f t="shared" si="7"/>
        <v>2024-H1</v>
      </c>
      <c r="V48" s="9" t="str">
        <f>VLOOKUP(B48,Bounties!A:E,2,FALSE)</f>
        <v>Spanish Bounty</v>
      </c>
    </row>
    <row r="49" hidden="1">
      <c r="A49" s="67">
        <f>HYPERLINK("https://polkadot.subsquare.io/treasury/child-bounties/1359", 1359)</f>
        <v>1359</v>
      </c>
      <c r="B49" s="1">
        <v>42.0</v>
      </c>
      <c r="C49" s="1" t="s">
        <v>2414</v>
      </c>
      <c r="D49" s="1" t="s">
        <v>905</v>
      </c>
      <c r="E49" s="5">
        <v>8.79</v>
      </c>
      <c r="F49" s="4">
        <v>55.90503407478332</v>
      </c>
      <c r="G49" s="1" t="s">
        <v>2422</v>
      </c>
      <c r="H49" s="95">
        <v>45453.0</v>
      </c>
      <c r="I49" s="95">
        <v>45462.0</v>
      </c>
      <c r="J49" s="4">
        <v>50.52377702236175</v>
      </c>
      <c r="K49" s="1"/>
      <c r="L49" s="1"/>
      <c r="M49" s="1" t="str">
        <f>VLOOKUP(B49,Bounties!A:D,3,FALSE)</f>
        <v>Outreach</v>
      </c>
      <c r="N49" s="1" t="str">
        <f>VLOOKUP(B49,Bounties!A:D,4,FALSE)</f>
        <v>Media</v>
      </c>
      <c r="O49" s="1" t="str">
        <f t="shared" ref="O49:P49" si="53">IF(ISBLANK(K49),M49,K49)</f>
        <v>Outreach</v>
      </c>
      <c r="P49" s="1" t="str">
        <f t="shared" si="53"/>
        <v>Media</v>
      </c>
      <c r="Q49" s="61" t="str">
        <f t="shared" si="3"/>
        <v>2024</v>
      </c>
      <c r="R49" s="62">
        <f t="shared" si="4"/>
        <v>6</v>
      </c>
      <c r="S49" s="61" t="str">
        <f t="shared" si="5"/>
        <v>2024-Q2</v>
      </c>
      <c r="T49" s="63" t="str">
        <f t="shared" si="6"/>
        <v>2024-06</v>
      </c>
      <c r="U49" s="64" t="str">
        <f t="shared" si="7"/>
        <v>2024-H1</v>
      </c>
      <c r="V49" s="9" t="str">
        <f>VLOOKUP(B49,Bounties!A:E,2,FALSE)</f>
        <v>Spanish Bounty</v>
      </c>
    </row>
    <row r="50" hidden="1">
      <c r="A50" s="67">
        <f>HYPERLINK("https://polkadot.subsquare.io/treasury/child-bounties/1358", 1358)</f>
        <v>1358</v>
      </c>
      <c r="B50" s="1">
        <v>42.0</v>
      </c>
      <c r="C50" s="1" t="s">
        <v>2414</v>
      </c>
      <c r="D50" s="1" t="s">
        <v>904</v>
      </c>
      <c r="E50" s="5">
        <v>20.8</v>
      </c>
      <c r="F50" s="4">
        <v>132.2895004272461</v>
      </c>
      <c r="G50" s="1" t="s">
        <v>2457</v>
      </c>
      <c r="H50" s="95">
        <v>45453.0</v>
      </c>
      <c r="I50" s="95">
        <v>45462.0</v>
      </c>
      <c r="J50" s="4">
        <v>119.55569534301758</v>
      </c>
      <c r="K50" s="1"/>
      <c r="L50" s="1"/>
      <c r="M50" s="1" t="str">
        <f>VLOOKUP(B50,Bounties!A:D,3,FALSE)</f>
        <v>Outreach</v>
      </c>
      <c r="N50" s="1" t="str">
        <f>VLOOKUP(B50,Bounties!A:D,4,FALSE)</f>
        <v>Media</v>
      </c>
      <c r="O50" s="1" t="str">
        <f t="shared" ref="O50:P50" si="54">IF(ISBLANK(K50),M50,K50)</f>
        <v>Outreach</v>
      </c>
      <c r="P50" s="1" t="str">
        <f t="shared" si="54"/>
        <v>Media</v>
      </c>
      <c r="Q50" s="61" t="str">
        <f t="shared" si="3"/>
        <v>2024</v>
      </c>
      <c r="R50" s="62">
        <f t="shared" si="4"/>
        <v>6</v>
      </c>
      <c r="S50" s="61" t="str">
        <f t="shared" si="5"/>
        <v>2024-Q2</v>
      </c>
      <c r="T50" s="63" t="str">
        <f t="shared" si="6"/>
        <v>2024-06</v>
      </c>
      <c r="U50" s="64" t="str">
        <f t="shared" si="7"/>
        <v>2024-H1</v>
      </c>
      <c r="V50" s="9" t="str">
        <f>VLOOKUP(B50,Bounties!A:E,2,FALSE)</f>
        <v>Spanish Bounty</v>
      </c>
    </row>
    <row r="51" hidden="1">
      <c r="A51" s="67">
        <f>HYPERLINK("https://polkadot.subsquare.io/treasury/child-bounties/1357", 1357)</f>
        <v>1357</v>
      </c>
      <c r="B51" s="1">
        <v>42.0</v>
      </c>
      <c r="C51" s="1" t="s">
        <v>2414</v>
      </c>
      <c r="D51" s="1" t="s">
        <v>903</v>
      </c>
      <c r="E51" s="5">
        <v>31.72</v>
      </c>
      <c r="F51" s="4">
        <v>201.7414881515503</v>
      </c>
      <c r="G51" s="1" t="s">
        <v>2420</v>
      </c>
      <c r="H51" s="95">
        <v>45453.0</v>
      </c>
      <c r="I51" s="95">
        <v>45463.0</v>
      </c>
      <c r="J51" s="4">
        <v>182.3224353981018</v>
      </c>
      <c r="K51" s="1"/>
      <c r="L51" s="1"/>
      <c r="M51" s="1" t="str">
        <f>VLOOKUP(B51,Bounties!A:D,3,FALSE)</f>
        <v>Outreach</v>
      </c>
      <c r="N51" s="1" t="str">
        <f>VLOOKUP(B51,Bounties!A:D,4,FALSE)</f>
        <v>Media</v>
      </c>
      <c r="O51" s="1" t="str">
        <f t="shared" ref="O51:P51" si="55">IF(ISBLANK(K51),M51,K51)</f>
        <v>Outreach</v>
      </c>
      <c r="P51" s="1" t="str">
        <f t="shared" si="55"/>
        <v>Media</v>
      </c>
      <c r="Q51" s="61" t="str">
        <f t="shared" si="3"/>
        <v>2024</v>
      </c>
      <c r="R51" s="62">
        <f t="shared" si="4"/>
        <v>6</v>
      </c>
      <c r="S51" s="61" t="str">
        <f t="shared" si="5"/>
        <v>2024-Q2</v>
      </c>
      <c r="T51" s="63" t="str">
        <f t="shared" si="6"/>
        <v>2024-06</v>
      </c>
      <c r="U51" s="64" t="str">
        <f t="shared" si="7"/>
        <v>2024-H1</v>
      </c>
      <c r="V51" s="9" t="str">
        <f>VLOOKUP(B51,Bounties!A:E,2,FALSE)</f>
        <v>Spanish Bounty</v>
      </c>
    </row>
    <row r="52" hidden="1">
      <c r="A52" s="67">
        <f>HYPERLINK("https://polkadot.subsquare.io/treasury/child-bounties/1356", 1356)</f>
        <v>1356</v>
      </c>
      <c r="B52" s="1">
        <v>32.0</v>
      </c>
      <c r="C52" s="1" t="s">
        <v>2414</v>
      </c>
      <c r="D52" s="1" t="s">
        <v>902</v>
      </c>
      <c r="E52" s="5">
        <v>9.9084626671</v>
      </c>
      <c r="F52" s="4">
        <v>66.80004983655928</v>
      </c>
      <c r="G52" s="1" t="s">
        <v>2437</v>
      </c>
      <c r="H52" s="95">
        <v>45452.0</v>
      </c>
      <c r="I52" s="95">
        <v>45468.0</v>
      </c>
      <c r="J52" s="4">
        <v>62.23945409005628</v>
      </c>
      <c r="K52" s="1"/>
      <c r="L52" s="1"/>
      <c r="M52" s="1" t="str">
        <f>VLOOKUP(B52,Bounties!A:D,3,FALSE)</f>
        <v>Operations</v>
      </c>
      <c r="N52" s="1" t="str">
        <f>VLOOKUP(B52,Bounties!A:D,4,FALSE)</f>
        <v>RPCs and Nodes</v>
      </c>
      <c r="O52" s="1" t="str">
        <f t="shared" ref="O52:P52" si="56">IF(ISBLANK(K52),M52,K52)</f>
        <v>Operations</v>
      </c>
      <c r="P52" s="1" t="str">
        <f t="shared" si="56"/>
        <v>RPCs and Nodes</v>
      </c>
      <c r="Q52" s="61" t="str">
        <f t="shared" si="3"/>
        <v>2024</v>
      </c>
      <c r="R52" s="62">
        <f t="shared" si="4"/>
        <v>6</v>
      </c>
      <c r="S52" s="61" t="str">
        <f t="shared" si="5"/>
        <v>2024-Q2</v>
      </c>
      <c r="T52" s="63" t="str">
        <f t="shared" si="6"/>
        <v>2024-06</v>
      </c>
      <c r="U52" s="64" t="str">
        <f t="shared" si="7"/>
        <v>2024-H1</v>
      </c>
      <c r="V52" s="9" t="str">
        <f>VLOOKUP(B52,Bounties!A:E,2,FALSE)</f>
        <v>System Parachains Collator Bounty</v>
      </c>
    </row>
    <row r="53" hidden="1">
      <c r="A53" s="67">
        <f>HYPERLINK("https://polkadot.subsquare.io/treasury/child-bounties/1354", 1354)</f>
        <v>1354</v>
      </c>
      <c r="B53" s="1">
        <v>32.0</v>
      </c>
      <c r="C53" s="1" t="s">
        <v>2414</v>
      </c>
      <c r="D53" s="1" t="s">
        <v>901</v>
      </c>
      <c r="E53" s="5">
        <v>9.9084626671</v>
      </c>
      <c r="F53" s="4">
        <v>66.80004983655928</v>
      </c>
      <c r="G53" s="1" t="s">
        <v>2438</v>
      </c>
      <c r="H53" s="95">
        <v>45452.0</v>
      </c>
      <c r="I53" s="95">
        <v>45468.0</v>
      </c>
      <c r="J53" s="4">
        <v>62.23945409005628</v>
      </c>
      <c r="K53" s="1"/>
      <c r="L53" s="1"/>
      <c r="M53" s="1" t="str">
        <f>VLOOKUP(B53,Bounties!A:D,3,FALSE)</f>
        <v>Operations</v>
      </c>
      <c r="N53" s="1" t="str">
        <f>VLOOKUP(B53,Bounties!A:D,4,FALSE)</f>
        <v>RPCs and Nodes</v>
      </c>
      <c r="O53" s="1" t="str">
        <f t="shared" ref="O53:P53" si="57">IF(ISBLANK(K53),M53,K53)</f>
        <v>Operations</v>
      </c>
      <c r="P53" s="1" t="str">
        <f t="shared" si="57"/>
        <v>RPCs and Nodes</v>
      </c>
      <c r="Q53" s="61" t="str">
        <f t="shared" si="3"/>
        <v>2024</v>
      </c>
      <c r="R53" s="62">
        <f t="shared" si="4"/>
        <v>6</v>
      </c>
      <c r="S53" s="61" t="str">
        <f t="shared" si="5"/>
        <v>2024-Q2</v>
      </c>
      <c r="T53" s="63" t="str">
        <f t="shared" si="6"/>
        <v>2024-06</v>
      </c>
      <c r="U53" s="64" t="str">
        <f t="shared" si="7"/>
        <v>2024-H1</v>
      </c>
      <c r="V53" s="9" t="str">
        <f>VLOOKUP(B53,Bounties!A:E,2,FALSE)</f>
        <v>System Parachains Collator Bounty</v>
      </c>
    </row>
    <row r="54" hidden="1">
      <c r="A54" s="67">
        <f>HYPERLINK("https://polkadot.subsquare.io/treasury/child-bounties/1353", 1353)</f>
        <v>1353</v>
      </c>
      <c r="B54" s="1">
        <v>32.0</v>
      </c>
      <c r="C54" s="1" t="s">
        <v>2414</v>
      </c>
      <c r="D54" s="1" t="s">
        <v>900</v>
      </c>
      <c r="E54" s="5">
        <v>57.0720030402</v>
      </c>
      <c r="F54" s="4">
        <v>384.76328522852845</v>
      </c>
      <c r="G54" s="1" t="s">
        <v>2445</v>
      </c>
      <c r="H54" s="95">
        <v>45452.0</v>
      </c>
      <c r="I54" s="95">
        <v>45462.0</v>
      </c>
      <c r="J54" s="4">
        <v>320.2345503686874</v>
      </c>
      <c r="K54" s="1"/>
      <c r="L54" s="1"/>
      <c r="M54" s="1" t="str">
        <f>VLOOKUP(B54,Bounties!A:D,3,FALSE)</f>
        <v>Operations</v>
      </c>
      <c r="N54" s="1" t="str">
        <f>VLOOKUP(B54,Bounties!A:D,4,FALSE)</f>
        <v>RPCs and Nodes</v>
      </c>
      <c r="O54" s="1" t="str">
        <f t="shared" ref="O54:P54" si="58">IF(ISBLANK(K54),M54,K54)</f>
        <v>Operations</v>
      </c>
      <c r="P54" s="1" t="str">
        <f t="shared" si="58"/>
        <v>RPCs and Nodes</v>
      </c>
      <c r="Q54" s="61" t="str">
        <f t="shared" si="3"/>
        <v>2024</v>
      </c>
      <c r="R54" s="62">
        <f t="shared" si="4"/>
        <v>6</v>
      </c>
      <c r="S54" s="61" t="str">
        <f t="shared" si="5"/>
        <v>2024-Q2</v>
      </c>
      <c r="T54" s="63" t="str">
        <f t="shared" si="6"/>
        <v>2024-06</v>
      </c>
      <c r="U54" s="64" t="str">
        <f t="shared" si="7"/>
        <v>2024-H1</v>
      </c>
      <c r="V54" s="9" t="str">
        <f>VLOOKUP(B54,Bounties!A:E,2,FALSE)</f>
        <v>System Parachains Collator Bounty</v>
      </c>
    </row>
    <row r="55" hidden="1">
      <c r="A55" s="67">
        <f>HYPERLINK("https://polkadot.subsquare.io/treasury/child-bounties/1348", 1348)</f>
        <v>1348</v>
      </c>
      <c r="B55" s="1">
        <v>32.0</v>
      </c>
      <c r="C55" s="1" t="s">
        <v>2414</v>
      </c>
      <c r="D55" s="1" t="s">
        <v>899</v>
      </c>
      <c r="E55" s="5">
        <v>42.0738875109</v>
      </c>
      <c r="F55" s="4">
        <v>283.65023687054924</v>
      </c>
      <c r="G55" s="1" t="s">
        <v>2443</v>
      </c>
      <c r="H55" s="95">
        <v>45452.0</v>
      </c>
      <c r="I55" s="95">
        <v>45461.0</v>
      </c>
      <c r="J55" s="4">
        <v>236.0791935027304</v>
      </c>
      <c r="K55" s="1"/>
      <c r="L55" s="1"/>
      <c r="M55" s="1" t="str">
        <f>VLOOKUP(B55,Bounties!A:D,3,FALSE)</f>
        <v>Operations</v>
      </c>
      <c r="N55" s="1" t="str">
        <f>VLOOKUP(B55,Bounties!A:D,4,FALSE)</f>
        <v>RPCs and Nodes</v>
      </c>
      <c r="O55" s="1" t="str">
        <f t="shared" ref="O55:P55" si="59">IF(ISBLANK(K55),M55,K55)</f>
        <v>Operations</v>
      </c>
      <c r="P55" s="1" t="str">
        <f t="shared" si="59"/>
        <v>RPCs and Nodes</v>
      </c>
      <c r="Q55" s="61" t="str">
        <f t="shared" si="3"/>
        <v>2024</v>
      </c>
      <c r="R55" s="62">
        <f t="shared" si="4"/>
        <v>6</v>
      </c>
      <c r="S55" s="61" t="str">
        <f t="shared" si="5"/>
        <v>2024-Q2</v>
      </c>
      <c r="T55" s="63" t="str">
        <f t="shared" si="6"/>
        <v>2024-06</v>
      </c>
      <c r="U55" s="64" t="str">
        <f t="shared" si="7"/>
        <v>2024-H1</v>
      </c>
      <c r="V55" s="9" t="str">
        <f>VLOOKUP(B55,Bounties!A:E,2,FALSE)</f>
        <v>System Parachains Collator Bounty</v>
      </c>
    </row>
    <row r="56" hidden="1">
      <c r="A56" s="67">
        <f>HYPERLINK("https://polkadot.subsquare.io/treasury/child-bounties/1347", 1347)</f>
        <v>1347</v>
      </c>
      <c r="B56" s="1">
        <v>32.0</v>
      </c>
      <c r="C56" s="1" t="s">
        <v>2414</v>
      </c>
      <c r="D56" s="1" t="s">
        <v>898</v>
      </c>
      <c r="E56" s="5">
        <v>41.4736451113</v>
      </c>
      <c r="F56" s="4">
        <v>279.60357256404376</v>
      </c>
      <c r="G56" s="1" t="s">
        <v>2439</v>
      </c>
      <c r="H56" s="95">
        <v>45452.0</v>
      </c>
      <c r="I56" s="95">
        <v>45466.0</v>
      </c>
      <c r="J56" s="4">
        <v>242.30956272636146</v>
      </c>
      <c r="K56" s="1"/>
      <c r="L56" s="1"/>
      <c r="M56" s="1" t="str">
        <f>VLOOKUP(B56,Bounties!A:D,3,FALSE)</f>
        <v>Operations</v>
      </c>
      <c r="N56" s="1" t="str">
        <f>VLOOKUP(B56,Bounties!A:D,4,FALSE)</f>
        <v>RPCs and Nodes</v>
      </c>
      <c r="O56" s="1" t="str">
        <f t="shared" ref="O56:P56" si="60">IF(ISBLANK(K56),M56,K56)</f>
        <v>Operations</v>
      </c>
      <c r="P56" s="1" t="str">
        <f t="shared" si="60"/>
        <v>RPCs and Nodes</v>
      </c>
      <c r="Q56" s="61" t="str">
        <f t="shared" si="3"/>
        <v>2024</v>
      </c>
      <c r="R56" s="62">
        <f t="shared" si="4"/>
        <v>6</v>
      </c>
      <c r="S56" s="61" t="str">
        <f t="shared" si="5"/>
        <v>2024-Q2</v>
      </c>
      <c r="T56" s="63" t="str">
        <f t="shared" si="6"/>
        <v>2024-06</v>
      </c>
      <c r="U56" s="64" t="str">
        <f t="shared" si="7"/>
        <v>2024-H1</v>
      </c>
      <c r="V56" s="9" t="str">
        <f>VLOOKUP(B56,Bounties!A:E,2,FALSE)</f>
        <v>System Parachains Collator Bounty</v>
      </c>
    </row>
    <row r="57" hidden="1">
      <c r="A57" s="67">
        <f>HYPERLINK("https://polkadot.subsquare.io/treasury/child-bounties/1346", 1346)</f>
        <v>1346</v>
      </c>
      <c r="B57" s="1">
        <v>32.0</v>
      </c>
      <c r="C57" s="1" t="s">
        <v>2414</v>
      </c>
      <c r="D57" s="1" t="s">
        <v>897</v>
      </c>
      <c r="E57" s="5">
        <v>57.1737419195</v>
      </c>
      <c r="F57" s="4">
        <v>385.44917994659824</v>
      </c>
      <c r="G57" s="1" t="s">
        <v>2458</v>
      </c>
      <c r="H57" s="95">
        <v>45452.0</v>
      </c>
      <c r="I57" s="95">
        <v>45462.0</v>
      </c>
      <c r="J57" s="4">
        <v>328.6272341609642</v>
      </c>
      <c r="K57" s="1"/>
      <c r="L57" s="1"/>
      <c r="M57" s="1" t="str">
        <f>VLOOKUP(B57,Bounties!A:D,3,FALSE)</f>
        <v>Operations</v>
      </c>
      <c r="N57" s="1" t="str">
        <f>VLOOKUP(B57,Bounties!A:D,4,FALSE)</f>
        <v>RPCs and Nodes</v>
      </c>
      <c r="O57" s="1" t="str">
        <f t="shared" ref="O57:P57" si="61">IF(ISBLANK(K57),M57,K57)</f>
        <v>Operations</v>
      </c>
      <c r="P57" s="1" t="str">
        <f t="shared" si="61"/>
        <v>RPCs and Nodes</v>
      </c>
      <c r="Q57" s="61" t="str">
        <f t="shared" si="3"/>
        <v>2024</v>
      </c>
      <c r="R57" s="62">
        <f t="shared" si="4"/>
        <v>6</v>
      </c>
      <c r="S57" s="61" t="str">
        <f t="shared" si="5"/>
        <v>2024-Q2</v>
      </c>
      <c r="T57" s="63" t="str">
        <f t="shared" si="6"/>
        <v>2024-06</v>
      </c>
      <c r="U57" s="64" t="str">
        <f t="shared" si="7"/>
        <v>2024-H1</v>
      </c>
      <c r="V57" s="9" t="str">
        <f>VLOOKUP(B57,Bounties!A:E,2,FALSE)</f>
        <v>System Parachains Collator Bounty</v>
      </c>
    </row>
    <row r="58" hidden="1">
      <c r="A58" s="67">
        <f>HYPERLINK("https://polkadot.subsquare.io/treasury/child-bounties/1345", 1345)</f>
        <v>1345</v>
      </c>
      <c r="B58" s="1">
        <v>32.0</v>
      </c>
      <c r="C58" s="1" t="s">
        <v>2414</v>
      </c>
      <c r="D58" s="1" t="s">
        <v>896</v>
      </c>
      <c r="E58" s="5">
        <v>56.7667864023</v>
      </c>
      <c r="F58" s="4">
        <v>382.705601074319</v>
      </c>
      <c r="G58" s="1" t="s">
        <v>2459</v>
      </c>
      <c r="H58" s="95">
        <v>45452.0</v>
      </c>
      <c r="I58" s="95">
        <v>45460.0</v>
      </c>
      <c r="J58" s="4">
        <v>320.2083292414322</v>
      </c>
      <c r="K58" s="1"/>
      <c r="L58" s="1"/>
      <c r="M58" s="1" t="str">
        <f>VLOOKUP(B58,Bounties!A:D,3,FALSE)</f>
        <v>Operations</v>
      </c>
      <c r="N58" s="1" t="str">
        <f>VLOOKUP(B58,Bounties!A:D,4,FALSE)</f>
        <v>RPCs and Nodes</v>
      </c>
      <c r="O58" s="1" t="str">
        <f t="shared" ref="O58:P58" si="62">IF(ISBLANK(K58),M58,K58)</f>
        <v>Operations</v>
      </c>
      <c r="P58" s="1" t="str">
        <f t="shared" si="62"/>
        <v>RPCs and Nodes</v>
      </c>
      <c r="Q58" s="61" t="str">
        <f t="shared" si="3"/>
        <v>2024</v>
      </c>
      <c r="R58" s="62">
        <f t="shared" si="4"/>
        <v>6</v>
      </c>
      <c r="S58" s="61" t="str">
        <f t="shared" si="5"/>
        <v>2024-Q2</v>
      </c>
      <c r="T58" s="63" t="str">
        <f t="shared" si="6"/>
        <v>2024-06</v>
      </c>
      <c r="U58" s="64" t="str">
        <f t="shared" si="7"/>
        <v>2024-H1</v>
      </c>
      <c r="V58" s="9" t="str">
        <f>VLOOKUP(B58,Bounties!A:E,2,FALSE)</f>
        <v>System Parachains Collator Bounty</v>
      </c>
    </row>
    <row r="59" hidden="1">
      <c r="A59" s="67">
        <f>HYPERLINK("https://polkadot.subsquare.io/treasury/child-bounties/1344", 1344)</f>
        <v>1344</v>
      </c>
      <c r="B59" s="1">
        <v>32.0</v>
      </c>
      <c r="C59" s="1" t="s">
        <v>2460</v>
      </c>
      <c r="D59" s="1" t="s">
        <v>2461</v>
      </c>
      <c r="E59" s="5">
        <v>56.9246570771</v>
      </c>
      <c r="F59" s="4">
        <v>383.7699204645901</v>
      </c>
      <c r="G59" s="1" t="s">
        <v>2441</v>
      </c>
      <c r="H59" s="95">
        <v>45452.0</v>
      </c>
      <c r="I59" s="95">
        <v>45452.0</v>
      </c>
      <c r="J59" s="4">
        <v>383.7699204645901</v>
      </c>
      <c r="K59" s="1"/>
      <c r="L59" s="1"/>
      <c r="M59" s="1" t="str">
        <f>VLOOKUP(B59,Bounties!A:D,3,FALSE)</f>
        <v>Operations</v>
      </c>
      <c r="N59" s="1" t="str">
        <f>VLOOKUP(B59,Bounties!A:D,4,FALSE)</f>
        <v>RPCs and Nodes</v>
      </c>
      <c r="O59" s="1" t="str">
        <f t="shared" ref="O59:P59" si="63">IF(ISBLANK(K59),M59,K59)</f>
        <v>Operations</v>
      </c>
      <c r="P59" s="1" t="str">
        <f t="shared" si="63"/>
        <v>RPCs and Nodes</v>
      </c>
      <c r="Q59" s="61" t="str">
        <f t="shared" si="3"/>
        <v>2024</v>
      </c>
      <c r="R59" s="62">
        <f t="shared" si="4"/>
        <v>6</v>
      </c>
      <c r="S59" s="61" t="str">
        <f t="shared" si="5"/>
        <v>2024-Q2</v>
      </c>
      <c r="T59" s="63" t="str">
        <f t="shared" si="6"/>
        <v>2024-06</v>
      </c>
      <c r="U59" s="64" t="str">
        <f t="shared" si="7"/>
        <v>2024-H1</v>
      </c>
      <c r="V59" s="9" t="str">
        <f>VLOOKUP(B59,Bounties!A:E,2,FALSE)</f>
        <v>System Parachains Collator Bounty</v>
      </c>
    </row>
    <row r="60" hidden="1">
      <c r="A60" s="67">
        <f>HYPERLINK("https://polkadot.subsquare.io/treasury/child-bounties/1343", 1343)</f>
        <v>1343</v>
      </c>
      <c r="B60" s="1">
        <v>32.0</v>
      </c>
      <c r="C60" s="1" t="s">
        <v>2414</v>
      </c>
      <c r="D60" s="1" t="s">
        <v>895</v>
      </c>
      <c r="E60" s="5">
        <v>56.9913135842</v>
      </c>
      <c r="F60" s="4">
        <v>384.21929976244985</v>
      </c>
      <c r="G60" s="1" t="s">
        <v>2442</v>
      </c>
      <c r="H60" s="95">
        <v>45452.0</v>
      </c>
      <c r="I60" s="95">
        <v>45461.0</v>
      </c>
      <c r="J60" s="4">
        <v>319.78179682430147</v>
      </c>
      <c r="K60" s="1"/>
      <c r="L60" s="1"/>
      <c r="M60" s="1" t="str">
        <f>VLOOKUP(B60,Bounties!A:D,3,FALSE)</f>
        <v>Operations</v>
      </c>
      <c r="N60" s="1" t="str">
        <f>VLOOKUP(B60,Bounties!A:D,4,FALSE)</f>
        <v>RPCs and Nodes</v>
      </c>
      <c r="O60" s="1" t="str">
        <f t="shared" ref="O60:P60" si="64">IF(ISBLANK(K60),M60,K60)</f>
        <v>Operations</v>
      </c>
      <c r="P60" s="1" t="str">
        <f t="shared" si="64"/>
        <v>RPCs and Nodes</v>
      </c>
      <c r="Q60" s="61" t="str">
        <f t="shared" si="3"/>
        <v>2024</v>
      </c>
      <c r="R60" s="62">
        <f t="shared" si="4"/>
        <v>6</v>
      </c>
      <c r="S60" s="61" t="str">
        <f t="shared" si="5"/>
        <v>2024-Q2</v>
      </c>
      <c r="T60" s="63" t="str">
        <f t="shared" si="6"/>
        <v>2024-06</v>
      </c>
      <c r="U60" s="64" t="str">
        <f t="shared" si="7"/>
        <v>2024-H1</v>
      </c>
      <c r="V60" s="9" t="str">
        <f>VLOOKUP(B60,Bounties!A:E,2,FALSE)</f>
        <v>System Parachains Collator Bounty</v>
      </c>
    </row>
    <row r="61" hidden="1">
      <c r="A61" s="67">
        <f>HYPERLINK("https://polkadot.subsquare.io/treasury/child-bounties/1342", 1342)</f>
        <v>1342</v>
      </c>
      <c r="B61" s="1">
        <v>32.0</v>
      </c>
      <c r="C61" s="1" t="s">
        <v>2414</v>
      </c>
      <c r="D61" s="1" t="s">
        <v>894</v>
      </c>
      <c r="E61" s="5">
        <v>57.0895442263</v>
      </c>
      <c r="F61" s="4">
        <v>384.88154293863346</v>
      </c>
      <c r="G61" s="1" t="s">
        <v>2444</v>
      </c>
      <c r="H61" s="95">
        <v>45452.0</v>
      </c>
      <c r="I61" s="95">
        <v>45462.0</v>
      </c>
      <c r="J61" s="4">
        <v>320.3329750523227</v>
      </c>
      <c r="K61" s="1"/>
      <c r="L61" s="1"/>
      <c r="M61" s="1" t="str">
        <f>VLOOKUP(B61,Bounties!A:D,3,FALSE)</f>
        <v>Operations</v>
      </c>
      <c r="N61" s="1" t="str">
        <f>VLOOKUP(B61,Bounties!A:D,4,FALSE)</f>
        <v>RPCs and Nodes</v>
      </c>
      <c r="O61" s="1" t="str">
        <f t="shared" ref="O61:P61" si="65">IF(ISBLANK(K61),M61,K61)</f>
        <v>Operations</v>
      </c>
      <c r="P61" s="1" t="str">
        <f t="shared" si="65"/>
        <v>RPCs and Nodes</v>
      </c>
      <c r="Q61" s="61" t="str">
        <f t="shared" si="3"/>
        <v>2024</v>
      </c>
      <c r="R61" s="62">
        <f t="shared" si="4"/>
        <v>6</v>
      </c>
      <c r="S61" s="61" t="str">
        <f t="shared" si="5"/>
        <v>2024-Q2</v>
      </c>
      <c r="T61" s="63" t="str">
        <f t="shared" si="6"/>
        <v>2024-06</v>
      </c>
      <c r="U61" s="64" t="str">
        <f t="shared" si="7"/>
        <v>2024-H1</v>
      </c>
      <c r="V61" s="9" t="str">
        <f>VLOOKUP(B61,Bounties!A:E,2,FALSE)</f>
        <v>System Parachains Collator Bounty</v>
      </c>
    </row>
    <row r="62" hidden="1">
      <c r="A62" s="67">
        <f>HYPERLINK("https://polkadot.subsquare.io/treasury/child-bounties/1341", 1341)</f>
        <v>1341</v>
      </c>
      <c r="B62" s="1">
        <v>32.0</v>
      </c>
      <c r="C62" s="1" t="s">
        <v>2414</v>
      </c>
      <c r="D62" s="1" t="s">
        <v>886</v>
      </c>
      <c r="E62" s="5">
        <v>5.9231000904</v>
      </c>
      <c r="F62" s="4">
        <v>39.93186375313368</v>
      </c>
      <c r="G62" s="1" t="s">
        <v>2442</v>
      </c>
      <c r="H62" s="95">
        <v>45452.0</v>
      </c>
      <c r="I62" s="95">
        <v>45461.0</v>
      </c>
      <c r="J62" s="4">
        <v>33.23488213479967</v>
      </c>
      <c r="K62" s="1"/>
      <c r="L62" s="1"/>
      <c r="M62" s="1" t="str">
        <f>VLOOKUP(B62,Bounties!A:D,3,FALSE)</f>
        <v>Operations</v>
      </c>
      <c r="N62" s="1" t="str">
        <f>VLOOKUP(B62,Bounties!A:D,4,FALSE)</f>
        <v>RPCs and Nodes</v>
      </c>
      <c r="O62" s="1" t="str">
        <f t="shared" ref="O62:P62" si="66">IF(ISBLANK(K62),M62,K62)</f>
        <v>Operations</v>
      </c>
      <c r="P62" s="1" t="str">
        <f t="shared" si="66"/>
        <v>RPCs and Nodes</v>
      </c>
      <c r="Q62" s="61" t="str">
        <f t="shared" si="3"/>
        <v>2024</v>
      </c>
      <c r="R62" s="62">
        <f t="shared" si="4"/>
        <v>6</v>
      </c>
      <c r="S62" s="61" t="str">
        <f t="shared" si="5"/>
        <v>2024-Q2</v>
      </c>
      <c r="T62" s="63" t="str">
        <f t="shared" si="6"/>
        <v>2024-06</v>
      </c>
      <c r="U62" s="64" t="str">
        <f t="shared" si="7"/>
        <v>2024-H1</v>
      </c>
      <c r="V62" s="9" t="str">
        <f>VLOOKUP(B62,Bounties!A:E,2,FALSE)</f>
        <v>System Parachains Collator Bounty</v>
      </c>
    </row>
    <row r="63" hidden="1">
      <c r="A63" s="67">
        <f>HYPERLINK("https://polkadot.subsquare.io/treasury/child-bounties/1340", 1340)</f>
        <v>1340</v>
      </c>
      <c r="B63" s="1">
        <v>32.0</v>
      </c>
      <c r="C63" s="1" t="s">
        <v>2414</v>
      </c>
      <c r="D63" s="1" t="s">
        <v>893</v>
      </c>
      <c r="E63" s="5">
        <v>9.9342083802</v>
      </c>
      <c r="F63" s="4">
        <v>66.97362014468268</v>
      </c>
      <c r="G63" s="1" t="s">
        <v>2437</v>
      </c>
      <c r="H63" s="95">
        <v>45452.0</v>
      </c>
      <c r="I63" s="95">
        <v>45468.0</v>
      </c>
      <c r="J63" s="4">
        <v>62.401174347006304</v>
      </c>
      <c r="K63" s="1"/>
      <c r="L63" s="1"/>
      <c r="M63" s="1" t="str">
        <f>VLOOKUP(B63,Bounties!A:D,3,FALSE)</f>
        <v>Operations</v>
      </c>
      <c r="N63" s="1" t="str">
        <f>VLOOKUP(B63,Bounties!A:D,4,FALSE)</f>
        <v>RPCs and Nodes</v>
      </c>
      <c r="O63" s="1" t="str">
        <f t="shared" ref="O63:P63" si="67">IF(ISBLANK(K63),M63,K63)</f>
        <v>Operations</v>
      </c>
      <c r="P63" s="1" t="str">
        <f t="shared" si="67"/>
        <v>RPCs and Nodes</v>
      </c>
      <c r="Q63" s="61" t="str">
        <f t="shared" si="3"/>
        <v>2024</v>
      </c>
      <c r="R63" s="62">
        <f t="shared" si="4"/>
        <v>6</v>
      </c>
      <c r="S63" s="61" t="str">
        <f t="shared" si="5"/>
        <v>2024-Q2</v>
      </c>
      <c r="T63" s="63" t="str">
        <f t="shared" si="6"/>
        <v>2024-06</v>
      </c>
      <c r="U63" s="64" t="str">
        <f t="shared" si="7"/>
        <v>2024-H1</v>
      </c>
      <c r="V63" s="9" t="str">
        <f>VLOOKUP(B63,Bounties!A:E,2,FALSE)</f>
        <v>System Parachains Collator Bounty</v>
      </c>
    </row>
    <row r="64" hidden="1">
      <c r="A64" s="67">
        <f>HYPERLINK("https://polkadot.subsquare.io/treasury/child-bounties/1339", 1339)</f>
        <v>1339</v>
      </c>
      <c r="B64" s="1">
        <v>32.0</v>
      </c>
      <c r="C64" s="1" t="s">
        <v>2460</v>
      </c>
      <c r="D64" s="1" t="s">
        <v>2462</v>
      </c>
      <c r="E64" s="5">
        <v>9.9342083802</v>
      </c>
      <c r="F64" s="4">
        <v>66.97362014468268</v>
      </c>
      <c r="G64" s="1" t="s">
        <v>2463</v>
      </c>
      <c r="H64" s="95">
        <v>45452.0</v>
      </c>
      <c r="I64" s="95">
        <v>45452.0</v>
      </c>
      <c r="J64" s="4">
        <v>66.97362014468268</v>
      </c>
      <c r="K64" s="1"/>
      <c r="L64" s="1"/>
      <c r="M64" s="1" t="str">
        <f>VLOOKUP(B64,Bounties!A:D,3,FALSE)</f>
        <v>Operations</v>
      </c>
      <c r="N64" s="1" t="str">
        <f>VLOOKUP(B64,Bounties!A:D,4,FALSE)</f>
        <v>RPCs and Nodes</v>
      </c>
      <c r="O64" s="1" t="str">
        <f t="shared" ref="O64:P64" si="68">IF(ISBLANK(K64),M64,K64)</f>
        <v>Operations</v>
      </c>
      <c r="P64" s="1" t="str">
        <f t="shared" si="68"/>
        <v>RPCs and Nodes</v>
      </c>
      <c r="Q64" s="61" t="str">
        <f t="shared" si="3"/>
        <v>2024</v>
      </c>
      <c r="R64" s="62">
        <f t="shared" si="4"/>
        <v>6</v>
      </c>
      <c r="S64" s="61" t="str">
        <f t="shared" si="5"/>
        <v>2024-Q2</v>
      </c>
      <c r="T64" s="63" t="str">
        <f t="shared" si="6"/>
        <v>2024-06</v>
      </c>
      <c r="U64" s="64" t="str">
        <f t="shared" si="7"/>
        <v>2024-H1</v>
      </c>
      <c r="V64" s="9" t="str">
        <f>VLOOKUP(B64,Bounties!A:E,2,FALSE)</f>
        <v>System Parachains Collator Bounty</v>
      </c>
    </row>
    <row r="65" hidden="1">
      <c r="A65" s="67">
        <f>HYPERLINK("https://polkadot.subsquare.io/treasury/child-bounties/1338", 1338)</f>
        <v>1338</v>
      </c>
      <c r="B65" s="1">
        <v>32.0</v>
      </c>
      <c r="C65" s="1" t="s">
        <v>2414</v>
      </c>
      <c r="D65" s="1" t="s">
        <v>892</v>
      </c>
      <c r="E65" s="5">
        <v>9.9342083802</v>
      </c>
      <c r="F65" s="4">
        <v>66.97362014468268</v>
      </c>
      <c r="G65" s="1" t="s">
        <v>2438</v>
      </c>
      <c r="H65" s="95">
        <v>45452.0</v>
      </c>
      <c r="I65" s="95">
        <v>45468.0</v>
      </c>
      <c r="J65" s="4">
        <v>62.401174347006304</v>
      </c>
      <c r="K65" s="1"/>
      <c r="L65" s="1"/>
      <c r="M65" s="1" t="str">
        <f>VLOOKUP(B65,Bounties!A:D,3,FALSE)</f>
        <v>Operations</v>
      </c>
      <c r="N65" s="1" t="str">
        <f>VLOOKUP(B65,Bounties!A:D,4,FALSE)</f>
        <v>RPCs and Nodes</v>
      </c>
      <c r="O65" s="1" t="str">
        <f t="shared" ref="O65:P65" si="69">IF(ISBLANK(K65),M65,K65)</f>
        <v>Operations</v>
      </c>
      <c r="P65" s="1" t="str">
        <f t="shared" si="69"/>
        <v>RPCs and Nodes</v>
      </c>
      <c r="Q65" s="61" t="str">
        <f t="shared" si="3"/>
        <v>2024</v>
      </c>
      <c r="R65" s="62">
        <f t="shared" si="4"/>
        <v>6</v>
      </c>
      <c r="S65" s="61" t="str">
        <f t="shared" si="5"/>
        <v>2024-Q2</v>
      </c>
      <c r="T65" s="63" t="str">
        <f t="shared" si="6"/>
        <v>2024-06</v>
      </c>
      <c r="U65" s="64" t="str">
        <f t="shared" si="7"/>
        <v>2024-H1</v>
      </c>
      <c r="V65" s="9" t="str">
        <f>VLOOKUP(B65,Bounties!A:E,2,FALSE)</f>
        <v>System Parachains Collator Bounty</v>
      </c>
    </row>
    <row r="66" hidden="1">
      <c r="A66" s="67">
        <f>HYPERLINK("https://polkadot.subsquare.io/treasury/child-bounties/1337", 1337)</f>
        <v>1337</v>
      </c>
      <c r="B66" s="1">
        <v>32.0</v>
      </c>
      <c r="C66" s="1" t="s">
        <v>2460</v>
      </c>
      <c r="D66" s="1" t="s">
        <v>2464</v>
      </c>
      <c r="E66" s="5">
        <v>50.1259896082</v>
      </c>
      <c r="F66" s="4">
        <v>337.9352293522467</v>
      </c>
      <c r="G66" s="1" t="s">
        <v>2465</v>
      </c>
      <c r="H66" s="95">
        <v>45452.0</v>
      </c>
      <c r="I66" s="95">
        <v>45452.0</v>
      </c>
      <c r="J66" s="4">
        <v>337.9352293522467</v>
      </c>
      <c r="K66" s="1"/>
      <c r="L66" s="1"/>
      <c r="M66" s="1" t="str">
        <f>VLOOKUP(B66,Bounties!A:D,3,FALSE)</f>
        <v>Operations</v>
      </c>
      <c r="N66" s="1" t="str">
        <f>VLOOKUP(B66,Bounties!A:D,4,FALSE)</f>
        <v>RPCs and Nodes</v>
      </c>
      <c r="O66" s="1" t="str">
        <f t="shared" ref="O66:P66" si="70">IF(ISBLANK(K66),M66,K66)</f>
        <v>Operations</v>
      </c>
      <c r="P66" s="1" t="str">
        <f t="shared" si="70"/>
        <v>RPCs and Nodes</v>
      </c>
      <c r="Q66" s="61" t="str">
        <f t="shared" si="3"/>
        <v>2024</v>
      </c>
      <c r="R66" s="62">
        <f t="shared" si="4"/>
        <v>6</v>
      </c>
      <c r="S66" s="61" t="str">
        <f t="shared" si="5"/>
        <v>2024-Q2</v>
      </c>
      <c r="T66" s="63" t="str">
        <f t="shared" si="6"/>
        <v>2024-06</v>
      </c>
      <c r="U66" s="64" t="str">
        <f t="shared" si="7"/>
        <v>2024-H1</v>
      </c>
      <c r="V66" s="9" t="str">
        <f>VLOOKUP(B66,Bounties!A:E,2,FALSE)</f>
        <v>System Parachains Collator Bounty</v>
      </c>
    </row>
    <row r="67" hidden="1">
      <c r="A67" s="67">
        <f>HYPERLINK("https://polkadot.subsquare.io/treasury/child-bounties/1336", 1336)</f>
        <v>1336</v>
      </c>
      <c r="B67" s="1">
        <v>32.0</v>
      </c>
      <c r="C67" s="1" t="s">
        <v>2414</v>
      </c>
      <c r="D67" s="1" t="s">
        <v>891</v>
      </c>
      <c r="E67" s="5">
        <v>56.8945180315</v>
      </c>
      <c r="F67" s="4">
        <v>383.56673155267225</v>
      </c>
      <c r="G67" s="1" t="s">
        <v>2443</v>
      </c>
      <c r="H67" s="95">
        <v>45452.0</v>
      </c>
      <c r="I67" s="95">
        <v>45461.0</v>
      </c>
      <c r="J67" s="4">
        <v>319.2386709719507</v>
      </c>
      <c r="K67" s="1"/>
      <c r="L67" s="1"/>
      <c r="M67" s="1" t="str">
        <f>VLOOKUP(B67,Bounties!A:D,3,FALSE)</f>
        <v>Operations</v>
      </c>
      <c r="N67" s="1" t="str">
        <f>VLOOKUP(B67,Bounties!A:D,4,FALSE)</f>
        <v>RPCs and Nodes</v>
      </c>
      <c r="O67" s="1" t="str">
        <f t="shared" ref="O67:P67" si="71">IF(ISBLANK(K67),M67,K67)</f>
        <v>Operations</v>
      </c>
      <c r="P67" s="1" t="str">
        <f t="shared" si="71"/>
        <v>RPCs and Nodes</v>
      </c>
      <c r="Q67" s="61" t="str">
        <f t="shared" si="3"/>
        <v>2024</v>
      </c>
      <c r="R67" s="62">
        <f t="shared" si="4"/>
        <v>6</v>
      </c>
      <c r="S67" s="61" t="str">
        <f t="shared" si="5"/>
        <v>2024-Q2</v>
      </c>
      <c r="T67" s="63" t="str">
        <f t="shared" si="6"/>
        <v>2024-06</v>
      </c>
      <c r="U67" s="64" t="str">
        <f t="shared" si="7"/>
        <v>2024-H1</v>
      </c>
      <c r="V67" s="9" t="str">
        <f>VLOOKUP(B67,Bounties!A:E,2,FALSE)</f>
        <v>System Parachains Collator Bounty</v>
      </c>
    </row>
    <row r="68" hidden="1">
      <c r="A68" s="67">
        <f>HYPERLINK("https://polkadot.subsquare.io/treasury/child-bounties/1335", 1335)</f>
        <v>1335</v>
      </c>
      <c r="B68" s="1">
        <v>32.0</v>
      </c>
      <c r="C68" s="1" t="s">
        <v>2460</v>
      </c>
      <c r="D68" s="1" t="s">
        <v>2466</v>
      </c>
      <c r="E68" s="5">
        <v>55.8730534287</v>
      </c>
      <c r="F68" s="4">
        <v>376.68030641632043</v>
      </c>
      <c r="G68" s="1" t="s">
        <v>2439</v>
      </c>
      <c r="H68" s="95">
        <v>45452.0</v>
      </c>
      <c r="I68" s="95">
        <v>45452.0</v>
      </c>
      <c r="J68" s="4">
        <v>376.68030641632043</v>
      </c>
      <c r="K68" s="1"/>
      <c r="L68" s="1"/>
      <c r="M68" s="1" t="str">
        <f>VLOOKUP(B68,Bounties!A:D,3,FALSE)</f>
        <v>Operations</v>
      </c>
      <c r="N68" s="1" t="str">
        <f>VLOOKUP(B68,Bounties!A:D,4,FALSE)</f>
        <v>RPCs and Nodes</v>
      </c>
      <c r="O68" s="1" t="str">
        <f t="shared" ref="O68:P68" si="72">IF(ISBLANK(K68),M68,K68)</f>
        <v>Operations</v>
      </c>
      <c r="P68" s="1" t="str">
        <f t="shared" si="72"/>
        <v>RPCs and Nodes</v>
      </c>
      <c r="Q68" s="61" t="str">
        <f t="shared" si="3"/>
        <v>2024</v>
      </c>
      <c r="R68" s="62">
        <f t="shared" si="4"/>
        <v>6</v>
      </c>
      <c r="S68" s="61" t="str">
        <f t="shared" si="5"/>
        <v>2024-Q2</v>
      </c>
      <c r="T68" s="63" t="str">
        <f t="shared" si="6"/>
        <v>2024-06</v>
      </c>
      <c r="U68" s="64" t="str">
        <f t="shared" si="7"/>
        <v>2024-H1</v>
      </c>
      <c r="V68" s="9" t="str">
        <f>VLOOKUP(B68,Bounties!A:E,2,FALSE)</f>
        <v>System Parachains Collator Bounty</v>
      </c>
    </row>
    <row r="69" hidden="1">
      <c r="A69" s="67">
        <f>HYPERLINK("https://polkadot.subsquare.io/treasury/child-bounties/1334", 1334)</f>
        <v>1334</v>
      </c>
      <c r="B69" s="1">
        <v>32.0</v>
      </c>
      <c r="C69" s="1" t="s">
        <v>2414</v>
      </c>
      <c r="D69" s="1" t="s">
        <v>890</v>
      </c>
      <c r="E69" s="5">
        <v>41.8751081741</v>
      </c>
      <c r="F69" s="4">
        <v>282.3101228638822</v>
      </c>
      <c r="G69" s="1" t="s">
        <v>2459</v>
      </c>
      <c r="H69" s="95">
        <v>45452.0</v>
      </c>
      <c r="I69" s="95">
        <v>45460.0</v>
      </c>
      <c r="J69" s="4">
        <v>236.20781226202232</v>
      </c>
      <c r="K69" s="1"/>
      <c r="L69" s="1"/>
      <c r="M69" s="1" t="str">
        <f>VLOOKUP(B69,Bounties!A:D,3,FALSE)</f>
        <v>Operations</v>
      </c>
      <c r="N69" s="1" t="str">
        <f>VLOOKUP(B69,Bounties!A:D,4,FALSE)</f>
        <v>RPCs and Nodes</v>
      </c>
      <c r="O69" s="1" t="str">
        <f t="shared" ref="O69:P69" si="73">IF(ISBLANK(K69),M69,K69)</f>
        <v>Operations</v>
      </c>
      <c r="P69" s="1" t="str">
        <f t="shared" si="73"/>
        <v>RPCs and Nodes</v>
      </c>
      <c r="Q69" s="61" t="str">
        <f t="shared" si="3"/>
        <v>2024</v>
      </c>
      <c r="R69" s="62">
        <f t="shared" si="4"/>
        <v>6</v>
      </c>
      <c r="S69" s="61" t="str">
        <f t="shared" si="5"/>
        <v>2024-Q2</v>
      </c>
      <c r="T69" s="63" t="str">
        <f t="shared" si="6"/>
        <v>2024-06</v>
      </c>
      <c r="U69" s="64" t="str">
        <f t="shared" si="7"/>
        <v>2024-H1</v>
      </c>
      <c r="V69" s="9" t="str">
        <f>VLOOKUP(B69,Bounties!A:E,2,FALSE)</f>
        <v>System Parachains Collator Bounty</v>
      </c>
    </row>
    <row r="70" hidden="1">
      <c r="A70" s="67">
        <f>HYPERLINK("https://polkadot.subsquare.io/treasury/child-bounties/1333", 1333)</f>
        <v>1333</v>
      </c>
      <c r="B70" s="1">
        <v>32.0</v>
      </c>
      <c r="C70" s="1" t="s">
        <v>2460</v>
      </c>
      <c r="D70" s="1" t="s">
        <v>2467</v>
      </c>
      <c r="E70" s="5">
        <v>41.9976186057</v>
      </c>
      <c r="F70" s="4">
        <v>283.13605350633713</v>
      </c>
      <c r="G70" s="1" t="s">
        <v>2441</v>
      </c>
      <c r="H70" s="95">
        <v>45452.0</v>
      </c>
      <c r="I70" s="95">
        <v>45452.0</v>
      </c>
      <c r="J70" s="4">
        <v>283.13605350633713</v>
      </c>
      <c r="K70" s="1"/>
      <c r="L70" s="1"/>
      <c r="M70" s="1" t="str">
        <f>VLOOKUP(B70,Bounties!A:D,3,FALSE)</f>
        <v>Operations</v>
      </c>
      <c r="N70" s="1" t="str">
        <f>VLOOKUP(B70,Bounties!A:D,4,FALSE)</f>
        <v>RPCs and Nodes</v>
      </c>
      <c r="O70" s="1" t="str">
        <f t="shared" ref="O70:P70" si="74">IF(ISBLANK(K70),M70,K70)</f>
        <v>Operations</v>
      </c>
      <c r="P70" s="1" t="str">
        <f t="shared" si="74"/>
        <v>RPCs and Nodes</v>
      </c>
      <c r="Q70" s="61" t="str">
        <f t="shared" si="3"/>
        <v>2024</v>
      </c>
      <c r="R70" s="62">
        <f t="shared" si="4"/>
        <v>6</v>
      </c>
      <c r="S70" s="61" t="str">
        <f t="shared" si="5"/>
        <v>2024-Q2</v>
      </c>
      <c r="T70" s="63" t="str">
        <f t="shared" si="6"/>
        <v>2024-06</v>
      </c>
      <c r="U70" s="64" t="str">
        <f t="shared" si="7"/>
        <v>2024-H1</v>
      </c>
      <c r="V70" s="9" t="str">
        <f>VLOOKUP(B70,Bounties!A:E,2,FALSE)</f>
        <v>System Parachains Collator Bounty</v>
      </c>
    </row>
    <row r="71" hidden="1">
      <c r="A71" s="67">
        <f>HYPERLINK("https://polkadot.subsquare.io/treasury/child-bounties/1332", 1332)</f>
        <v>1332</v>
      </c>
      <c r="B71" s="1">
        <v>32.0</v>
      </c>
      <c r="C71" s="1" t="s">
        <v>2460</v>
      </c>
      <c r="D71" s="1" t="s">
        <v>2468</v>
      </c>
      <c r="E71" s="5">
        <v>41.2312767568</v>
      </c>
      <c r="F71" s="4">
        <v>277.9695937417626</v>
      </c>
      <c r="G71" s="1" t="s">
        <v>2469</v>
      </c>
      <c r="H71" s="95">
        <v>45452.0</v>
      </c>
      <c r="I71" s="95">
        <v>45452.0</v>
      </c>
      <c r="J71" s="4">
        <v>277.9695937417626</v>
      </c>
      <c r="K71" s="1"/>
      <c r="L71" s="1"/>
      <c r="M71" s="1" t="str">
        <f>VLOOKUP(B71,Bounties!A:D,3,FALSE)</f>
        <v>Operations</v>
      </c>
      <c r="N71" s="1" t="str">
        <f>VLOOKUP(B71,Bounties!A:D,4,FALSE)</f>
        <v>RPCs and Nodes</v>
      </c>
      <c r="O71" s="1" t="str">
        <f t="shared" ref="O71:P71" si="75">IF(ISBLANK(K71),M71,K71)</f>
        <v>Operations</v>
      </c>
      <c r="P71" s="1" t="str">
        <f t="shared" si="75"/>
        <v>RPCs and Nodes</v>
      </c>
      <c r="Q71" s="61" t="str">
        <f t="shared" si="3"/>
        <v>2024</v>
      </c>
      <c r="R71" s="62">
        <f t="shared" si="4"/>
        <v>6</v>
      </c>
      <c r="S71" s="61" t="str">
        <f t="shared" si="5"/>
        <v>2024-Q2</v>
      </c>
      <c r="T71" s="63" t="str">
        <f t="shared" si="6"/>
        <v>2024-06</v>
      </c>
      <c r="U71" s="64" t="str">
        <f t="shared" si="7"/>
        <v>2024-H1</v>
      </c>
      <c r="V71" s="9" t="str">
        <f>VLOOKUP(B71,Bounties!A:E,2,FALSE)</f>
        <v>System Parachains Collator Bounty</v>
      </c>
    </row>
    <row r="72" hidden="1">
      <c r="A72" s="67">
        <f>HYPERLINK("https://polkadot.subsquare.io/treasury/child-bounties/1331", 1331)</f>
        <v>1331</v>
      </c>
      <c r="B72" s="1">
        <v>32.0</v>
      </c>
      <c r="C72" s="1" t="s">
        <v>2460</v>
      </c>
      <c r="D72" s="1" t="s">
        <v>2470</v>
      </c>
      <c r="E72" s="5">
        <v>38.56732652</v>
      </c>
      <c r="F72" s="4">
        <v>260.0099955115321</v>
      </c>
      <c r="G72" s="1" t="s">
        <v>2471</v>
      </c>
      <c r="H72" s="95">
        <v>45452.0</v>
      </c>
      <c r="I72" s="95">
        <v>45452.0</v>
      </c>
      <c r="J72" s="4">
        <v>260.0099955115321</v>
      </c>
      <c r="K72" s="1"/>
      <c r="L72" s="1"/>
      <c r="M72" s="1" t="str">
        <f>VLOOKUP(B72,Bounties!A:D,3,FALSE)</f>
        <v>Operations</v>
      </c>
      <c r="N72" s="1" t="str">
        <f>VLOOKUP(B72,Bounties!A:D,4,FALSE)</f>
        <v>RPCs and Nodes</v>
      </c>
      <c r="O72" s="1" t="str">
        <f t="shared" ref="O72:P72" si="76">IF(ISBLANK(K72),M72,K72)</f>
        <v>Operations</v>
      </c>
      <c r="P72" s="1" t="str">
        <f t="shared" si="76"/>
        <v>RPCs and Nodes</v>
      </c>
      <c r="Q72" s="61" t="str">
        <f t="shared" si="3"/>
        <v>2024</v>
      </c>
      <c r="R72" s="62">
        <f t="shared" si="4"/>
        <v>6</v>
      </c>
      <c r="S72" s="61" t="str">
        <f t="shared" si="5"/>
        <v>2024-Q2</v>
      </c>
      <c r="T72" s="63" t="str">
        <f t="shared" si="6"/>
        <v>2024-06</v>
      </c>
      <c r="U72" s="64" t="str">
        <f t="shared" si="7"/>
        <v>2024-H1</v>
      </c>
      <c r="V72" s="9" t="str">
        <f>VLOOKUP(B72,Bounties!A:E,2,FALSE)</f>
        <v>System Parachains Collator Bounty</v>
      </c>
    </row>
    <row r="73" hidden="1">
      <c r="A73" s="67">
        <f>HYPERLINK("https://polkadot.subsquare.io/treasury/child-bounties/1330", 1330)</f>
        <v>1330</v>
      </c>
      <c r="B73" s="1">
        <v>32.0</v>
      </c>
      <c r="C73" s="1" t="s">
        <v>2414</v>
      </c>
      <c r="D73" s="1" t="s">
        <v>889</v>
      </c>
      <c r="E73" s="5">
        <v>42.0445374944</v>
      </c>
      <c r="F73" s="4">
        <v>283.4523673694193</v>
      </c>
      <c r="G73" s="1" t="s">
        <v>2442</v>
      </c>
      <c r="H73" s="95">
        <v>45452.0</v>
      </c>
      <c r="I73" s="95">
        <v>45461.0</v>
      </c>
      <c r="J73" s="4">
        <v>235.91450873898427</v>
      </c>
      <c r="K73" s="1"/>
      <c r="L73" s="1"/>
      <c r="M73" s="1" t="str">
        <f>VLOOKUP(B73,Bounties!A:D,3,FALSE)</f>
        <v>Operations</v>
      </c>
      <c r="N73" s="1" t="str">
        <f>VLOOKUP(B73,Bounties!A:D,4,FALSE)</f>
        <v>RPCs and Nodes</v>
      </c>
      <c r="O73" s="1" t="str">
        <f t="shared" ref="O73:P73" si="77">IF(ISBLANK(K73),M73,K73)</f>
        <v>Operations</v>
      </c>
      <c r="P73" s="1" t="str">
        <f t="shared" si="77"/>
        <v>RPCs and Nodes</v>
      </c>
      <c r="Q73" s="61" t="str">
        <f t="shared" si="3"/>
        <v>2024</v>
      </c>
      <c r="R73" s="62">
        <f t="shared" si="4"/>
        <v>6</v>
      </c>
      <c r="S73" s="61" t="str">
        <f t="shared" si="5"/>
        <v>2024-Q2</v>
      </c>
      <c r="T73" s="63" t="str">
        <f t="shared" si="6"/>
        <v>2024-06</v>
      </c>
      <c r="U73" s="64" t="str">
        <f t="shared" si="7"/>
        <v>2024-H1</v>
      </c>
      <c r="V73" s="9" t="str">
        <f>VLOOKUP(B73,Bounties!A:E,2,FALSE)</f>
        <v>System Parachains Collator Bounty</v>
      </c>
    </row>
    <row r="74" hidden="1">
      <c r="A74" s="67">
        <f>HYPERLINK("https://polkadot.subsquare.io/treasury/child-bounties/1329", 1329)</f>
        <v>1329</v>
      </c>
      <c r="B74" s="1">
        <v>32.0</v>
      </c>
      <c r="C74" s="1" t="s">
        <v>2460</v>
      </c>
      <c r="D74" s="1" t="s">
        <v>2472</v>
      </c>
      <c r="E74" s="5">
        <v>57.1737419195</v>
      </c>
      <c r="F74" s="4">
        <v>385.44917994659824</v>
      </c>
      <c r="G74" s="1" t="s">
        <v>2473</v>
      </c>
      <c r="H74" s="95">
        <v>45452.0</v>
      </c>
      <c r="I74" s="95">
        <v>45452.0</v>
      </c>
      <c r="J74" s="4">
        <v>385.44917994659824</v>
      </c>
      <c r="K74" s="1"/>
      <c r="L74" s="1"/>
      <c r="M74" s="1" t="str">
        <f>VLOOKUP(B74,Bounties!A:D,3,FALSE)</f>
        <v>Operations</v>
      </c>
      <c r="N74" s="1" t="str">
        <f>VLOOKUP(B74,Bounties!A:D,4,FALSE)</f>
        <v>RPCs and Nodes</v>
      </c>
      <c r="O74" s="1" t="str">
        <f t="shared" ref="O74:P74" si="78">IF(ISBLANK(K74),M74,K74)</f>
        <v>Operations</v>
      </c>
      <c r="P74" s="1" t="str">
        <f t="shared" si="78"/>
        <v>RPCs and Nodes</v>
      </c>
      <c r="Q74" s="61" t="str">
        <f t="shared" si="3"/>
        <v>2024</v>
      </c>
      <c r="R74" s="62">
        <f t="shared" si="4"/>
        <v>6</v>
      </c>
      <c r="S74" s="61" t="str">
        <f t="shared" si="5"/>
        <v>2024-Q2</v>
      </c>
      <c r="T74" s="63" t="str">
        <f t="shared" si="6"/>
        <v>2024-06</v>
      </c>
      <c r="U74" s="64" t="str">
        <f t="shared" si="7"/>
        <v>2024-H1</v>
      </c>
      <c r="V74" s="9" t="str">
        <f>VLOOKUP(B74,Bounties!A:E,2,FALSE)</f>
        <v>System Parachains Collator Bounty</v>
      </c>
    </row>
    <row r="75" hidden="1">
      <c r="A75" s="67">
        <f>HYPERLINK("https://polkadot.subsquare.io/treasury/child-bounties/1328", 1328)</f>
        <v>1328</v>
      </c>
      <c r="B75" s="1">
        <v>32.0</v>
      </c>
      <c r="C75" s="1" t="s">
        <v>2460</v>
      </c>
      <c r="D75" s="1" t="s">
        <v>2474</v>
      </c>
      <c r="E75" s="5">
        <v>50.232023996</v>
      </c>
      <c r="F75" s="4">
        <v>338.6500831724007</v>
      </c>
      <c r="G75" s="1" t="s">
        <v>2475</v>
      </c>
      <c r="H75" s="95">
        <v>45452.0</v>
      </c>
      <c r="I75" s="95">
        <v>45452.0</v>
      </c>
      <c r="J75" s="4">
        <v>338.6500831724007</v>
      </c>
      <c r="K75" s="1"/>
      <c r="L75" s="1"/>
      <c r="M75" s="1" t="str">
        <f>VLOOKUP(B75,Bounties!A:D,3,FALSE)</f>
        <v>Operations</v>
      </c>
      <c r="N75" s="1" t="str">
        <f>VLOOKUP(B75,Bounties!A:D,4,FALSE)</f>
        <v>RPCs and Nodes</v>
      </c>
      <c r="O75" s="1" t="str">
        <f t="shared" ref="O75:P75" si="79">IF(ISBLANK(K75),M75,K75)</f>
        <v>Operations</v>
      </c>
      <c r="P75" s="1" t="str">
        <f t="shared" si="79"/>
        <v>RPCs and Nodes</v>
      </c>
      <c r="Q75" s="61" t="str">
        <f t="shared" si="3"/>
        <v>2024</v>
      </c>
      <c r="R75" s="62">
        <f t="shared" si="4"/>
        <v>6</v>
      </c>
      <c r="S75" s="61" t="str">
        <f t="shared" si="5"/>
        <v>2024-Q2</v>
      </c>
      <c r="T75" s="63" t="str">
        <f t="shared" si="6"/>
        <v>2024-06</v>
      </c>
      <c r="U75" s="64" t="str">
        <f t="shared" si="7"/>
        <v>2024-H1</v>
      </c>
      <c r="V75" s="9" t="str">
        <f>VLOOKUP(B75,Bounties!A:E,2,FALSE)</f>
        <v>System Parachains Collator Bounty</v>
      </c>
    </row>
    <row r="76" hidden="1">
      <c r="A76" s="67">
        <f>HYPERLINK("https://polkadot.subsquare.io/treasury/child-bounties/1327", 1327)</f>
        <v>1327</v>
      </c>
      <c r="B76" s="1">
        <v>32.0</v>
      </c>
      <c r="C76" s="1" t="s">
        <v>2414</v>
      </c>
      <c r="D76" s="1" t="s">
        <v>888</v>
      </c>
      <c r="E76" s="5">
        <v>57.0429661745</v>
      </c>
      <c r="F76" s="4">
        <v>384.56752690142713</v>
      </c>
      <c r="G76" s="1" t="s">
        <v>2445</v>
      </c>
      <c r="H76" s="95">
        <v>45452.0</v>
      </c>
      <c r="I76" s="95">
        <v>45462.0</v>
      </c>
      <c r="J76" s="4">
        <v>320.07162271351103</v>
      </c>
      <c r="K76" s="1"/>
      <c r="L76" s="1"/>
      <c r="M76" s="1" t="str">
        <f>VLOOKUP(B76,Bounties!A:D,3,FALSE)</f>
        <v>Operations</v>
      </c>
      <c r="N76" s="1" t="str">
        <f>VLOOKUP(B76,Bounties!A:D,4,FALSE)</f>
        <v>RPCs and Nodes</v>
      </c>
      <c r="O76" s="1" t="str">
        <f t="shared" ref="O76:P76" si="80">IF(ISBLANK(K76),M76,K76)</f>
        <v>Operations</v>
      </c>
      <c r="P76" s="1" t="str">
        <f t="shared" si="80"/>
        <v>RPCs and Nodes</v>
      </c>
      <c r="Q76" s="61" t="str">
        <f t="shared" si="3"/>
        <v>2024</v>
      </c>
      <c r="R76" s="62">
        <f t="shared" si="4"/>
        <v>6</v>
      </c>
      <c r="S76" s="61" t="str">
        <f t="shared" si="5"/>
        <v>2024-Q2</v>
      </c>
      <c r="T76" s="63" t="str">
        <f t="shared" si="6"/>
        <v>2024-06</v>
      </c>
      <c r="U76" s="64" t="str">
        <f t="shared" si="7"/>
        <v>2024-H1</v>
      </c>
      <c r="V76" s="9" t="str">
        <f>VLOOKUP(B76,Bounties!A:E,2,FALSE)</f>
        <v>System Parachains Collator Bounty</v>
      </c>
    </row>
    <row r="77" hidden="1">
      <c r="A77" s="67">
        <f>HYPERLINK("https://polkadot.subsquare.io/treasury/child-bounties/1326", 1326)</f>
        <v>1326</v>
      </c>
      <c r="B77" s="1">
        <v>32.0</v>
      </c>
      <c r="C77" s="1" t="s">
        <v>2414</v>
      </c>
      <c r="D77" s="1" t="s">
        <v>887</v>
      </c>
      <c r="E77" s="5">
        <v>57.0712420112</v>
      </c>
      <c r="F77" s="4">
        <v>384.75815458648685</v>
      </c>
      <c r="G77" s="1" t="s">
        <v>2444</v>
      </c>
      <c r="H77" s="95">
        <v>45452.0</v>
      </c>
      <c r="I77" s="95">
        <v>45462.0</v>
      </c>
      <c r="J77" s="4">
        <v>320.2302801877466</v>
      </c>
      <c r="K77" s="1"/>
      <c r="L77" s="1"/>
      <c r="M77" s="1" t="str">
        <f>VLOOKUP(B77,Bounties!A:D,3,FALSE)</f>
        <v>Operations</v>
      </c>
      <c r="N77" s="1" t="str">
        <f>VLOOKUP(B77,Bounties!A:D,4,FALSE)</f>
        <v>RPCs and Nodes</v>
      </c>
      <c r="O77" s="1" t="str">
        <f t="shared" ref="O77:P77" si="81">IF(ISBLANK(K77),M77,K77)</f>
        <v>Operations</v>
      </c>
      <c r="P77" s="1" t="str">
        <f t="shared" si="81"/>
        <v>RPCs and Nodes</v>
      </c>
      <c r="Q77" s="61" t="str">
        <f t="shared" si="3"/>
        <v>2024</v>
      </c>
      <c r="R77" s="62">
        <f t="shared" si="4"/>
        <v>6</v>
      </c>
      <c r="S77" s="61" t="str">
        <f t="shared" si="5"/>
        <v>2024-Q2</v>
      </c>
      <c r="T77" s="63" t="str">
        <f t="shared" si="6"/>
        <v>2024-06</v>
      </c>
      <c r="U77" s="64" t="str">
        <f t="shared" si="7"/>
        <v>2024-H1</v>
      </c>
      <c r="V77" s="9" t="str">
        <f>VLOOKUP(B77,Bounties!A:E,2,FALSE)</f>
        <v>System Parachains Collator Bounty</v>
      </c>
    </row>
    <row r="78" hidden="1">
      <c r="A78" s="67">
        <f>HYPERLINK("https://polkadot.subsquare.io/treasury/child-bounties/1325", 1325)</f>
        <v>1325</v>
      </c>
      <c r="B78" s="1">
        <v>32.0</v>
      </c>
      <c r="C78" s="1" t="s">
        <v>2414</v>
      </c>
      <c r="D78" s="1" t="s">
        <v>886</v>
      </c>
      <c r="E78" s="5">
        <v>5.9231000904</v>
      </c>
      <c r="F78" s="4">
        <v>39.93186375313368</v>
      </c>
      <c r="G78" s="1" t="s">
        <v>2442</v>
      </c>
      <c r="H78" s="95">
        <v>45452.0</v>
      </c>
      <c r="I78" s="95">
        <v>45461.0</v>
      </c>
      <c r="J78" s="4">
        <v>33.23488213479967</v>
      </c>
      <c r="K78" s="1"/>
      <c r="L78" s="1"/>
      <c r="M78" s="1" t="str">
        <f>VLOOKUP(B78,Bounties!A:D,3,FALSE)</f>
        <v>Operations</v>
      </c>
      <c r="N78" s="1" t="str">
        <f>VLOOKUP(B78,Bounties!A:D,4,FALSE)</f>
        <v>RPCs and Nodes</v>
      </c>
      <c r="O78" s="1" t="str">
        <f t="shared" ref="O78:P78" si="82">IF(ISBLANK(K78),M78,K78)</f>
        <v>Operations</v>
      </c>
      <c r="P78" s="1" t="str">
        <f t="shared" si="82"/>
        <v>RPCs and Nodes</v>
      </c>
      <c r="Q78" s="61" t="str">
        <f t="shared" si="3"/>
        <v>2024</v>
      </c>
      <c r="R78" s="62">
        <f t="shared" si="4"/>
        <v>6</v>
      </c>
      <c r="S78" s="61" t="str">
        <f t="shared" si="5"/>
        <v>2024-Q2</v>
      </c>
      <c r="T78" s="63" t="str">
        <f t="shared" si="6"/>
        <v>2024-06</v>
      </c>
      <c r="U78" s="64" t="str">
        <f t="shared" si="7"/>
        <v>2024-H1</v>
      </c>
      <c r="V78" s="9" t="str">
        <f>VLOOKUP(B78,Bounties!A:E,2,FALSE)</f>
        <v>System Parachains Collator Bounty</v>
      </c>
    </row>
    <row r="79" hidden="1">
      <c r="A79" s="67">
        <f>HYPERLINK("https://polkadot.subsquare.io/treasury/child-bounties/1324", 1324)</f>
        <v>1324</v>
      </c>
      <c r="B79" s="1">
        <v>11.0</v>
      </c>
      <c r="C79" s="1" t="s">
        <v>2414</v>
      </c>
      <c r="D79" s="1" t="s">
        <v>885</v>
      </c>
      <c r="E79" s="5">
        <v>19.0</v>
      </c>
      <c r="F79" s="4">
        <v>121.21804523468018</v>
      </c>
      <c r="G79" s="1" t="s">
        <v>2438</v>
      </c>
      <c r="H79" s="95">
        <v>45451.0</v>
      </c>
      <c r="I79" s="95">
        <v>45461.0</v>
      </c>
      <c r="J79" s="4">
        <v>106.61017894744873</v>
      </c>
      <c r="K79" s="1"/>
      <c r="L79" s="1"/>
      <c r="M79" s="1" t="str">
        <f>VLOOKUP(B79,Bounties!A:D,3,FALSE)</f>
        <v>Research</v>
      </c>
      <c r="N79" s="1" t="str">
        <f>VLOOKUP(B79,Bounties!A:D,4,FALSE)</f>
        <v>Anti-Scam</v>
      </c>
      <c r="O79" s="1" t="str">
        <f t="shared" ref="O79:P79" si="83">IF(ISBLANK(K79),M79,K79)</f>
        <v>Research</v>
      </c>
      <c r="P79" s="1" t="str">
        <f t="shared" si="83"/>
        <v>Anti-Scam</v>
      </c>
      <c r="Q79" s="61" t="str">
        <f t="shared" si="3"/>
        <v>2024</v>
      </c>
      <c r="R79" s="62">
        <f t="shared" si="4"/>
        <v>6</v>
      </c>
      <c r="S79" s="61" t="str">
        <f t="shared" si="5"/>
        <v>2024-Q2</v>
      </c>
      <c r="T79" s="63" t="str">
        <f t="shared" si="6"/>
        <v>2024-06</v>
      </c>
      <c r="U79" s="64" t="str">
        <f t="shared" si="7"/>
        <v>2024-H1</v>
      </c>
      <c r="V79" s="9" t="str">
        <f>VLOOKUP(B79,Bounties!A:E,2,FALSE)</f>
        <v>Anti-Scam Bounty</v>
      </c>
    </row>
    <row r="80" hidden="1">
      <c r="A80" s="67">
        <f>HYPERLINK("https://polkadot.subsquare.io/treasury/child-bounties/1323", 1323)</f>
        <v>1323</v>
      </c>
      <c r="B80" s="1">
        <v>50.0</v>
      </c>
      <c r="C80" s="1" t="s">
        <v>2460</v>
      </c>
      <c r="D80" s="1" t="s">
        <v>2476</v>
      </c>
      <c r="E80" s="5">
        <v>1583.16</v>
      </c>
      <c r="F80" s="4">
        <v>10100.397920722962</v>
      </c>
      <c r="G80" s="1" t="s">
        <v>2477</v>
      </c>
      <c r="H80" s="95">
        <v>45451.0</v>
      </c>
      <c r="I80" s="95">
        <v>45451.0</v>
      </c>
      <c r="J80" s="4">
        <v>10100.397920722962</v>
      </c>
      <c r="K80" s="1"/>
      <c r="L80" s="1"/>
      <c r="M80" s="1" t="str">
        <f>VLOOKUP(B80,Bounties!A:D,3,FALSE)</f>
        <v>Operations</v>
      </c>
      <c r="N80" s="1" t="str">
        <f>VLOOKUP(B80,Bounties!A:D,4,FALSE)</f>
        <v>RPCs and Nodes</v>
      </c>
      <c r="O80" s="1" t="str">
        <f t="shared" ref="O80:P80" si="84">IF(ISBLANK(K80),M80,K80)</f>
        <v>Operations</v>
      </c>
      <c r="P80" s="1" t="str">
        <f t="shared" si="84"/>
        <v>RPCs and Nodes</v>
      </c>
      <c r="Q80" s="61" t="str">
        <f t="shared" si="3"/>
        <v>2024</v>
      </c>
      <c r="R80" s="62">
        <f t="shared" si="4"/>
        <v>6</v>
      </c>
      <c r="S80" s="61" t="str">
        <f t="shared" si="5"/>
        <v>2024-Q2</v>
      </c>
      <c r="T80" s="63" t="str">
        <f t="shared" si="6"/>
        <v>2024-06</v>
      </c>
      <c r="U80" s="64" t="str">
        <f t="shared" si="7"/>
        <v>2024-H1</v>
      </c>
      <c r="V80" s="9" t="str">
        <f>VLOOKUP(B80,Bounties!A:E,2,FALSE)</f>
        <v>Infrastructure Builders Program</v>
      </c>
    </row>
    <row r="81" hidden="1">
      <c r="A81" s="67">
        <f>HYPERLINK("https://polkadot.subsquare.io/treasury/child-bounties/1322", 1322)</f>
        <v>1322</v>
      </c>
      <c r="B81" s="1">
        <v>50.0</v>
      </c>
      <c r="C81" s="1" t="s">
        <v>2414</v>
      </c>
      <c r="D81" s="1" t="s">
        <v>884</v>
      </c>
      <c r="E81" s="5">
        <v>1851.79</v>
      </c>
      <c r="F81" s="4">
        <v>11814.229683427811</v>
      </c>
      <c r="G81" s="1" t="s">
        <v>2439</v>
      </c>
      <c r="H81" s="95">
        <v>45451.0</v>
      </c>
      <c r="I81" s="95">
        <v>45460.0</v>
      </c>
      <c r="J81" s="4">
        <v>10729.66358850956</v>
      </c>
      <c r="K81" s="1"/>
      <c r="L81" s="1"/>
      <c r="M81" s="1" t="str">
        <f>VLOOKUP(B81,Bounties!A:D,3,FALSE)</f>
        <v>Operations</v>
      </c>
      <c r="N81" s="1" t="str">
        <f>VLOOKUP(B81,Bounties!A:D,4,FALSE)</f>
        <v>RPCs and Nodes</v>
      </c>
      <c r="O81" s="1" t="str">
        <f t="shared" ref="O81:P81" si="85">IF(ISBLANK(K81),M81,K81)</f>
        <v>Operations</v>
      </c>
      <c r="P81" s="1" t="str">
        <f t="shared" si="85"/>
        <v>RPCs and Nodes</v>
      </c>
      <c r="Q81" s="61" t="str">
        <f t="shared" si="3"/>
        <v>2024</v>
      </c>
      <c r="R81" s="62">
        <f t="shared" si="4"/>
        <v>6</v>
      </c>
      <c r="S81" s="61" t="str">
        <f t="shared" si="5"/>
        <v>2024-Q2</v>
      </c>
      <c r="T81" s="63" t="str">
        <f t="shared" si="6"/>
        <v>2024-06</v>
      </c>
      <c r="U81" s="64" t="str">
        <f t="shared" si="7"/>
        <v>2024-H1</v>
      </c>
      <c r="V81" s="9" t="str">
        <f>VLOOKUP(B81,Bounties!A:E,2,FALSE)</f>
        <v>Infrastructure Builders Program</v>
      </c>
    </row>
    <row r="82" hidden="1">
      <c r="A82" s="67">
        <f>HYPERLINK("https://polkadot.subsquare.io/treasury/child-bounties/1321", 1321)</f>
        <v>1321</v>
      </c>
      <c r="B82" s="1">
        <v>50.0</v>
      </c>
      <c r="C82" s="1" t="s">
        <v>2414</v>
      </c>
      <c r="D82" s="1" t="s">
        <v>883</v>
      </c>
      <c r="E82" s="5">
        <v>1668.9</v>
      </c>
      <c r="F82" s="4">
        <v>10647.41029958725</v>
      </c>
      <c r="G82" s="1" t="s">
        <v>2478</v>
      </c>
      <c r="H82" s="95">
        <v>45451.0</v>
      </c>
      <c r="I82" s="95">
        <v>45461.0</v>
      </c>
      <c r="J82" s="4">
        <v>9413.879392147064</v>
      </c>
      <c r="K82" s="1"/>
      <c r="L82" s="1"/>
      <c r="M82" s="1" t="str">
        <f>VLOOKUP(B82,Bounties!A:D,3,FALSE)</f>
        <v>Operations</v>
      </c>
      <c r="N82" s="1" t="str">
        <f>VLOOKUP(B82,Bounties!A:D,4,FALSE)</f>
        <v>RPCs and Nodes</v>
      </c>
      <c r="O82" s="1" t="str">
        <f t="shared" ref="O82:P82" si="86">IF(ISBLANK(K82),M82,K82)</f>
        <v>Operations</v>
      </c>
      <c r="P82" s="1" t="str">
        <f t="shared" si="86"/>
        <v>RPCs and Nodes</v>
      </c>
      <c r="Q82" s="61" t="str">
        <f t="shared" si="3"/>
        <v>2024</v>
      </c>
      <c r="R82" s="62">
        <f t="shared" si="4"/>
        <v>6</v>
      </c>
      <c r="S82" s="61" t="str">
        <f t="shared" si="5"/>
        <v>2024-Q2</v>
      </c>
      <c r="T82" s="63" t="str">
        <f t="shared" si="6"/>
        <v>2024-06</v>
      </c>
      <c r="U82" s="64" t="str">
        <f t="shared" si="7"/>
        <v>2024-H1</v>
      </c>
      <c r="V82" s="9" t="str">
        <f>VLOOKUP(B82,Bounties!A:E,2,FALSE)</f>
        <v>Infrastructure Builders Program</v>
      </c>
    </row>
    <row r="83" hidden="1">
      <c r="A83" s="67">
        <f>HYPERLINK("https://polkadot.subsquare.io/treasury/child-bounties/1320", 1320)</f>
        <v>1320</v>
      </c>
      <c r="B83" s="1">
        <v>50.0</v>
      </c>
      <c r="C83" s="1" t="s">
        <v>2414</v>
      </c>
      <c r="D83" s="1" t="s">
        <v>882</v>
      </c>
      <c r="E83" s="5">
        <v>1668.9</v>
      </c>
      <c r="F83" s="4">
        <v>10647.41029958725</v>
      </c>
      <c r="G83" s="1" t="s">
        <v>2479</v>
      </c>
      <c r="H83" s="95">
        <v>45451.0</v>
      </c>
      <c r="I83" s="95">
        <v>45467.0</v>
      </c>
      <c r="J83" s="4">
        <v>9668.399629497528</v>
      </c>
      <c r="K83" s="1"/>
      <c r="L83" s="1"/>
      <c r="M83" s="1" t="str">
        <f>VLOOKUP(B83,Bounties!A:D,3,FALSE)</f>
        <v>Operations</v>
      </c>
      <c r="N83" s="1" t="str">
        <f>VLOOKUP(B83,Bounties!A:D,4,FALSE)</f>
        <v>RPCs and Nodes</v>
      </c>
      <c r="O83" s="1" t="str">
        <f t="shared" ref="O83:P83" si="87">IF(ISBLANK(K83),M83,K83)</f>
        <v>Operations</v>
      </c>
      <c r="P83" s="1" t="str">
        <f t="shared" si="87"/>
        <v>RPCs and Nodes</v>
      </c>
      <c r="Q83" s="61" t="str">
        <f t="shared" si="3"/>
        <v>2024</v>
      </c>
      <c r="R83" s="62">
        <f t="shared" si="4"/>
        <v>6</v>
      </c>
      <c r="S83" s="61" t="str">
        <f t="shared" si="5"/>
        <v>2024-Q2</v>
      </c>
      <c r="T83" s="63" t="str">
        <f t="shared" si="6"/>
        <v>2024-06</v>
      </c>
      <c r="U83" s="64" t="str">
        <f t="shared" si="7"/>
        <v>2024-H1</v>
      </c>
      <c r="V83" s="9" t="str">
        <f>VLOOKUP(B83,Bounties!A:E,2,FALSE)</f>
        <v>Infrastructure Builders Program</v>
      </c>
    </row>
    <row r="84" hidden="1">
      <c r="A84" s="67">
        <f>HYPERLINK("https://polkadot.subsquare.io/treasury/child-bounties/1319", 1319)</f>
        <v>1319</v>
      </c>
      <c r="B84" s="1">
        <v>50.0</v>
      </c>
      <c r="C84" s="1" t="s">
        <v>2414</v>
      </c>
      <c r="D84" s="1" t="s">
        <v>881</v>
      </c>
      <c r="E84" s="5">
        <v>1954.67</v>
      </c>
      <c r="F84" s="4">
        <v>12470.593498888016</v>
      </c>
      <c r="G84" s="1" t="s">
        <v>2480</v>
      </c>
      <c r="H84" s="95">
        <v>45451.0</v>
      </c>
      <c r="I84" s="95">
        <v>45459.0</v>
      </c>
      <c r="J84" s="4">
        <v>11325.772105126382</v>
      </c>
      <c r="K84" s="1"/>
      <c r="L84" s="1"/>
      <c r="M84" s="1" t="str">
        <f>VLOOKUP(B84,Bounties!A:D,3,FALSE)</f>
        <v>Operations</v>
      </c>
      <c r="N84" s="1" t="str">
        <f>VLOOKUP(B84,Bounties!A:D,4,FALSE)</f>
        <v>RPCs and Nodes</v>
      </c>
      <c r="O84" s="1" t="str">
        <f t="shared" ref="O84:P84" si="88">IF(ISBLANK(K84),M84,K84)</f>
        <v>Operations</v>
      </c>
      <c r="P84" s="1" t="str">
        <f t="shared" si="88"/>
        <v>RPCs and Nodes</v>
      </c>
      <c r="Q84" s="61" t="str">
        <f t="shared" si="3"/>
        <v>2024</v>
      </c>
      <c r="R84" s="62">
        <f t="shared" si="4"/>
        <v>6</v>
      </c>
      <c r="S84" s="61" t="str">
        <f t="shared" si="5"/>
        <v>2024-Q2</v>
      </c>
      <c r="T84" s="63" t="str">
        <f t="shared" si="6"/>
        <v>2024-06</v>
      </c>
      <c r="U84" s="64" t="str">
        <f t="shared" si="7"/>
        <v>2024-H1</v>
      </c>
      <c r="V84" s="9" t="str">
        <f>VLOOKUP(B84,Bounties!A:E,2,FALSE)</f>
        <v>Infrastructure Builders Program</v>
      </c>
    </row>
    <row r="85" hidden="1">
      <c r="A85" s="67">
        <f>HYPERLINK("https://polkadot.subsquare.io/treasury/child-bounties/1318", 1318)</f>
        <v>1318</v>
      </c>
      <c r="B85" s="1">
        <v>50.0</v>
      </c>
      <c r="C85" s="1" t="s">
        <v>2460</v>
      </c>
      <c r="D85" s="1" t="s">
        <v>2481</v>
      </c>
      <c r="E85" s="5">
        <v>1583.17</v>
      </c>
      <c r="F85" s="4">
        <v>10100.461719694138</v>
      </c>
      <c r="G85" s="1" t="s">
        <v>2482</v>
      </c>
      <c r="H85" s="95">
        <v>45451.0</v>
      </c>
      <c r="I85" s="95">
        <v>45451.0</v>
      </c>
      <c r="J85" s="4">
        <v>10100.461719694138</v>
      </c>
      <c r="K85" s="1"/>
      <c r="L85" s="1"/>
      <c r="M85" s="1" t="str">
        <f>VLOOKUP(B85,Bounties!A:D,3,FALSE)</f>
        <v>Operations</v>
      </c>
      <c r="N85" s="1" t="str">
        <f>VLOOKUP(B85,Bounties!A:D,4,FALSE)</f>
        <v>RPCs and Nodes</v>
      </c>
      <c r="O85" s="1" t="str">
        <f t="shared" ref="O85:P85" si="89">IF(ISBLANK(K85),M85,K85)</f>
        <v>Operations</v>
      </c>
      <c r="P85" s="1" t="str">
        <f t="shared" si="89"/>
        <v>RPCs and Nodes</v>
      </c>
      <c r="Q85" s="61" t="str">
        <f t="shared" si="3"/>
        <v>2024</v>
      </c>
      <c r="R85" s="62">
        <f t="shared" si="4"/>
        <v>6</v>
      </c>
      <c r="S85" s="61" t="str">
        <f t="shared" si="5"/>
        <v>2024-Q2</v>
      </c>
      <c r="T85" s="63" t="str">
        <f t="shared" si="6"/>
        <v>2024-06</v>
      </c>
      <c r="U85" s="64" t="str">
        <f t="shared" si="7"/>
        <v>2024-H1</v>
      </c>
      <c r="V85" s="9" t="str">
        <f>VLOOKUP(B85,Bounties!A:E,2,FALSE)</f>
        <v>Infrastructure Builders Program</v>
      </c>
    </row>
    <row r="86" hidden="1">
      <c r="A86" s="67">
        <f>HYPERLINK("https://polkadot.subsquare.io/treasury/child-bounties/1317", 1317)</f>
        <v>1317</v>
      </c>
      <c r="B86" s="1">
        <v>50.0</v>
      </c>
      <c r="C86" s="1" t="s">
        <v>2414</v>
      </c>
      <c r="D86" s="1" t="s">
        <v>880</v>
      </c>
      <c r="E86" s="5">
        <v>305.64</v>
      </c>
      <c r="F86" s="4">
        <v>1949.951755027771</v>
      </c>
      <c r="G86" s="1" t="s">
        <v>2483</v>
      </c>
      <c r="H86" s="95">
        <v>45451.0</v>
      </c>
      <c r="I86" s="95">
        <v>45459.0</v>
      </c>
      <c r="J86" s="4">
        <v>1770.9429142570496</v>
      </c>
      <c r="K86" s="1"/>
      <c r="L86" s="1"/>
      <c r="M86" s="1" t="str">
        <f>VLOOKUP(B86,Bounties!A:D,3,FALSE)</f>
        <v>Operations</v>
      </c>
      <c r="N86" s="1" t="str">
        <f>VLOOKUP(B86,Bounties!A:D,4,FALSE)</f>
        <v>RPCs and Nodes</v>
      </c>
      <c r="O86" s="1" t="str">
        <f t="shared" ref="O86:P86" si="90">IF(ISBLANK(K86),M86,K86)</f>
        <v>Operations</v>
      </c>
      <c r="P86" s="1" t="str">
        <f t="shared" si="90"/>
        <v>RPCs and Nodes</v>
      </c>
      <c r="Q86" s="61" t="str">
        <f t="shared" si="3"/>
        <v>2024</v>
      </c>
      <c r="R86" s="62">
        <f t="shared" si="4"/>
        <v>6</v>
      </c>
      <c r="S86" s="61" t="str">
        <f t="shared" si="5"/>
        <v>2024-Q2</v>
      </c>
      <c r="T86" s="63" t="str">
        <f t="shared" si="6"/>
        <v>2024-06</v>
      </c>
      <c r="U86" s="64" t="str">
        <f t="shared" si="7"/>
        <v>2024-H1</v>
      </c>
      <c r="V86" s="9" t="str">
        <f>VLOOKUP(B86,Bounties!A:E,2,FALSE)</f>
        <v>Infrastructure Builders Program</v>
      </c>
    </row>
    <row r="87" hidden="1">
      <c r="A87" s="67">
        <f>HYPERLINK("https://polkadot.subsquare.io/treasury/child-bounties/1316", 1316)</f>
        <v>1316</v>
      </c>
      <c r="B87" s="1">
        <v>50.0</v>
      </c>
      <c r="C87" s="1" t="s">
        <v>2414</v>
      </c>
      <c r="D87" s="1" t="s">
        <v>879</v>
      </c>
      <c r="E87" s="5">
        <v>1583.17</v>
      </c>
      <c r="F87" s="4">
        <v>10100.461719694138</v>
      </c>
      <c r="G87" s="1" t="s">
        <v>2484</v>
      </c>
      <c r="H87" s="95">
        <v>45451.0</v>
      </c>
      <c r="I87" s="95">
        <v>45464.0</v>
      </c>
      <c r="J87" s="4">
        <v>9063.149855589867</v>
      </c>
      <c r="K87" s="1"/>
      <c r="L87" s="1"/>
      <c r="M87" s="1" t="str">
        <f>VLOOKUP(B87,Bounties!A:D,3,FALSE)</f>
        <v>Operations</v>
      </c>
      <c r="N87" s="1" t="str">
        <f>VLOOKUP(B87,Bounties!A:D,4,FALSE)</f>
        <v>RPCs and Nodes</v>
      </c>
      <c r="O87" s="1" t="str">
        <f t="shared" ref="O87:P87" si="91">IF(ISBLANK(K87),M87,K87)</f>
        <v>Operations</v>
      </c>
      <c r="P87" s="1" t="str">
        <f t="shared" si="91"/>
        <v>RPCs and Nodes</v>
      </c>
      <c r="Q87" s="61" t="str">
        <f t="shared" si="3"/>
        <v>2024</v>
      </c>
      <c r="R87" s="62">
        <f t="shared" si="4"/>
        <v>6</v>
      </c>
      <c r="S87" s="61" t="str">
        <f t="shared" si="5"/>
        <v>2024-Q2</v>
      </c>
      <c r="T87" s="63" t="str">
        <f t="shared" si="6"/>
        <v>2024-06</v>
      </c>
      <c r="U87" s="64" t="str">
        <f t="shared" si="7"/>
        <v>2024-H1</v>
      </c>
      <c r="V87" s="9" t="str">
        <f>VLOOKUP(B87,Bounties!A:E,2,FALSE)</f>
        <v>Infrastructure Builders Program</v>
      </c>
    </row>
    <row r="88" hidden="1">
      <c r="A88" s="67">
        <f>HYPERLINK("https://polkadot.subsquare.io/treasury/child-bounties/1315", 1315)</f>
        <v>1315</v>
      </c>
      <c r="B88" s="1">
        <v>50.0</v>
      </c>
      <c r="C88" s="1" t="s">
        <v>2414</v>
      </c>
      <c r="D88" s="1" t="s">
        <v>878</v>
      </c>
      <c r="E88" s="5">
        <v>1954.91</v>
      </c>
      <c r="F88" s="4">
        <v>12472.124674196244</v>
      </c>
      <c r="G88" s="1" t="s">
        <v>2485</v>
      </c>
      <c r="H88" s="95">
        <v>45451.0</v>
      </c>
      <c r="I88" s="95">
        <v>45459.0</v>
      </c>
      <c r="J88" s="4">
        <v>11327.162715973855</v>
      </c>
      <c r="K88" s="1"/>
      <c r="L88" s="1"/>
      <c r="M88" s="1" t="str">
        <f>VLOOKUP(B88,Bounties!A:D,3,FALSE)</f>
        <v>Operations</v>
      </c>
      <c r="N88" s="1" t="str">
        <f>VLOOKUP(B88,Bounties!A:D,4,FALSE)</f>
        <v>RPCs and Nodes</v>
      </c>
      <c r="O88" s="1" t="str">
        <f t="shared" ref="O88:P88" si="92">IF(ISBLANK(K88),M88,K88)</f>
        <v>Operations</v>
      </c>
      <c r="P88" s="1" t="str">
        <f t="shared" si="92"/>
        <v>RPCs and Nodes</v>
      </c>
      <c r="Q88" s="61" t="str">
        <f t="shared" si="3"/>
        <v>2024</v>
      </c>
      <c r="R88" s="62">
        <f t="shared" si="4"/>
        <v>6</v>
      </c>
      <c r="S88" s="61" t="str">
        <f t="shared" si="5"/>
        <v>2024-Q2</v>
      </c>
      <c r="T88" s="63" t="str">
        <f t="shared" si="6"/>
        <v>2024-06</v>
      </c>
      <c r="U88" s="64" t="str">
        <f t="shared" si="7"/>
        <v>2024-H1</v>
      </c>
      <c r="V88" s="9" t="str">
        <f>VLOOKUP(B88,Bounties!A:E,2,FALSE)</f>
        <v>Infrastructure Builders Program</v>
      </c>
    </row>
    <row r="89" hidden="1">
      <c r="A89" s="67">
        <f>HYPERLINK("https://polkadot.subsquare.io/treasury/child-bounties/1314", 1314)</f>
        <v>1314</v>
      </c>
      <c r="B89" s="1">
        <v>50.0</v>
      </c>
      <c r="C89" s="1" t="s">
        <v>2414</v>
      </c>
      <c r="D89" s="1" t="s">
        <v>877</v>
      </c>
      <c r="E89" s="5">
        <v>1726.05</v>
      </c>
      <c r="F89" s="4">
        <v>11012.021419858933</v>
      </c>
      <c r="G89" s="1" t="s">
        <v>2486</v>
      </c>
      <c r="H89" s="95">
        <v>45451.0</v>
      </c>
      <c r="I89" s="95">
        <v>45459.0</v>
      </c>
      <c r="J89" s="4">
        <v>10001.09938867092</v>
      </c>
      <c r="K89" s="1"/>
      <c r="L89" s="1"/>
      <c r="M89" s="1" t="str">
        <f>VLOOKUP(B89,Bounties!A:D,3,FALSE)</f>
        <v>Operations</v>
      </c>
      <c r="N89" s="1" t="str">
        <f>VLOOKUP(B89,Bounties!A:D,4,FALSE)</f>
        <v>RPCs and Nodes</v>
      </c>
      <c r="O89" s="1" t="str">
        <f t="shared" ref="O89:P89" si="93">IF(ISBLANK(K89),M89,K89)</f>
        <v>Operations</v>
      </c>
      <c r="P89" s="1" t="str">
        <f t="shared" si="93"/>
        <v>RPCs and Nodes</v>
      </c>
      <c r="Q89" s="61" t="str">
        <f t="shared" si="3"/>
        <v>2024</v>
      </c>
      <c r="R89" s="62">
        <f t="shared" si="4"/>
        <v>6</v>
      </c>
      <c r="S89" s="61" t="str">
        <f t="shared" si="5"/>
        <v>2024-Q2</v>
      </c>
      <c r="T89" s="63" t="str">
        <f t="shared" si="6"/>
        <v>2024-06</v>
      </c>
      <c r="U89" s="64" t="str">
        <f t="shared" si="7"/>
        <v>2024-H1</v>
      </c>
      <c r="V89" s="9" t="str">
        <f>VLOOKUP(B89,Bounties!A:E,2,FALSE)</f>
        <v>Infrastructure Builders Program</v>
      </c>
    </row>
    <row r="90" hidden="1">
      <c r="A90" s="67">
        <f>HYPERLINK("https://polkadot.subsquare.io/treasury/child-bounties/1313", 1313)</f>
        <v>1313</v>
      </c>
      <c r="B90" s="1">
        <v>50.0</v>
      </c>
      <c r="C90" s="1" t="s">
        <v>2414</v>
      </c>
      <c r="D90" s="1" t="s">
        <v>876</v>
      </c>
      <c r="E90" s="5">
        <v>1583.17</v>
      </c>
      <c r="F90" s="4">
        <v>10100.461719694138</v>
      </c>
      <c r="G90" s="1" t="s">
        <v>2487</v>
      </c>
      <c r="H90" s="95">
        <v>45451.0</v>
      </c>
      <c r="I90" s="95">
        <v>45460.0</v>
      </c>
      <c r="J90" s="4">
        <v>9173.222397475243</v>
      </c>
      <c r="K90" s="1"/>
      <c r="L90" s="1"/>
      <c r="M90" s="1" t="str">
        <f>VLOOKUP(B90,Bounties!A:D,3,FALSE)</f>
        <v>Operations</v>
      </c>
      <c r="N90" s="1" t="str">
        <f>VLOOKUP(B90,Bounties!A:D,4,FALSE)</f>
        <v>RPCs and Nodes</v>
      </c>
      <c r="O90" s="1" t="str">
        <f t="shared" ref="O90:P90" si="94">IF(ISBLANK(K90),M90,K90)</f>
        <v>Operations</v>
      </c>
      <c r="P90" s="1" t="str">
        <f t="shared" si="94"/>
        <v>RPCs and Nodes</v>
      </c>
      <c r="Q90" s="61" t="str">
        <f t="shared" si="3"/>
        <v>2024</v>
      </c>
      <c r="R90" s="62">
        <f t="shared" si="4"/>
        <v>6</v>
      </c>
      <c r="S90" s="61" t="str">
        <f t="shared" si="5"/>
        <v>2024-Q2</v>
      </c>
      <c r="T90" s="63" t="str">
        <f t="shared" si="6"/>
        <v>2024-06</v>
      </c>
      <c r="U90" s="64" t="str">
        <f t="shared" si="7"/>
        <v>2024-H1</v>
      </c>
      <c r="V90" s="9" t="str">
        <f>VLOOKUP(B90,Bounties!A:E,2,FALSE)</f>
        <v>Infrastructure Builders Program</v>
      </c>
    </row>
    <row r="91" hidden="1">
      <c r="A91" s="67">
        <f>HYPERLINK("https://polkadot.subsquare.io/treasury/child-bounties/1312", 1312)</f>
        <v>1312</v>
      </c>
      <c r="B91" s="1">
        <v>50.0</v>
      </c>
      <c r="C91" s="1" t="s">
        <v>2414</v>
      </c>
      <c r="D91" s="1" t="s">
        <v>875</v>
      </c>
      <c r="E91" s="5">
        <v>1674.85</v>
      </c>
      <c r="F91" s="4">
        <v>10685.370687437056</v>
      </c>
      <c r="G91" s="1" t="s">
        <v>2488</v>
      </c>
      <c r="H91" s="95">
        <v>45451.0</v>
      </c>
      <c r="I91" s="95">
        <v>45459.0</v>
      </c>
      <c r="J91" s="4">
        <v>9704.435741209983</v>
      </c>
      <c r="K91" s="1"/>
      <c r="L91" s="1"/>
      <c r="M91" s="1" t="str">
        <f>VLOOKUP(B91,Bounties!A:D,3,FALSE)</f>
        <v>Operations</v>
      </c>
      <c r="N91" s="1" t="str">
        <f>VLOOKUP(B91,Bounties!A:D,4,FALSE)</f>
        <v>RPCs and Nodes</v>
      </c>
      <c r="O91" s="1" t="str">
        <f t="shared" ref="O91:P91" si="95">IF(ISBLANK(K91),M91,K91)</f>
        <v>Operations</v>
      </c>
      <c r="P91" s="1" t="str">
        <f t="shared" si="95"/>
        <v>RPCs and Nodes</v>
      </c>
      <c r="Q91" s="61" t="str">
        <f t="shared" si="3"/>
        <v>2024</v>
      </c>
      <c r="R91" s="62">
        <f t="shared" si="4"/>
        <v>6</v>
      </c>
      <c r="S91" s="61" t="str">
        <f t="shared" si="5"/>
        <v>2024-Q2</v>
      </c>
      <c r="T91" s="63" t="str">
        <f t="shared" si="6"/>
        <v>2024-06</v>
      </c>
      <c r="U91" s="64" t="str">
        <f t="shared" si="7"/>
        <v>2024-H1</v>
      </c>
      <c r="V91" s="9" t="str">
        <f>VLOOKUP(B91,Bounties!A:E,2,FALSE)</f>
        <v>Infrastructure Builders Program</v>
      </c>
    </row>
    <row r="92" hidden="1">
      <c r="A92" s="67">
        <f>HYPERLINK("https://polkadot.subsquare.io/treasury/child-bounties/1311", 1311)</f>
        <v>1311</v>
      </c>
      <c r="B92" s="1">
        <v>22.0</v>
      </c>
      <c r="C92" s="1" t="s">
        <v>2414</v>
      </c>
      <c r="D92" s="1" t="s">
        <v>874</v>
      </c>
      <c r="E92" s="5">
        <v>18360.0</v>
      </c>
      <c r="F92" s="4">
        <v>117291.4631652832</v>
      </c>
      <c r="G92" s="1" t="s">
        <v>2489</v>
      </c>
      <c r="H92" s="95">
        <v>45449.0</v>
      </c>
      <c r="I92" s="95">
        <v>45467.0</v>
      </c>
      <c r="J92" s="4">
        <v>115327.31317520142</v>
      </c>
      <c r="K92" s="1"/>
      <c r="L92" s="1"/>
      <c r="M92" s="1" t="str">
        <f>VLOOKUP(B92,Bounties!A:D,3,FALSE)</f>
        <v>Development</v>
      </c>
      <c r="N92" s="1" t="str">
        <f>VLOOKUP(B92,Bounties!A:D,4,FALSE)</f>
        <v>Ecosystem Services</v>
      </c>
      <c r="O92" s="1" t="str">
        <f t="shared" ref="O92:P92" si="96">IF(ISBLANK(K92),M92,K92)</f>
        <v>Development</v>
      </c>
      <c r="P92" s="1" t="str">
        <f t="shared" si="96"/>
        <v>Ecosystem Services</v>
      </c>
      <c r="Q92" s="61" t="str">
        <f t="shared" si="3"/>
        <v>2024</v>
      </c>
      <c r="R92" s="62">
        <f t="shared" si="4"/>
        <v>6</v>
      </c>
      <c r="S92" s="61" t="str">
        <f t="shared" si="5"/>
        <v>2024-Q2</v>
      </c>
      <c r="T92" s="63" t="str">
        <f t="shared" si="6"/>
        <v>2024-06</v>
      </c>
      <c r="U92" s="64" t="str">
        <f t="shared" si="7"/>
        <v>2024-H1</v>
      </c>
      <c r="V92" s="9" t="str">
        <f>VLOOKUP(B92,Bounties!A:E,2,FALSE)</f>
        <v>Polkadot Assurance Legion Bounty</v>
      </c>
    </row>
    <row r="93" hidden="1">
      <c r="A93" s="67">
        <f>HYPERLINK("https://polkadot.subsquare.io/treasury/child-bounties/1310", 1310)</f>
        <v>1310</v>
      </c>
      <c r="B93" s="1">
        <v>22.0</v>
      </c>
      <c r="C93" s="1" t="s">
        <v>2414</v>
      </c>
      <c r="D93" s="1" t="s">
        <v>873</v>
      </c>
      <c r="E93" s="5">
        <v>1670.0</v>
      </c>
      <c r="F93" s="4">
        <v>10668.667945861816</v>
      </c>
      <c r="G93" s="1" t="s">
        <v>2490</v>
      </c>
      <c r="H93" s="95">
        <v>45449.0</v>
      </c>
      <c r="I93" s="95">
        <v>45467.0</v>
      </c>
      <c r="J93" s="4">
        <v>10490.011601448059</v>
      </c>
      <c r="K93" s="1"/>
      <c r="L93" s="1"/>
      <c r="M93" s="1" t="str">
        <f>VLOOKUP(B93,Bounties!A:D,3,FALSE)</f>
        <v>Development</v>
      </c>
      <c r="N93" s="1" t="str">
        <f>VLOOKUP(B93,Bounties!A:D,4,FALSE)</f>
        <v>Ecosystem Services</v>
      </c>
      <c r="O93" s="1" t="str">
        <f t="shared" ref="O93:P93" si="97">IF(ISBLANK(K93),M93,K93)</f>
        <v>Development</v>
      </c>
      <c r="P93" s="1" t="str">
        <f t="shared" si="97"/>
        <v>Ecosystem Services</v>
      </c>
      <c r="Q93" s="61" t="str">
        <f t="shared" si="3"/>
        <v>2024</v>
      </c>
      <c r="R93" s="62">
        <f t="shared" si="4"/>
        <v>6</v>
      </c>
      <c r="S93" s="61" t="str">
        <f t="shared" si="5"/>
        <v>2024-Q2</v>
      </c>
      <c r="T93" s="63" t="str">
        <f t="shared" si="6"/>
        <v>2024-06</v>
      </c>
      <c r="U93" s="64" t="str">
        <f t="shared" si="7"/>
        <v>2024-H1</v>
      </c>
      <c r="V93" s="9" t="str">
        <f>VLOOKUP(B93,Bounties!A:E,2,FALSE)</f>
        <v>Polkadot Assurance Legion Bounty</v>
      </c>
    </row>
    <row r="94" hidden="1">
      <c r="A94" s="67">
        <f>HYPERLINK("https://polkadot.subsquare.io/treasury/child-bounties/1309", 1309)</f>
        <v>1309</v>
      </c>
      <c r="B94" s="1">
        <v>42.0</v>
      </c>
      <c r="C94" s="1" t="s">
        <v>2414</v>
      </c>
      <c r="D94" s="1" t="s">
        <v>764</v>
      </c>
      <c r="E94" s="5">
        <v>30.45</v>
      </c>
      <c r="F94" s="4">
        <v>194.527508354187</v>
      </c>
      <c r="G94" s="1" t="s">
        <v>2423</v>
      </c>
      <c r="H94" s="95">
        <v>45448.0</v>
      </c>
      <c r="I94" s="95">
        <v>45457.0</v>
      </c>
      <c r="J94" s="4">
        <v>184.95071189403532</v>
      </c>
      <c r="K94" s="1"/>
      <c r="L94" s="1"/>
      <c r="M94" s="1" t="str">
        <f>VLOOKUP(B94,Bounties!A:D,3,FALSE)</f>
        <v>Outreach</v>
      </c>
      <c r="N94" s="1" t="str">
        <f>VLOOKUP(B94,Bounties!A:D,4,FALSE)</f>
        <v>Media</v>
      </c>
      <c r="O94" s="1" t="str">
        <f t="shared" ref="O94:P94" si="98">IF(ISBLANK(K94),M94,K94)</f>
        <v>Outreach</v>
      </c>
      <c r="P94" s="1" t="str">
        <f t="shared" si="98"/>
        <v>Media</v>
      </c>
      <c r="Q94" s="61" t="str">
        <f t="shared" si="3"/>
        <v>2024</v>
      </c>
      <c r="R94" s="62">
        <f t="shared" si="4"/>
        <v>6</v>
      </c>
      <c r="S94" s="61" t="str">
        <f t="shared" si="5"/>
        <v>2024-Q2</v>
      </c>
      <c r="T94" s="63" t="str">
        <f t="shared" si="6"/>
        <v>2024-06</v>
      </c>
      <c r="U94" s="64" t="str">
        <f t="shared" si="7"/>
        <v>2024-H1</v>
      </c>
      <c r="V94" s="9" t="str">
        <f>VLOOKUP(B94,Bounties!A:E,2,FALSE)</f>
        <v>Spanish Bounty</v>
      </c>
    </row>
    <row r="95" hidden="1">
      <c r="A95" s="67">
        <f>HYPERLINK("https://polkadot.subsquare.io/treasury/child-bounties/1308", 1308)</f>
        <v>1308</v>
      </c>
      <c r="B95" s="1">
        <v>42.0</v>
      </c>
      <c r="C95" s="1" t="s">
        <v>2414</v>
      </c>
      <c r="D95" s="1" t="s">
        <v>764</v>
      </c>
      <c r="E95" s="5">
        <v>30.13</v>
      </c>
      <c r="F95" s="4">
        <v>192.48321269989012</v>
      </c>
      <c r="G95" s="1" t="s">
        <v>2423</v>
      </c>
      <c r="H95" s="95">
        <v>45448.0</v>
      </c>
      <c r="I95" s="95">
        <v>45457.0</v>
      </c>
      <c r="J95" s="4">
        <v>183.00705909252167</v>
      </c>
      <c r="K95" s="1"/>
      <c r="L95" s="1"/>
      <c r="M95" s="1" t="str">
        <f>VLOOKUP(B95,Bounties!A:D,3,FALSE)</f>
        <v>Outreach</v>
      </c>
      <c r="N95" s="1" t="str">
        <f>VLOOKUP(B95,Bounties!A:D,4,FALSE)</f>
        <v>Media</v>
      </c>
      <c r="O95" s="1" t="str">
        <f t="shared" ref="O95:P95" si="99">IF(ISBLANK(K95),M95,K95)</f>
        <v>Outreach</v>
      </c>
      <c r="P95" s="1" t="str">
        <f t="shared" si="99"/>
        <v>Media</v>
      </c>
      <c r="Q95" s="61" t="str">
        <f t="shared" si="3"/>
        <v>2024</v>
      </c>
      <c r="R95" s="62">
        <f t="shared" si="4"/>
        <v>6</v>
      </c>
      <c r="S95" s="61" t="str">
        <f t="shared" si="5"/>
        <v>2024-Q2</v>
      </c>
      <c r="T95" s="63" t="str">
        <f t="shared" si="6"/>
        <v>2024-06</v>
      </c>
      <c r="U95" s="64" t="str">
        <f t="shared" si="7"/>
        <v>2024-H1</v>
      </c>
      <c r="V95" s="9" t="str">
        <f>VLOOKUP(B95,Bounties!A:E,2,FALSE)</f>
        <v>Spanish Bounty</v>
      </c>
    </row>
    <row r="96" hidden="1">
      <c r="A96" s="67">
        <f>HYPERLINK("https://polkadot.subsquare.io/treasury/child-bounties/1307", 1307)</f>
        <v>1307</v>
      </c>
      <c r="B96" s="1">
        <v>42.0</v>
      </c>
      <c r="C96" s="1" t="s">
        <v>2414</v>
      </c>
      <c r="D96" s="1" t="s">
        <v>764</v>
      </c>
      <c r="E96" s="5">
        <v>4.12</v>
      </c>
      <c r="F96" s="4">
        <v>26.320306549072267</v>
      </c>
      <c r="G96" s="1" t="s">
        <v>2453</v>
      </c>
      <c r="H96" s="95">
        <v>45448.0</v>
      </c>
      <c r="I96" s="95">
        <v>45462.0</v>
      </c>
      <c r="J96" s="4">
        <v>23.117575645446777</v>
      </c>
      <c r="K96" s="1"/>
      <c r="L96" s="1"/>
      <c r="M96" s="1" t="str">
        <f>VLOOKUP(B96,Bounties!A:D,3,FALSE)</f>
        <v>Outreach</v>
      </c>
      <c r="N96" s="1" t="str">
        <f>VLOOKUP(B96,Bounties!A:D,4,FALSE)</f>
        <v>Media</v>
      </c>
      <c r="O96" s="1" t="str">
        <f t="shared" ref="O96:P96" si="100">IF(ISBLANK(K96),M96,K96)</f>
        <v>Outreach</v>
      </c>
      <c r="P96" s="1" t="str">
        <f t="shared" si="100"/>
        <v>Media</v>
      </c>
      <c r="Q96" s="61" t="str">
        <f t="shared" si="3"/>
        <v>2024</v>
      </c>
      <c r="R96" s="62">
        <f t="shared" si="4"/>
        <v>6</v>
      </c>
      <c r="S96" s="61" t="str">
        <f t="shared" si="5"/>
        <v>2024-Q2</v>
      </c>
      <c r="T96" s="63" t="str">
        <f t="shared" si="6"/>
        <v>2024-06</v>
      </c>
      <c r="U96" s="64" t="str">
        <f t="shared" si="7"/>
        <v>2024-H1</v>
      </c>
      <c r="V96" s="9" t="str">
        <f>VLOOKUP(B96,Bounties!A:E,2,FALSE)</f>
        <v>Spanish Bounty</v>
      </c>
    </row>
    <row r="97" hidden="1">
      <c r="A97" s="67">
        <f>HYPERLINK("https://polkadot.subsquare.io/treasury/child-bounties/1306", 1306)</f>
        <v>1306</v>
      </c>
      <c r="B97" s="1">
        <v>42.0</v>
      </c>
      <c r="C97" s="1" t="s">
        <v>2414</v>
      </c>
      <c r="D97" s="1" t="s">
        <v>764</v>
      </c>
      <c r="E97" s="5">
        <v>17.42</v>
      </c>
      <c r="F97" s="4">
        <v>111.28634468078614</v>
      </c>
      <c r="G97" s="1" t="s">
        <v>2491</v>
      </c>
      <c r="H97" s="95">
        <v>45448.0</v>
      </c>
      <c r="I97" s="95">
        <v>45459.0</v>
      </c>
      <c r="J97" s="4">
        <v>100.93517067909242</v>
      </c>
      <c r="K97" s="1"/>
      <c r="L97" s="1"/>
      <c r="M97" s="1" t="str">
        <f>VLOOKUP(B97,Bounties!A:D,3,FALSE)</f>
        <v>Outreach</v>
      </c>
      <c r="N97" s="1" t="str">
        <f>VLOOKUP(B97,Bounties!A:D,4,FALSE)</f>
        <v>Media</v>
      </c>
      <c r="O97" s="1" t="str">
        <f t="shared" ref="O97:P97" si="101">IF(ISBLANK(K97),M97,K97)</f>
        <v>Outreach</v>
      </c>
      <c r="P97" s="1" t="str">
        <f t="shared" si="101"/>
        <v>Media</v>
      </c>
      <c r="Q97" s="61" t="str">
        <f t="shared" si="3"/>
        <v>2024</v>
      </c>
      <c r="R97" s="62">
        <f t="shared" si="4"/>
        <v>6</v>
      </c>
      <c r="S97" s="61" t="str">
        <f t="shared" si="5"/>
        <v>2024-Q2</v>
      </c>
      <c r="T97" s="63" t="str">
        <f t="shared" si="6"/>
        <v>2024-06</v>
      </c>
      <c r="U97" s="64" t="str">
        <f t="shared" si="7"/>
        <v>2024-H1</v>
      </c>
      <c r="V97" s="9" t="str">
        <f>VLOOKUP(B97,Bounties!A:E,2,FALSE)</f>
        <v>Spanish Bounty</v>
      </c>
    </row>
    <row r="98" hidden="1">
      <c r="A98" s="67">
        <f>HYPERLINK("https://polkadot.subsquare.io/treasury/child-bounties/1305", 1305)</f>
        <v>1305</v>
      </c>
      <c r="B98" s="1">
        <v>42.0</v>
      </c>
      <c r="C98" s="1" t="s">
        <v>2414</v>
      </c>
      <c r="D98" s="1" t="s">
        <v>764</v>
      </c>
      <c r="E98" s="5">
        <v>21.28</v>
      </c>
      <c r="F98" s="4">
        <v>135.94566101074219</v>
      </c>
      <c r="G98" s="1" t="s">
        <v>2436</v>
      </c>
      <c r="H98" s="95">
        <v>45448.0</v>
      </c>
      <c r="I98" s="95">
        <v>45459.0</v>
      </c>
      <c r="J98" s="4">
        <v>123.30082847595216</v>
      </c>
      <c r="K98" s="1"/>
      <c r="L98" s="1"/>
      <c r="M98" s="1" t="str">
        <f>VLOOKUP(B98,Bounties!A:D,3,FALSE)</f>
        <v>Outreach</v>
      </c>
      <c r="N98" s="1" t="str">
        <f>VLOOKUP(B98,Bounties!A:D,4,FALSE)</f>
        <v>Media</v>
      </c>
      <c r="O98" s="1" t="str">
        <f t="shared" ref="O98:P98" si="102">IF(ISBLANK(K98),M98,K98)</f>
        <v>Outreach</v>
      </c>
      <c r="P98" s="1" t="str">
        <f t="shared" si="102"/>
        <v>Media</v>
      </c>
      <c r="Q98" s="61" t="str">
        <f t="shared" si="3"/>
        <v>2024</v>
      </c>
      <c r="R98" s="62">
        <f t="shared" si="4"/>
        <v>6</v>
      </c>
      <c r="S98" s="61" t="str">
        <f t="shared" si="5"/>
        <v>2024-Q2</v>
      </c>
      <c r="T98" s="63" t="str">
        <f t="shared" si="6"/>
        <v>2024-06</v>
      </c>
      <c r="U98" s="64" t="str">
        <f t="shared" si="7"/>
        <v>2024-H1</v>
      </c>
      <c r="V98" s="9" t="str">
        <f>VLOOKUP(B98,Bounties!A:E,2,FALSE)</f>
        <v>Spanish Bounty</v>
      </c>
    </row>
    <row r="99" hidden="1">
      <c r="A99" s="67">
        <f>HYPERLINK("https://polkadot.subsquare.io/treasury/child-bounties/1304", 1304)</f>
        <v>1304</v>
      </c>
      <c r="B99" s="1">
        <v>42.0</v>
      </c>
      <c r="C99" s="1" t="s">
        <v>2414</v>
      </c>
      <c r="D99" s="1" t="s">
        <v>764</v>
      </c>
      <c r="E99" s="5">
        <v>69.83</v>
      </c>
      <c r="F99" s="4">
        <v>446.10364231109617</v>
      </c>
      <c r="G99" s="1" t="s">
        <v>2492</v>
      </c>
      <c r="H99" s="95">
        <v>45448.0</v>
      </c>
      <c r="I99" s="95">
        <v>45456.0</v>
      </c>
      <c r="J99" s="4">
        <v>446.0788023471832</v>
      </c>
      <c r="K99" s="1"/>
      <c r="L99" s="1"/>
      <c r="M99" s="1" t="str">
        <f>VLOOKUP(B99,Bounties!A:D,3,FALSE)</f>
        <v>Outreach</v>
      </c>
      <c r="N99" s="1" t="str">
        <f>VLOOKUP(B99,Bounties!A:D,4,FALSE)</f>
        <v>Media</v>
      </c>
      <c r="O99" s="1" t="str">
        <f t="shared" ref="O99:P99" si="103">IF(ISBLANK(K99),M99,K99)</f>
        <v>Outreach</v>
      </c>
      <c r="P99" s="1" t="str">
        <f t="shared" si="103"/>
        <v>Media</v>
      </c>
      <c r="Q99" s="61" t="str">
        <f t="shared" si="3"/>
        <v>2024</v>
      </c>
      <c r="R99" s="62">
        <f t="shared" si="4"/>
        <v>6</v>
      </c>
      <c r="S99" s="61" t="str">
        <f t="shared" si="5"/>
        <v>2024-Q2</v>
      </c>
      <c r="T99" s="63" t="str">
        <f t="shared" si="6"/>
        <v>2024-06</v>
      </c>
      <c r="U99" s="64" t="str">
        <f t="shared" si="7"/>
        <v>2024-H1</v>
      </c>
      <c r="V99" s="9" t="str">
        <f>VLOOKUP(B99,Bounties!A:E,2,FALSE)</f>
        <v>Spanish Bounty</v>
      </c>
    </row>
    <row r="100" hidden="1">
      <c r="A100" s="67">
        <f>HYPERLINK("https://polkadot.subsquare.io/treasury/child-bounties/1303", 1303)</f>
        <v>1303</v>
      </c>
      <c r="B100" s="1">
        <v>42.0</v>
      </c>
      <c r="C100" s="1" t="s">
        <v>2414</v>
      </c>
      <c r="D100" s="1" t="s">
        <v>764</v>
      </c>
      <c r="E100" s="5">
        <v>7.38</v>
      </c>
      <c r="F100" s="4">
        <v>47.14656852722168</v>
      </c>
      <c r="G100" s="1" t="s">
        <v>2493</v>
      </c>
      <c r="H100" s="95">
        <v>45448.0</v>
      </c>
      <c r="I100" s="95">
        <v>45463.0</v>
      </c>
      <c r="J100" s="4">
        <v>41.65930455207825</v>
      </c>
      <c r="K100" s="1"/>
      <c r="L100" s="1"/>
      <c r="M100" s="1" t="str">
        <f>VLOOKUP(B100,Bounties!A:D,3,FALSE)</f>
        <v>Outreach</v>
      </c>
      <c r="N100" s="1" t="str">
        <f>VLOOKUP(B100,Bounties!A:D,4,FALSE)</f>
        <v>Media</v>
      </c>
      <c r="O100" s="1" t="str">
        <f t="shared" ref="O100:P100" si="104">IF(ISBLANK(K100),M100,K100)</f>
        <v>Outreach</v>
      </c>
      <c r="P100" s="1" t="str">
        <f t="shared" si="104"/>
        <v>Media</v>
      </c>
      <c r="Q100" s="61" t="str">
        <f t="shared" si="3"/>
        <v>2024</v>
      </c>
      <c r="R100" s="62">
        <f t="shared" si="4"/>
        <v>6</v>
      </c>
      <c r="S100" s="61" t="str">
        <f t="shared" si="5"/>
        <v>2024-Q2</v>
      </c>
      <c r="T100" s="63" t="str">
        <f t="shared" si="6"/>
        <v>2024-06</v>
      </c>
      <c r="U100" s="64" t="str">
        <f t="shared" si="7"/>
        <v>2024-H1</v>
      </c>
      <c r="V100" s="9" t="str">
        <f>VLOOKUP(B100,Bounties!A:E,2,FALSE)</f>
        <v>Spanish Bounty</v>
      </c>
    </row>
    <row r="101" hidden="1">
      <c r="A101" s="67">
        <f>HYPERLINK("https://polkadot.subsquare.io/treasury/child-bounties/1302", 1302)</f>
        <v>1302</v>
      </c>
      <c r="B101" s="1">
        <v>11.0</v>
      </c>
      <c r="C101" s="1" t="s">
        <v>2414</v>
      </c>
      <c r="D101" s="1" t="s">
        <v>872</v>
      </c>
      <c r="E101" s="5">
        <v>230.54</v>
      </c>
      <c r="F101" s="4">
        <v>1472.7872504425047</v>
      </c>
      <c r="G101" s="1" t="s">
        <v>2494</v>
      </c>
      <c r="H101" s="95">
        <v>45448.0</v>
      </c>
      <c r="I101" s="95">
        <v>45458.0</v>
      </c>
      <c r="J101" s="4">
        <v>1400.280365190506</v>
      </c>
      <c r="K101" s="1"/>
      <c r="L101" s="1"/>
      <c r="M101" s="1" t="str">
        <f>VLOOKUP(B101,Bounties!A:D,3,FALSE)</f>
        <v>Research</v>
      </c>
      <c r="N101" s="1" t="str">
        <f>VLOOKUP(B101,Bounties!A:D,4,FALSE)</f>
        <v>Anti-Scam</v>
      </c>
      <c r="O101" s="1" t="str">
        <f t="shared" ref="O101:P101" si="105">IF(ISBLANK(K101),M101,K101)</f>
        <v>Research</v>
      </c>
      <c r="P101" s="1" t="str">
        <f t="shared" si="105"/>
        <v>Anti-Scam</v>
      </c>
      <c r="Q101" s="61" t="str">
        <f t="shared" si="3"/>
        <v>2024</v>
      </c>
      <c r="R101" s="62">
        <f t="shared" si="4"/>
        <v>6</v>
      </c>
      <c r="S101" s="61" t="str">
        <f t="shared" si="5"/>
        <v>2024-Q2</v>
      </c>
      <c r="T101" s="63" t="str">
        <f t="shared" si="6"/>
        <v>2024-06</v>
      </c>
      <c r="U101" s="64" t="str">
        <f t="shared" si="7"/>
        <v>2024-H1</v>
      </c>
      <c r="V101" s="9" t="str">
        <f>VLOOKUP(B101,Bounties!A:E,2,FALSE)</f>
        <v>Anti-Scam Bounty</v>
      </c>
    </row>
    <row r="102" hidden="1">
      <c r="A102" s="67">
        <f>HYPERLINK("https://polkadot.subsquare.io/treasury/child-bounties/1301", 1301)</f>
        <v>1301</v>
      </c>
      <c r="B102" s="1">
        <v>11.0</v>
      </c>
      <c r="C102" s="1" t="s">
        <v>2414</v>
      </c>
      <c r="D102" s="1" t="s">
        <v>871</v>
      </c>
      <c r="E102" s="5">
        <v>371.66</v>
      </c>
      <c r="F102" s="4">
        <v>2374.321633987427</v>
      </c>
      <c r="G102" s="1" t="s">
        <v>2494</v>
      </c>
      <c r="H102" s="95">
        <v>45448.0</v>
      </c>
      <c r="I102" s="95">
        <v>45458.0</v>
      </c>
      <c r="J102" s="4">
        <v>2257.4312506580354</v>
      </c>
      <c r="K102" s="1"/>
      <c r="L102" s="1"/>
      <c r="M102" s="1" t="str">
        <f>VLOOKUP(B102,Bounties!A:D,3,FALSE)</f>
        <v>Research</v>
      </c>
      <c r="N102" s="1" t="str">
        <f>VLOOKUP(B102,Bounties!A:D,4,FALSE)</f>
        <v>Anti-Scam</v>
      </c>
      <c r="O102" s="1" t="str">
        <f t="shared" ref="O102:P102" si="106">IF(ISBLANK(K102),M102,K102)</f>
        <v>Research</v>
      </c>
      <c r="P102" s="1" t="str">
        <f t="shared" si="106"/>
        <v>Anti-Scam</v>
      </c>
      <c r="Q102" s="61" t="str">
        <f t="shared" si="3"/>
        <v>2024</v>
      </c>
      <c r="R102" s="62">
        <f t="shared" si="4"/>
        <v>6</v>
      </c>
      <c r="S102" s="61" t="str">
        <f t="shared" si="5"/>
        <v>2024-Q2</v>
      </c>
      <c r="T102" s="63" t="str">
        <f t="shared" si="6"/>
        <v>2024-06</v>
      </c>
      <c r="U102" s="64" t="str">
        <f t="shared" si="7"/>
        <v>2024-H1</v>
      </c>
      <c r="V102" s="9" t="str">
        <f>VLOOKUP(B102,Bounties!A:E,2,FALSE)</f>
        <v>Anti-Scam Bounty</v>
      </c>
    </row>
    <row r="103" hidden="1">
      <c r="A103" s="67">
        <f>HYPERLINK("https://polkadot.subsquare.io/treasury/child-bounties/1300", 1300)</f>
        <v>1300</v>
      </c>
      <c r="B103" s="1">
        <v>11.0</v>
      </c>
      <c r="C103" s="1" t="s">
        <v>2414</v>
      </c>
      <c r="D103" s="1" t="s">
        <v>870</v>
      </c>
      <c r="E103" s="5">
        <v>373.3</v>
      </c>
      <c r="F103" s="4">
        <v>2485.344353532791</v>
      </c>
      <c r="G103" s="1" t="s">
        <v>2495</v>
      </c>
      <c r="H103" s="95">
        <v>45448.0</v>
      </c>
      <c r="I103" s="95">
        <v>45459.0</v>
      </c>
      <c r="J103" s="4">
        <v>2156.050510120392</v>
      </c>
      <c r="K103" s="1"/>
      <c r="L103" s="1"/>
      <c r="M103" s="1" t="str">
        <f>VLOOKUP(B103,Bounties!A:D,3,FALSE)</f>
        <v>Research</v>
      </c>
      <c r="N103" s="1" t="str">
        <f>VLOOKUP(B103,Bounties!A:D,4,FALSE)</f>
        <v>Anti-Scam</v>
      </c>
      <c r="O103" s="1" t="str">
        <f t="shared" ref="O103:P103" si="107">IF(ISBLANK(K103),M103,K103)</f>
        <v>Research</v>
      </c>
      <c r="P103" s="1" t="str">
        <f t="shared" si="107"/>
        <v>Anti-Scam</v>
      </c>
      <c r="Q103" s="61" t="str">
        <f t="shared" si="3"/>
        <v>2024</v>
      </c>
      <c r="R103" s="62">
        <f t="shared" si="4"/>
        <v>6</v>
      </c>
      <c r="S103" s="61" t="str">
        <f t="shared" si="5"/>
        <v>2024-Q2</v>
      </c>
      <c r="T103" s="63" t="str">
        <f t="shared" si="6"/>
        <v>2024-06</v>
      </c>
      <c r="U103" s="64" t="str">
        <f t="shared" si="7"/>
        <v>2024-H1</v>
      </c>
      <c r="V103" s="9" t="str">
        <f>VLOOKUP(B103,Bounties!A:E,2,FALSE)</f>
        <v>Anti-Scam Bounty</v>
      </c>
    </row>
    <row r="104" hidden="1">
      <c r="A104" s="67">
        <f>HYPERLINK("https://polkadot.subsquare.io/treasury/child-bounties/1299", 1299)</f>
        <v>1299</v>
      </c>
      <c r="B104" s="1">
        <v>11.0</v>
      </c>
      <c r="C104" s="1" t="s">
        <v>2414</v>
      </c>
      <c r="D104" s="1" t="s">
        <v>869</v>
      </c>
      <c r="E104" s="5">
        <v>373.3</v>
      </c>
      <c r="F104" s="4">
        <v>2485.344353532791</v>
      </c>
      <c r="G104" s="1" t="s">
        <v>2496</v>
      </c>
      <c r="H104" s="95">
        <v>45448.0</v>
      </c>
      <c r="I104" s="95">
        <v>45459.0</v>
      </c>
      <c r="J104" s="4">
        <v>2162.979289007187</v>
      </c>
      <c r="K104" s="1"/>
      <c r="L104" s="1"/>
      <c r="M104" s="1" t="str">
        <f>VLOOKUP(B104,Bounties!A:D,3,FALSE)</f>
        <v>Research</v>
      </c>
      <c r="N104" s="1" t="str">
        <f>VLOOKUP(B104,Bounties!A:D,4,FALSE)</f>
        <v>Anti-Scam</v>
      </c>
      <c r="O104" s="1" t="str">
        <f t="shared" ref="O104:P104" si="108">IF(ISBLANK(K104),M104,K104)</f>
        <v>Research</v>
      </c>
      <c r="P104" s="1" t="str">
        <f t="shared" si="108"/>
        <v>Anti-Scam</v>
      </c>
      <c r="Q104" s="61" t="str">
        <f t="shared" si="3"/>
        <v>2024</v>
      </c>
      <c r="R104" s="62">
        <f t="shared" si="4"/>
        <v>6</v>
      </c>
      <c r="S104" s="61" t="str">
        <f t="shared" si="5"/>
        <v>2024-Q2</v>
      </c>
      <c r="T104" s="63" t="str">
        <f t="shared" si="6"/>
        <v>2024-06</v>
      </c>
      <c r="U104" s="64" t="str">
        <f t="shared" si="7"/>
        <v>2024-H1</v>
      </c>
      <c r="V104" s="9" t="str">
        <f>VLOOKUP(B104,Bounties!A:E,2,FALSE)</f>
        <v>Anti-Scam Bounty</v>
      </c>
    </row>
    <row r="105" hidden="1">
      <c r="A105" s="67">
        <f>HYPERLINK("https://polkadot.subsquare.io/treasury/child-bounties/1298", 1298)</f>
        <v>1298</v>
      </c>
      <c r="B105" s="1">
        <v>11.0</v>
      </c>
      <c r="C105" s="1" t="s">
        <v>2414</v>
      </c>
      <c r="D105" s="1" t="s">
        <v>868</v>
      </c>
      <c r="E105" s="5">
        <v>373.3</v>
      </c>
      <c r="F105" s="4">
        <v>2485.344353532791</v>
      </c>
      <c r="G105" s="1" t="s">
        <v>2497</v>
      </c>
      <c r="H105" s="95">
        <v>45448.0</v>
      </c>
      <c r="I105" s="95">
        <v>45459.0</v>
      </c>
      <c r="J105" s="4">
        <v>2162.979289007187</v>
      </c>
      <c r="K105" s="1"/>
      <c r="L105" s="1"/>
      <c r="M105" s="1" t="str">
        <f>VLOOKUP(B105,Bounties!A:D,3,FALSE)</f>
        <v>Research</v>
      </c>
      <c r="N105" s="1" t="str">
        <f>VLOOKUP(B105,Bounties!A:D,4,FALSE)</f>
        <v>Anti-Scam</v>
      </c>
      <c r="O105" s="1" t="str">
        <f t="shared" ref="O105:P105" si="109">IF(ISBLANK(K105),M105,K105)</f>
        <v>Research</v>
      </c>
      <c r="P105" s="1" t="str">
        <f t="shared" si="109"/>
        <v>Anti-Scam</v>
      </c>
      <c r="Q105" s="61" t="str">
        <f t="shared" si="3"/>
        <v>2024</v>
      </c>
      <c r="R105" s="62">
        <f t="shared" si="4"/>
        <v>6</v>
      </c>
      <c r="S105" s="61" t="str">
        <f t="shared" si="5"/>
        <v>2024-Q2</v>
      </c>
      <c r="T105" s="63" t="str">
        <f t="shared" si="6"/>
        <v>2024-06</v>
      </c>
      <c r="U105" s="64" t="str">
        <f t="shared" si="7"/>
        <v>2024-H1</v>
      </c>
      <c r="V105" s="9" t="str">
        <f>VLOOKUP(B105,Bounties!A:E,2,FALSE)</f>
        <v>Anti-Scam Bounty</v>
      </c>
    </row>
    <row r="106" hidden="1">
      <c r="A106" s="67">
        <f>HYPERLINK("https://polkadot.subsquare.io/treasury/child-bounties/1297", 1297)</f>
        <v>1297</v>
      </c>
      <c r="B106" s="1">
        <v>19.0</v>
      </c>
      <c r="C106" s="1" t="s">
        <v>2414</v>
      </c>
      <c r="D106" s="1" t="s">
        <v>867</v>
      </c>
      <c r="E106" s="5">
        <v>1520.0</v>
      </c>
      <c r="F106" s="4">
        <v>10119.805564880371</v>
      </c>
      <c r="G106" s="1" t="s">
        <v>2498</v>
      </c>
      <c r="H106" s="95">
        <v>45447.0</v>
      </c>
      <c r="I106" s="95">
        <v>45457.0</v>
      </c>
      <c r="J106" s="4">
        <v>9232.350807189941</v>
      </c>
      <c r="K106" s="1"/>
      <c r="L106" s="1"/>
      <c r="M106" s="1" t="str">
        <f>VLOOKUP(B106,Bounties!A:D,3,FALSE)</f>
        <v>Development</v>
      </c>
      <c r="N106" s="1" t="str">
        <f>VLOOKUP(B106,Bounties!A:D,4,FALSE)</f>
        <v>Smart Contracts</v>
      </c>
      <c r="O106" s="1" t="str">
        <f t="shared" ref="O106:P106" si="110">IF(ISBLANK(K106),M106,K106)</f>
        <v>Development</v>
      </c>
      <c r="P106" s="1" t="str">
        <f t="shared" si="110"/>
        <v>Smart Contracts</v>
      </c>
      <c r="Q106" s="61" t="str">
        <f t="shared" si="3"/>
        <v>2024</v>
      </c>
      <c r="R106" s="62">
        <f t="shared" si="4"/>
        <v>6</v>
      </c>
      <c r="S106" s="61" t="str">
        <f t="shared" si="5"/>
        <v>2024-Q2</v>
      </c>
      <c r="T106" s="63" t="str">
        <f t="shared" si="6"/>
        <v>2024-06</v>
      </c>
      <c r="U106" s="64" t="str">
        <f t="shared" si="7"/>
        <v>2024-H1</v>
      </c>
      <c r="V106" s="9" t="str">
        <f>VLOOKUP(B106,Bounties!A:E,2,FALSE)</f>
        <v>Wasm Smart Contracts Bounty</v>
      </c>
    </row>
    <row r="107" hidden="1">
      <c r="A107" s="67">
        <f>HYPERLINK("https://polkadot.subsquare.io/treasury/child-bounties/1296", 1296)</f>
        <v>1296</v>
      </c>
      <c r="B107" s="1">
        <v>37.0</v>
      </c>
      <c r="C107" s="1" t="s">
        <v>2460</v>
      </c>
      <c r="D107" s="1" t="s">
        <v>2499</v>
      </c>
      <c r="E107" s="5">
        <v>154.97</v>
      </c>
      <c r="F107" s="4">
        <v>1031.754123940468</v>
      </c>
      <c r="G107" s="1" t="s">
        <v>2479</v>
      </c>
      <c r="H107" s="95">
        <v>45447.0</v>
      </c>
      <c r="I107" s="95">
        <v>45447.0</v>
      </c>
      <c r="J107" s="4">
        <v>1031.754123940468</v>
      </c>
      <c r="K107" s="1"/>
      <c r="L107" s="1"/>
      <c r="M107" s="1" t="str">
        <f>VLOOKUP(B107,Bounties!A:D,3,FALSE)</f>
        <v>Operations</v>
      </c>
      <c r="N107" s="1" t="str">
        <f>VLOOKUP(B107,Bounties!A:D,4,FALSE)</f>
        <v>Infrastructure</v>
      </c>
      <c r="O107" s="1" t="str">
        <f t="shared" ref="O107:P107" si="111">IF(ISBLANK(K107),M107,K107)</f>
        <v>Operations</v>
      </c>
      <c r="P107" s="1" t="str">
        <f t="shared" si="111"/>
        <v>Infrastructure</v>
      </c>
      <c r="Q107" s="61" t="str">
        <f t="shared" si="3"/>
        <v>2024</v>
      </c>
      <c r="R107" s="62">
        <f t="shared" si="4"/>
        <v>6</v>
      </c>
      <c r="S107" s="61" t="str">
        <f t="shared" si="5"/>
        <v>2024-Q2</v>
      </c>
      <c r="T107" s="63" t="str">
        <f t="shared" si="6"/>
        <v>2024-06</v>
      </c>
      <c r="U107" s="64" t="str">
        <f t="shared" si="7"/>
        <v>2024-H1</v>
      </c>
      <c r="V107" s="9" t="str">
        <f>VLOOKUP(B107,Bounties!A:E,2,FALSE)</f>
        <v>Paseo Testnet Bounty</v>
      </c>
    </row>
    <row r="108" hidden="1">
      <c r="A108" s="67">
        <f>HYPERLINK("https://polkadot.subsquare.io/treasury/child-bounties/1295", 1295)</f>
        <v>1295</v>
      </c>
      <c r="B108" s="1">
        <v>37.0</v>
      </c>
      <c r="C108" s="1" t="s">
        <v>2460</v>
      </c>
      <c r="D108" s="1" t="s">
        <v>2500</v>
      </c>
      <c r="E108" s="5">
        <v>187.5</v>
      </c>
      <c r="F108" s="4">
        <v>1248.3312785625458</v>
      </c>
      <c r="G108" s="1" t="s">
        <v>2480</v>
      </c>
      <c r="H108" s="95">
        <v>45447.0</v>
      </c>
      <c r="I108" s="95">
        <v>45447.0</v>
      </c>
      <c r="J108" s="4">
        <v>1248.3312785625458</v>
      </c>
      <c r="K108" s="1"/>
      <c r="L108" s="1"/>
      <c r="M108" s="1" t="str">
        <f>VLOOKUP(B108,Bounties!A:D,3,FALSE)</f>
        <v>Operations</v>
      </c>
      <c r="N108" s="1" t="str">
        <f>VLOOKUP(B108,Bounties!A:D,4,FALSE)</f>
        <v>Infrastructure</v>
      </c>
      <c r="O108" s="1" t="str">
        <f t="shared" ref="O108:P108" si="112">IF(ISBLANK(K108),M108,K108)</f>
        <v>Operations</v>
      </c>
      <c r="P108" s="1" t="str">
        <f t="shared" si="112"/>
        <v>Infrastructure</v>
      </c>
      <c r="Q108" s="61" t="str">
        <f t="shared" si="3"/>
        <v>2024</v>
      </c>
      <c r="R108" s="62">
        <f t="shared" si="4"/>
        <v>6</v>
      </c>
      <c r="S108" s="61" t="str">
        <f t="shared" si="5"/>
        <v>2024-Q2</v>
      </c>
      <c r="T108" s="63" t="str">
        <f t="shared" si="6"/>
        <v>2024-06</v>
      </c>
      <c r="U108" s="64" t="str">
        <f t="shared" si="7"/>
        <v>2024-H1</v>
      </c>
      <c r="V108" s="9" t="str">
        <f>VLOOKUP(B108,Bounties!A:E,2,FALSE)</f>
        <v>Paseo Testnet Bounty</v>
      </c>
    </row>
    <row r="109" hidden="1">
      <c r="A109" s="67">
        <f>HYPERLINK("https://polkadot.subsquare.io/treasury/child-bounties/1294", 1294)</f>
        <v>1294</v>
      </c>
      <c r="B109" s="1">
        <v>37.0</v>
      </c>
      <c r="C109" s="1" t="s">
        <v>2414</v>
      </c>
      <c r="D109" s="1" t="s">
        <v>866</v>
      </c>
      <c r="E109" s="5">
        <v>178.39</v>
      </c>
      <c r="F109" s="4">
        <v>1187.6790228414534</v>
      </c>
      <c r="G109" s="1" t="s">
        <v>2439</v>
      </c>
      <c r="H109" s="95">
        <v>45447.0</v>
      </c>
      <c r="I109" s="95">
        <v>45460.0</v>
      </c>
      <c r="J109" s="4">
        <v>1033.6294545030594</v>
      </c>
      <c r="K109" s="1"/>
      <c r="L109" s="1"/>
      <c r="M109" s="1" t="str">
        <f>VLOOKUP(B109,Bounties!A:D,3,FALSE)</f>
        <v>Operations</v>
      </c>
      <c r="N109" s="1" t="str">
        <f>VLOOKUP(B109,Bounties!A:D,4,FALSE)</f>
        <v>Infrastructure</v>
      </c>
      <c r="O109" s="1" t="str">
        <f t="shared" ref="O109:P109" si="113">IF(ISBLANK(K109),M109,K109)</f>
        <v>Operations</v>
      </c>
      <c r="P109" s="1" t="str">
        <f t="shared" si="113"/>
        <v>Infrastructure</v>
      </c>
      <c r="Q109" s="61" t="str">
        <f t="shared" si="3"/>
        <v>2024</v>
      </c>
      <c r="R109" s="62">
        <f t="shared" si="4"/>
        <v>6</v>
      </c>
      <c r="S109" s="61" t="str">
        <f t="shared" si="5"/>
        <v>2024-Q2</v>
      </c>
      <c r="T109" s="63" t="str">
        <f t="shared" si="6"/>
        <v>2024-06</v>
      </c>
      <c r="U109" s="64" t="str">
        <f t="shared" si="7"/>
        <v>2024-H1</v>
      </c>
      <c r="V109" s="9" t="str">
        <f>VLOOKUP(B109,Bounties!A:E,2,FALSE)</f>
        <v>Paseo Testnet Bounty</v>
      </c>
    </row>
    <row r="110" hidden="1">
      <c r="A110" s="67">
        <f>HYPERLINK("https://polkadot.subsquare.io/treasury/child-bounties/1293", 1293)</f>
        <v>1293</v>
      </c>
      <c r="B110" s="1">
        <v>17.0</v>
      </c>
      <c r="C110" s="1" t="s">
        <v>2414</v>
      </c>
      <c r="D110" s="1" t="s">
        <v>865</v>
      </c>
      <c r="E110" s="5">
        <v>614.0</v>
      </c>
      <c r="F110" s="4">
        <v>4385.196612358093</v>
      </c>
      <c r="G110" s="1" t="s">
        <v>2501</v>
      </c>
      <c r="H110" s="95">
        <v>45447.0</v>
      </c>
      <c r="I110" s="95">
        <v>45457.0</v>
      </c>
      <c r="J110" s="4">
        <v>3729.383812904358</v>
      </c>
      <c r="K110" s="1"/>
      <c r="L110" s="1"/>
      <c r="M110" s="1" t="str">
        <f>VLOOKUP(B110,Bounties!A:D,3,FALSE)</f>
        <v>Outreach</v>
      </c>
      <c r="N110" s="1" t="str">
        <f>VLOOKUP(B110,Bounties!A:D,4,FALSE)</f>
        <v>Events/Meetups</v>
      </c>
      <c r="O110" s="1" t="str">
        <f t="shared" ref="O110:P110" si="114">IF(ISBLANK(K110),M110,K110)</f>
        <v>Outreach</v>
      </c>
      <c r="P110" s="1" t="str">
        <f t="shared" si="114"/>
        <v>Events/Meetups</v>
      </c>
      <c r="Q110" s="61" t="str">
        <f t="shared" si="3"/>
        <v>2024</v>
      </c>
      <c r="R110" s="62">
        <f t="shared" si="4"/>
        <v>6</v>
      </c>
      <c r="S110" s="61" t="str">
        <f t="shared" si="5"/>
        <v>2024-Q2</v>
      </c>
      <c r="T110" s="63" t="str">
        <f t="shared" si="6"/>
        <v>2024-06</v>
      </c>
      <c r="U110" s="64" t="str">
        <f t="shared" si="7"/>
        <v>2024-H1</v>
      </c>
      <c r="V110" s="9" t="str">
        <f>VLOOKUP(B110,Bounties!A:E,2,FALSE)</f>
        <v>Events Bounty</v>
      </c>
    </row>
    <row r="111" hidden="1">
      <c r="A111" s="67">
        <f>HYPERLINK("https://polkadot.subsquare.io/treasury/child-bounties/1292", 1292)</f>
        <v>1292</v>
      </c>
      <c r="B111" s="1">
        <v>17.0</v>
      </c>
      <c r="C111" s="1" t="s">
        <v>2460</v>
      </c>
      <c r="D111" s="1" t="s">
        <v>2502</v>
      </c>
      <c r="E111" s="5">
        <v>545.0</v>
      </c>
      <c r="F111" s="4">
        <v>3892.397644519806</v>
      </c>
      <c r="G111" s="1" t="s">
        <v>2503</v>
      </c>
      <c r="H111" s="95">
        <v>45447.0</v>
      </c>
      <c r="I111" s="95">
        <v>45448.0</v>
      </c>
      <c r="J111" s="4">
        <v>3481.6910362243652</v>
      </c>
      <c r="K111" s="1"/>
      <c r="L111" s="1"/>
      <c r="M111" s="1" t="str">
        <f>VLOOKUP(B111,Bounties!A:D,3,FALSE)</f>
        <v>Outreach</v>
      </c>
      <c r="N111" s="1" t="str">
        <f>VLOOKUP(B111,Bounties!A:D,4,FALSE)</f>
        <v>Events/Meetups</v>
      </c>
      <c r="O111" s="1" t="str">
        <f t="shared" ref="O111:P111" si="115">IF(ISBLANK(K111),M111,K111)</f>
        <v>Outreach</v>
      </c>
      <c r="P111" s="1" t="str">
        <f t="shared" si="115"/>
        <v>Events/Meetups</v>
      </c>
      <c r="Q111" s="61" t="str">
        <f t="shared" si="3"/>
        <v>2024</v>
      </c>
      <c r="R111" s="62">
        <f t="shared" si="4"/>
        <v>6</v>
      </c>
      <c r="S111" s="61" t="str">
        <f t="shared" si="5"/>
        <v>2024-Q2</v>
      </c>
      <c r="T111" s="63" t="str">
        <f t="shared" si="6"/>
        <v>2024-06</v>
      </c>
      <c r="U111" s="64" t="str">
        <f t="shared" si="7"/>
        <v>2024-H1</v>
      </c>
      <c r="V111" s="9" t="str">
        <f>VLOOKUP(B111,Bounties!A:E,2,FALSE)</f>
        <v>Events Bounty</v>
      </c>
    </row>
    <row r="112" hidden="1">
      <c r="A112" s="67">
        <f>HYPERLINK("https://polkadot.subsquare.io/treasury/child-bounties/1291", 1291)</f>
        <v>1291</v>
      </c>
      <c r="B112" s="1">
        <v>17.0</v>
      </c>
      <c r="C112" s="1" t="s">
        <v>2460</v>
      </c>
      <c r="D112" s="1" t="s">
        <v>2504</v>
      </c>
      <c r="E112" s="5">
        <v>545.0</v>
      </c>
      <c r="F112" s="4">
        <v>3892.397644519806</v>
      </c>
      <c r="G112" s="1" t="s">
        <v>2505</v>
      </c>
      <c r="H112" s="95">
        <v>45447.0</v>
      </c>
      <c r="I112" s="95">
        <v>45448.0</v>
      </c>
      <c r="J112" s="4">
        <v>3481.6910362243652</v>
      </c>
      <c r="K112" s="1"/>
      <c r="L112" s="1"/>
      <c r="M112" s="1" t="str">
        <f>VLOOKUP(B112,Bounties!A:D,3,FALSE)</f>
        <v>Outreach</v>
      </c>
      <c r="N112" s="1" t="str">
        <f>VLOOKUP(B112,Bounties!A:D,4,FALSE)</f>
        <v>Events/Meetups</v>
      </c>
      <c r="O112" s="1" t="str">
        <f t="shared" ref="O112:P112" si="116">IF(ISBLANK(K112),M112,K112)</f>
        <v>Outreach</v>
      </c>
      <c r="P112" s="1" t="str">
        <f t="shared" si="116"/>
        <v>Events/Meetups</v>
      </c>
      <c r="Q112" s="61" t="str">
        <f t="shared" si="3"/>
        <v>2024</v>
      </c>
      <c r="R112" s="62">
        <f t="shared" si="4"/>
        <v>6</v>
      </c>
      <c r="S112" s="61" t="str">
        <f t="shared" si="5"/>
        <v>2024-Q2</v>
      </c>
      <c r="T112" s="63" t="str">
        <f t="shared" si="6"/>
        <v>2024-06</v>
      </c>
      <c r="U112" s="64" t="str">
        <f t="shared" si="7"/>
        <v>2024-H1</v>
      </c>
      <c r="V112" s="9" t="str">
        <f>VLOOKUP(B112,Bounties!A:E,2,FALSE)</f>
        <v>Events Bounty</v>
      </c>
    </row>
    <row r="113" hidden="1">
      <c r="A113" s="67">
        <f>HYPERLINK("https://polkadot.subsquare.io/treasury/child-bounties/1290", 1290)</f>
        <v>1290</v>
      </c>
      <c r="B113" s="1">
        <v>17.0</v>
      </c>
      <c r="C113" s="1" t="s">
        <v>2414</v>
      </c>
      <c r="D113" s="1" t="s">
        <v>864</v>
      </c>
      <c r="E113" s="5">
        <v>545.0</v>
      </c>
      <c r="F113" s="4">
        <v>3892.397644519806</v>
      </c>
      <c r="G113" s="1" t="s">
        <v>2506</v>
      </c>
      <c r="H113" s="95">
        <v>45447.0</v>
      </c>
      <c r="I113" s="95">
        <v>45465.0</v>
      </c>
      <c r="J113" s="4">
        <v>3184.159755706787</v>
      </c>
      <c r="K113" s="1"/>
      <c r="L113" s="1"/>
      <c r="M113" s="1" t="str">
        <f>VLOOKUP(B113,Bounties!A:D,3,FALSE)</f>
        <v>Outreach</v>
      </c>
      <c r="N113" s="1" t="str">
        <f>VLOOKUP(B113,Bounties!A:D,4,FALSE)</f>
        <v>Events/Meetups</v>
      </c>
      <c r="O113" s="1" t="str">
        <f t="shared" ref="O113:P113" si="117">IF(ISBLANK(K113),M113,K113)</f>
        <v>Outreach</v>
      </c>
      <c r="P113" s="1" t="str">
        <f t="shared" si="117"/>
        <v>Events/Meetups</v>
      </c>
      <c r="Q113" s="61" t="str">
        <f t="shared" si="3"/>
        <v>2024</v>
      </c>
      <c r="R113" s="62">
        <f t="shared" si="4"/>
        <v>6</v>
      </c>
      <c r="S113" s="61" t="str">
        <f t="shared" si="5"/>
        <v>2024-Q2</v>
      </c>
      <c r="T113" s="63" t="str">
        <f t="shared" si="6"/>
        <v>2024-06</v>
      </c>
      <c r="U113" s="64" t="str">
        <f t="shared" si="7"/>
        <v>2024-H1</v>
      </c>
      <c r="V113" s="9" t="str">
        <f>VLOOKUP(B113,Bounties!A:E,2,FALSE)</f>
        <v>Events Bounty</v>
      </c>
    </row>
    <row r="114" hidden="1">
      <c r="A114" s="67">
        <f>HYPERLINK("https://polkadot.subsquare.io/treasury/child-bounties/1289", 1289)</f>
        <v>1289</v>
      </c>
      <c r="B114" s="1">
        <v>17.0</v>
      </c>
      <c r="C114" s="1" t="s">
        <v>2414</v>
      </c>
      <c r="D114" s="1" t="s">
        <v>863</v>
      </c>
      <c r="E114" s="5">
        <v>545.0</v>
      </c>
      <c r="F114" s="4">
        <v>3892.397644519806</v>
      </c>
      <c r="G114" s="1" t="s">
        <v>2507</v>
      </c>
      <c r="H114" s="95">
        <v>45447.0</v>
      </c>
      <c r="I114" s="95">
        <v>45458.0</v>
      </c>
      <c r="J114" s="4">
        <v>3310.2836775779724</v>
      </c>
      <c r="K114" s="1"/>
      <c r="L114" s="1"/>
      <c r="M114" s="1" t="str">
        <f>VLOOKUP(B114,Bounties!A:D,3,FALSE)</f>
        <v>Outreach</v>
      </c>
      <c r="N114" s="1" t="str">
        <f>VLOOKUP(B114,Bounties!A:D,4,FALSE)</f>
        <v>Events/Meetups</v>
      </c>
      <c r="O114" s="1" t="str">
        <f t="shared" ref="O114:P114" si="118">IF(ISBLANK(K114),M114,K114)</f>
        <v>Outreach</v>
      </c>
      <c r="P114" s="1" t="str">
        <f t="shared" si="118"/>
        <v>Events/Meetups</v>
      </c>
      <c r="Q114" s="61" t="str">
        <f t="shared" si="3"/>
        <v>2024</v>
      </c>
      <c r="R114" s="62">
        <f t="shared" si="4"/>
        <v>6</v>
      </c>
      <c r="S114" s="61" t="str">
        <f t="shared" si="5"/>
        <v>2024-Q2</v>
      </c>
      <c r="T114" s="63" t="str">
        <f t="shared" si="6"/>
        <v>2024-06</v>
      </c>
      <c r="U114" s="64" t="str">
        <f t="shared" si="7"/>
        <v>2024-H1</v>
      </c>
      <c r="V114" s="9" t="str">
        <f>VLOOKUP(B114,Bounties!A:E,2,FALSE)</f>
        <v>Events Bounty</v>
      </c>
    </row>
    <row r="115" hidden="1">
      <c r="A115" s="67">
        <f>HYPERLINK("https://polkadot.subsquare.io/treasury/child-bounties/1288", 1288)</f>
        <v>1288</v>
      </c>
      <c r="B115" s="1">
        <v>36.0</v>
      </c>
      <c r="C115" s="1" t="s">
        <v>2508</v>
      </c>
      <c r="D115" s="1" t="s">
        <v>2509</v>
      </c>
      <c r="E115" s="5">
        <v>703.53</v>
      </c>
      <c r="F115" s="4">
        <v>5024.621128163338</v>
      </c>
      <c r="G115" s="1"/>
      <c r="H115" s="95">
        <v>45447.0</v>
      </c>
      <c r="I115" s="95">
        <v>45460.0</v>
      </c>
      <c r="J115" s="4">
        <v>4076.401873011589</v>
      </c>
      <c r="K115" s="1"/>
      <c r="L115" s="1"/>
      <c r="M115" s="1" t="str">
        <f>VLOOKUP(B115,Bounties!A:D,3,FALSE)</f>
        <v>Development</v>
      </c>
      <c r="N115" s="1" t="str">
        <f>VLOOKUP(B115,Bounties!A:D,4,FALSE)</f>
        <v>Software Development</v>
      </c>
      <c r="O115" s="1" t="str">
        <f t="shared" ref="O115:P115" si="119">IF(ISBLANK(K115),M115,K115)</f>
        <v>Development</v>
      </c>
      <c r="P115" s="1" t="str">
        <f t="shared" si="119"/>
        <v>Software Development</v>
      </c>
      <c r="Q115" s="61" t="str">
        <f t="shared" si="3"/>
        <v>2024</v>
      </c>
      <c r="R115" s="62">
        <f t="shared" si="4"/>
        <v>6</v>
      </c>
      <c r="S115" s="61" t="str">
        <f t="shared" si="5"/>
        <v>2024-Q2</v>
      </c>
      <c r="T115" s="63" t="str">
        <f t="shared" si="6"/>
        <v>2024-06</v>
      </c>
      <c r="U115" s="64" t="str">
        <f t="shared" si="7"/>
        <v>2024-H1</v>
      </c>
      <c r="V115" s="9" t="str">
        <f>VLOOKUP(B115,Bounties!A:E,2,FALSE)</f>
        <v>DeFi Infrastructure and Tooling Bounty</v>
      </c>
    </row>
    <row r="116" hidden="1">
      <c r="A116" s="67">
        <f>HYPERLINK("https://polkadot.subsquare.io/treasury/child-bounties/1287", 1287)</f>
        <v>1287</v>
      </c>
      <c r="B116" s="1">
        <v>36.0</v>
      </c>
      <c r="C116" s="1" t="s">
        <v>2508</v>
      </c>
      <c r="D116" s="1" t="s">
        <v>2510</v>
      </c>
      <c r="E116" s="5">
        <v>16603.34881</v>
      </c>
      <c r="F116" s="4">
        <v>120353.15606660653</v>
      </c>
      <c r="G116" s="1"/>
      <c r="H116" s="95">
        <v>45446.0</v>
      </c>
      <c r="I116" s="95">
        <v>45447.0</v>
      </c>
      <c r="J116" s="4">
        <v>118581.3500902472</v>
      </c>
      <c r="K116" s="1"/>
      <c r="L116" s="1"/>
      <c r="M116" s="1" t="str">
        <f>VLOOKUP(B116,Bounties!A:D,3,FALSE)</f>
        <v>Development</v>
      </c>
      <c r="N116" s="1" t="str">
        <f>VLOOKUP(B116,Bounties!A:D,4,FALSE)</f>
        <v>Software Development</v>
      </c>
      <c r="O116" s="1" t="str">
        <f t="shared" ref="O116:P116" si="120">IF(ISBLANK(K116),M116,K116)</f>
        <v>Development</v>
      </c>
      <c r="P116" s="1" t="str">
        <f t="shared" si="120"/>
        <v>Software Development</v>
      </c>
      <c r="Q116" s="61" t="str">
        <f t="shared" si="3"/>
        <v>2024</v>
      </c>
      <c r="R116" s="62">
        <f t="shared" si="4"/>
        <v>6</v>
      </c>
      <c r="S116" s="61" t="str">
        <f t="shared" si="5"/>
        <v>2024-Q2</v>
      </c>
      <c r="T116" s="63" t="str">
        <f t="shared" si="6"/>
        <v>2024-06</v>
      </c>
      <c r="U116" s="64" t="str">
        <f t="shared" si="7"/>
        <v>2024-H1</v>
      </c>
      <c r="V116" s="9" t="str">
        <f>VLOOKUP(B116,Bounties!A:E,2,FALSE)</f>
        <v>DeFi Infrastructure and Tooling Bounty</v>
      </c>
    </row>
    <row r="117" hidden="1">
      <c r="A117" s="67">
        <f>HYPERLINK("https://polkadot.subsquare.io/treasury/child-bounties/1286", 1286)</f>
        <v>1286</v>
      </c>
      <c r="B117" s="1">
        <v>36.0</v>
      </c>
      <c r="C117" s="1" t="s">
        <v>2508</v>
      </c>
      <c r="D117" s="1" t="s">
        <v>2511</v>
      </c>
      <c r="E117" s="5">
        <v>8442.380751</v>
      </c>
      <c r="F117" s="4">
        <v>61196.52003497347</v>
      </c>
      <c r="G117" s="1"/>
      <c r="H117" s="95">
        <v>45446.0</v>
      </c>
      <c r="I117" s="95">
        <v>45460.0</v>
      </c>
      <c r="J117" s="4">
        <v>48916.94271182947</v>
      </c>
      <c r="K117" s="1"/>
      <c r="L117" s="1"/>
      <c r="M117" s="1" t="str">
        <f>VLOOKUP(B117,Bounties!A:D,3,FALSE)</f>
        <v>Development</v>
      </c>
      <c r="N117" s="1" t="str">
        <f>VLOOKUP(B117,Bounties!A:D,4,FALSE)</f>
        <v>Software Development</v>
      </c>
      <c r="O117" s="1" t="str">
        <f t="shared" ref="O117:P117" si="121">IF(ISBLANK(K117),M117,K117)</f>
        <v>Development</v>
      </c>
      <c r="P117" s="1" t="str">
        <f t="shared" si="121"/>
        <v>Software Development</v>
      </c>
      <c r="Q117" s="61" t="str">
        <f t="shared" si="3"/>
        <v>2024</v>
      </c>
      <c r="R117" s="62">
        <f t="shared" si="4"/>
        <v>6</v>
      </c>
      <c r="S117" s="61" t="str">
        <f t="shared" si="5"/>
        <v>2024-Q2</v>
      </c>
      <c r="T117" s="63" t="str">
        <f t="shared" si="6"/>
        <v>2024-06</v>
      </c>
      <c r="U117" s="64" t="str">
        <f t="shared" si="7"/>
        <v>2024-H1</v>
      </c>
      <c r="V117" s="9" t="str">
        <f>VLOOKUP(B117,Bounties!A:E,2,FALSE)</f>
        <v>DeFi Infrastructure and Tooling Bounty</v>
      </c>
    </row>
    <row r="118" hidden="1">
      <c r="A118" s="67">
        <f>HYPERLINK("https://polkadot.subsquare.io/treasury/child-bounties/1285", 1285)</f>
        <v>1285</v>
      </c>
      <c r="B118" s="1">
        <v>36.0</v>
      </c>
      <c r="C118" s="1" t="s">
        <v>2508</v>
      </c>
      <c r="D118" s="1" t="s">
        <v>2512</v>
      </c>
      <c r="E118" s="5">
        <v>8864.499789</v>
      </c>
      <c r="F118" s="4">
        <v>64256.34603998407</v>
      </c>
      <c r="G118" s="1"/>
      <c r="H118" s="95">
        <v>45446.0</v>
      </c>
      <c r="I118" s="95">
        <v>45460.0</v>
      </c>
      <c r="J118" s="4">
        <v>51362.78985002833</v>
      </c>
      <c r="K118" s="1"/>
      <c r="L118" s="1"/>
      <c r="M118" s="1" t="str">
        <f>VLOOKUP(B118,Bounties!A:D,3,FALSE)</f>
        <v>Development</v>
      </c>
      <c r="N118" s="1" t="str">
        <f>VLOOKUP(B118,Bounties!A:D,4,FALSE)</f>
        <v>Software Development</v>
      </c>
      <c r="O118" s="1" t="str">
        <f t="shared" ref="O118:P118" si="122">IF(ISBLANK(K118),M118,K118)</f>
        <v>Development</v>
      </c>
      <c r="P118" s="1" t="str">
        <f t="shared" si="122"/>
        <v>Software Development</v>
      </c>
      <c r="Q118" s="61" t="str">
        <f t="shared" si="3"/>
        <v>2024</v>
      </c>
      <c r="R118" s="62">
        <f t="shared" si="4"/>
        <v>6</v>
      </c>
      <c r="S118" s="61" t="str">
        <f t="shared" si="5"/>
        <v>2024-Q2</v>
      </c>
      <c r="T118" s="63" t="str">
        <f t="shared" si="6"/>
        <v>2024-06</v>
      </c>
      <c r="U118" s="64" t="str">
        <f t="shared" si="7"/>
        <v>2024-H1</v>
      </c>
      <c r="V118" s="9" t="str">
        <f>VLOOKUP(B118,Bounties!A:E,2,FALSE)</f>
        <v>DeFi Infrastructure and Tooling Bounty</v>
      </c>
    </row>
    <row r="119" hidden="1">
      <c r="A119" s="67">
        <f>HYPERLINK("https://polkadot.subsquare.io/treasury/child-bounties/1284", 1284)</f>
        <v>1284</v>
      </c>
      <c r="B119" s="1">
        <v>43.0</v>
      </c>
      <c r="C119" s="1" t="s">
        <v>2414</v>
      </c>
      <c r="D119" s="1" t="s">
        <v>862</v>
      </c>
      <c r="E119" s="5">
        <v>38.896</v>
      </c>
      <c r="F119" s="4">
        <v>281.9465164489746</v>
      </c>
      <c r="G119" s="1" t="s">
        <v>2513</v>
      </c>
      <c r="H119" s="95">
        <v>45445.0</v>
      </c>
      <c r="I119" s="95">
        <v>45466.0</v>
      </c>
      <c r="J119" s="4">
        <v>225.33529389953614</v>
      </c>
      <c r="K119" s="1"/>
      <c r="L119" s="1"/>
      <c r="M119" s="1" t="str">
        <f>VLOOKUP(B119,Bounties!A:D,3,FALSE)</f>
        <v>Outreach</v>
      </c>
      <c r="N119" s="1" t="str">
        <f>VLOOKUP(B119,Bounties!A:D,4,FALSE)</f>
        <v>Events/Meetups</v>
      </c>
      <c r="O119" s="1" t="str">
        <f t="shared" ref="O119:P119" si="123">IF(ISBLANK(K119),M119,K119)</f>
        <v>Outreach</v>
      </c>
      <c r="P119" s="1" t="str">
        <f t="shared" si="123"/>
        <v>Events/Meetups</v>
      </c>
      <c r="Q119" s="61" t="str">
        <f t="shared" si="3"/>
        <v>2024</v>
      </c>
      <c r="R119" s="62">
        <f t="shared" si="4"/>
        <v>6</v>
      </c>
      <c r="S119" s="61" t="str">
        <f t="shared" si="5"/>
        <v>2024-Q2</v>
      </c>
      <c r="T119" s="63" t="str">
        <f t="shared" si="6"/>
        <v>2024-06</v>
      </c>
      <c r="U119" s="64" t="str">
        <f t="shared" si="7"/>
        <v>2024-H1</v>
      </c>
      <c r="V119" s="9" t="str">
        <f>VLOOKUP(B119,Bounties!A:E,2,FALSE)</f>
        <v>Meetups Bounty</v>
      </c>
    </row>
    <row r="120" hidden="1">
      <c r="A120" s="67">
        <f>HYPERLINK("https://polkadot.subsquare.io/treasury/child-bounties/1283", 1283)</f>
        <v>1283</v>
      </c>
      <c r="B120" s="1">
        <v>46.0</v>
      </c>
      <c r="C120" s="1" t="s">
        <v>2414</v>
      </c>
      <c r="D120" s="1" t="s">
        <v>861</v>
      </c>
      <c r="E120" s="5">
        <v>657.0</v>
      </c>
      <c r="F120" s="4">
        <v>4762.4141635894775</v>
      </c>
      <c r="G120" s="1" t="s">
        <v>2514</v>
      </c>
      <c r="H120" s="95">
        <v>45445.0</v>
      </c>
      <c r="I120" s="95">
        <v>45454.0</v>
      </c>
      <c r="J120" s="4">
        <v>4048.9341158866882</v>
      </c>
      <c r="K120" s="1"/>
      <c r="L120" s="1"/>
      <c r="M120" s="1" t="str">
        <f>VLOOKUP(B120,Bounties!A:D,3,FALSE)</f>
        <v>Outreach</v>
      </c>
      <c r="N120" s="1" t="str">
        <f>VLOOKUP(B120,Bounties!A:D,4,FALSE)</f>
        <v>Advertising</v>
      </c>
      <c r="O120" s="1" t="str">
        <f t="shared" ref="O120:P120" si="124">IF(ISBLANK(K120),M120,K120)</f>
        <v>Outreach</v>
      </c>
      <c r="P120" s="1" t="str">
        <f t="shared" si="124"/>
        <v>Advertising</v>
      </c>
      <c r="Q120" s="61" t="str">
        <f t="shared" si="3"/>
        <v>2024</v>
      </c>
      <c r="R120" s="62">
        <f t="shared" si="4"/>
        <v>6</v>
      </c>
      <c r="S120" s="61" t="str">
        <f t="shared" si="5"/>
        <v>2024-Q2</v>
      </c>
      <c r="T120" s="63" t="str">
        <f t="shared" si="6"/>
        <v>2024-06</v>
      </c>
      <c r="U120" s="64" t="str">
        <f t="shared" si="7"/>
        <v>2024-H1</v>
      </c>
      <c r="V120" s="9" t="str">
        <f>VLOOKUP(B120,Bounties!A:E,2,FALSE)</f>
        <v>AMI Bounty</v>
      </c>
    </row>
    <row r="121" hidden="1">
      <c r="A121" s="67">
        <f>HYPERLINK("https://polkadot.subsquare.io/treasury/child-bounties/1282", 1282)</f>
        <v>1282</v>
      </c>
      <c r="B121" s="1">
        <v>46.0</v>
      </c>
      <c r="C121" s="1" t="s">
        <v>2414</v>
      </c>
      <c r="D121" s="1" t="s">
        <v>860</v>
      </c>
      <c r="E121" s="5">
        <v>160.0</v>
      </c>
      <c r="F121" s="4">
        <v>1159.7964477539062</v>
      </c>
      <c r="G121" s="1" t="s">
        <v>2515</v>
      </c>
      <c r="H121" s="95">
        <v>45445.0</v>
      </c>
      <c r="I121" s="95">
        <v>45454.0</v>
      </c>
      <c r="J121" s="4">
        <v>986.0417938232422</v>
      </c>
      <c r="K121" s="1"/>
      <c r="L121" s="1"/>
      <c r="M121" s="1" t="str">
        <f>VLOOKUP(B121,Bounties!A:D,3,FALSE)</f>
        <v>Outreach</v>
      </c>
      <c r="N121" s="1" t="str">
        <f>VLOOKUP(B121,Bounties!A:D,4,FALSE)</f>
        <v>Advertising</v>
      </c>
      <c r="O121" s="1" t="str">
        <f t="shared" ref="O121:P121" si="125">IF(ISBLANK(K121),M121,K121)</f>
        <v>Outreach</v>
      </c>
      <c r="P121" s="1" t="str">
        <f t="shared" si="125"/>
        <v>Advertising</v>
      </c>
      <c r="Q121" s="61" t="str">
        <f t="shared" si="3"/>
        <v>2024</v>
      </c>
      <c r="R121" s="62">
        <f t="shared" si="4"/>
        <v>6</v>
      </c>
      <c r="S121" s="61" t="str">
        <f t="shared" si="5"/>
        <v>2024-Q2</v>
      </c>
      <c r="T121" s="63" t="str">
        <f t="shared" si="6"/>
        <v>2024-06</v>
      </c>
      <c r="U121" s="64" t="str">
        <f t="shared" si="7"/>
        <v>2024-H1</v>
      </c>
      <c r="V121" s="9" t="str">
        <f>VLOOKUP(B121,Bounties!A:E,2,FALSE)</f>
        <v>AMI Bounty</v>
      </c>
    </row>
    <row r="122" hidden="1">
      <c r="A122" s="67">
        <f>HYPERLINK("https://polkadot.subsquare.io/treasury/child-bounties/1281", 1281)</f>
        <v>1281</v>
      </c>
      <c r="B122" s="1">
        <v>46.0</v>
      </c>
      <c r="C122" s="1" t="s">
        <v>2414</v>
      </c>
      <c r="D122" s="1" t="s">
        <v>859</v>
      </c>
      <c r="E122" s="5">
        <v>285.0</v>
      </c>
      <c r="F122" s="4">
        <v>2065.8874225616455</v>
      </c>
      <c r="G122" s="1" t="s">
        <v>2516</v>
      </c>
      <c r="H122" s="95">
        <v>45445.0</v>
      </c>
      <c r="I122" s="95">
        <v>45454.0</v>
      </c>
      <c r="J122" s="4">
        <v>1756.3869452476501</v>
      </c>
      <c r="K122" s="1"/>
      <c r="L122" s="1"/>
      <c r="M122" s="1" t="str">
        <f>VLOOKUP(B122,Bounties!A:D,3,FALSE)</f>
        <v>Outreach</v>
      </c>
      <c r="N122" s="1" t="str">
        <f>VLOOKUP(B122,Bounties!A:D,4,FALSE)</f>
        <v>Advertising</v>
      </c>
      <c r="O122" s="1" t="str">
        <f t="shared" ref="O122:P122" si="126">IF(ISBLANK(K122),M122,K122)</f>
        <v>Outreach</v>
      </c>
      <c r="P122" s="1" t="str">
        <f t="shared" si="126"/>
        <v>Advertising</v>
      </c>
      <c r="Q122" s="61" t="str">
        <f t="shared" si="3"/>
        <v>2024</v>
      </c>
      <c r="R122" s="62">
        <f t="shared" si="4"/>
        <v>6</v>
      </c>
      <c r="S122" s="61" t="str">
        <f t="shared" si="5"/>
        <v>2024-Q2</v>
      </c>
      <c r="T122" s="63" t="str">
        <f t="shared" si="6"/>
        <v>2024-06</v>
      </c>
      <c r="U122" s="64" t="str">
        <f t="shared" si="7"/>
        <v>2024-H1</v>
      </c>
      <c r="V122" s="9" t="str">
        <f>VLOOKUP(B122,Bounties!A:E,2,FALSE)</f>
        <v>AMI Bounty</v>
      </c>
    </row>
    <row r="123" hidden="1">
      <c r="A123" s="67">
        <f>HYPERLINK("https://polkadot.subsquare.io/treasury/child-bounties/1280", 1280)</f>
        <v>1280</v>
      </c>
      <c r="B123" s="1">
        <v>46.0</v>
      </c>
      <c r="C123" s="1" t="s">
        <v>2414</v>
      </c>
      <c r="D123" s="1" t="s">
        <v>858</v>
      </c>
      <c r="E123" s="5">
        <v>178.0</v>
      </c>
      <c r="F123" s="4">
        <v>1290.2735481262207</v>
      </c>
      <c r="G123" s="1" t="s">
        <v>2517</v>
      </c>
      <c r="H123" s="95">
        <v>45445.0</v>
      </c>
      <c r="I123" s="95">
        <v>45454.0</v>
      </c>
      <c r="J123" s="4">
        <v>1096.971495628357</v>
      </c>
      <c r="K123" s="1"/>
      <c r="L123" s="1"/>
      <c r="M123" s="1" t="str">
        <f>VLOOKUP(B123,Bounties!A:D,3,FALSE)</f>
        <v>Outreach</v>
      </c>
      <c r="N123" s="1" t="str">
        <f>VLOOKUP(B123,Bounties!A:D,4,FALSE)</f>
        <v>Advertising</v>
      </c>
      <c r="O123" s="1" t="str">
        <f t="shared" ref="O123:P123" si="127">IF(ISBLANK(K123),M123,K123)</f>
        <v>Outreach</v>
      </c>
      <c r="P123" s="1" t="str">
        <f t="shared" si="127"/>
        <v>Advertising</v>
      </c>
      <c r="Q123" s="61" t="str">
        <f t="shared" si="3"/>
        <v>2024</v>
      </c>
      <c r="R123" s="62">
        <f t="shared" si="4"/>
        <v>6</v>
      </c>
      <c r="S123" s="61" t="str">
        <f t="shared" si="5"/>
        <v>2024-Q2</v>
      </c>
      <c r="T123" s="63" t="str">
        <f t="shared" si="6"/>
        <v>2024-06</v>
      </c>
      <c r="U123" s="64" t="str">
        <f t="shared" si="7"/>
        <v>2024-H1</v>
      </c>
      <c r="V123" s="9" t="str">
        <f>VLOOKUP(B123,Bounties!A:E,2,FALSE)</f>
        <v>AMI Bounty</v>
      </c>
    </row>
    <row r="124" hidden="1">
      <c r="A124" s="67">
        <f>HYPERLINK("https://polkadot.subsquare.io/treasury/child-bounties/1279", 1279)</f>
        <v>1279</v>
      </c>
      <c r="B124" s="1">
        <v>46.0</v>
      </c>
      <c r="C124" s="1" t="s">
        <v>2414</v>
      </c>
      <c r="D124" s="1" t="s">
        <v>857</v>
      </c>
      <c r="E124" s="5">
        <v>180.0</v>
      </c>
      <c r="F124" s="4">
        <v>1304.7710037231445</v>
      </c>
      <c r="G124" s="1" t="s">
        <v>2518</v>
      </c>
      <c r="H124" s="95">
        <v>45445.0</v>
      </c>
      <c r="I124" s="95">
        <v>45454.0</v>
      </c>
      <c r="J124" s="4">
        <v>1109.2970180511475</v>
      </c>
      <c r="K124" s="1"/>
      <c r="L124" s="1"/>
      <c r="M124" s="1" t="str">
        <f>VLOOKUP(B124,Bounties!A:D,3,FALSE)</f>
        <v>Outreach</v>
      </c>
      <c r="N124" s="1" t="str">
        <f>VLOOKUP(B124,Bounties!A:D,4,FALSE)</f>
        <v>Advertising</v>
      </c>
      <c r="O124" s="1" t="str">
        <f t="shared" ref="O124:P124" si="128">IF(ISBLANK(K124),M124,K124)</f>
        <v>Outreach</v>
      </c>
      <c r="P124" s="1" t="str">
        <f t="shared" si="128"/>
        <v>Advertising</v>
      </c>
      <c r="Q124" s="61" t="str">
        <f t="shared" si="3"/>
        <v>2024</v>
      </c>
      <c r="R124" s="62">
        <f t="shared" si="4"/>
        <v>6</v>
      </c>
      <c r="S124" s="61" t="str">
        <f t="shared" si="5"/>
        <v>2024-Q2</v>
      </c>
      <c r="T124" s="63" t="str">
        <f t="shared" si="6"/>
        <v>2024-06</v>
      </c>
      <c r="U124" s="64" t="str">
        <f t="shared" si="7"/>
        <v>2024-H1</v>
      </c>
      <c r="V124" s="9" t="str">
        <f>VLOOKUP(B124,Bounties!A:E,2,FALSE)</f>
        <v>AMI Bounty</v>
      </c>
    </row>
    <row r="125" hidden="1">
      <c r="A125" s="67">
        <f>HYPERLINK("https://polkadot.subsquare.io/treasury/child-bounties/1278", 1278)</f>
        <v>1278</v>
      </c>
      <c r="B125" s="1">
        <v>46.0</v>
      </c>
      <c r="C125" s="1" t="s">
        <v>2414</v>
      </c>
      <c r="D125" s="1" t="s">
        <v>856</v>
      </c>
      <c r="E125" s="5">
        <v>400.0</v>
      </c>
      <c r="F125" s="4">
        <v>2899.4911193847656</v>
      </c>
      <c r="G125" s="1" t="s">
        <v>2519</v>
      </c>
      <c r="H125" s="95">
        <v>45445.0</v>
      </c>
      <c r="I125" s="95">
        <v>45454.0</v>
      </c>
      <c r="J125" s="4">
        <v>2465.1044845581055</v>
      </c>
      <c r="K125" s="1"/>
      <c r="L125" s="1"/>
      <c r="M125" s="1" t="str">
        <f>VLOOKUP(B125,Bounties!A:D,3,FALSE)</f>
        <v>Outreach</v>
      </c>
      <c r="N125" s="1" t="str">
        <f>VLOOKUP(B125,Bounties!A:D,4,FALSE)</f>
        <v>Advertising</v>
      </c>
      <c r="O125" s="1" t="str">
        <f t="shared" ref="O125:P125" si="129">IF(ISBLANK(K125),M125,K125)</f>
        <v>Outreach</v>
      </c>
      <c r="P125" s="1" t="str">
        <f t="shared" si="129"/>
        <v>Advertising</v>
      </c>
      <c r="Q125" s="61" t="str">
        <f t="shared" si="3"/>
        <v>2024</v>
      </c>
      <c r="R125" s="62">
        <f t="shared" si="4"/>
        <v>6</v>
      </c>
      <c r="S125" s="61" t="str">
        <f t="shared" si="5"/>
        <v>2024-Q2</v>
      </c>
      <c r="T125" s="63" t="str">
        <f t="shared" si="6"/>
        <v>2024-06</v>
      </c>
      <c r="U125" s="64" t="str">
        <f t="shared" si="7"/>
        <v>2024-H1</v>
      </c>
      <c r="V125" s="9" t="str">
        <f>VLOOKUP(B125,Bounties!A:E,2,FALSE)</f>
        <v>AMI Bounty</v>
      </c>
    </row>
    <row r="126" hidden="1">
      <c r="A126" s="67">
        <f>HYPERLINK("https://polkadot.subsquare.io/treasury/child-bounties/1277", 1277)</f>
        <v>1277</v>
      </c>
      <c r="B126" s="1">
        <v>46.0</v>
      </c>
      <c r="C126" s="1" t="s">
        <v>2414</v>
      </c>
      <c r="D126" s="1" t="s">
        <v>855</v>
      </c>
      <c r="E126" s="5">
        <v>198.0</v>
      </c>
      <c r="F126" s="4">
        <v>1435.248104095459</v>
      </c>
      <c r="G126" s="1" t="s">
        <v>2520</v>
      </c>
      <c r="H126" s="95">
        <v>45445.0</v>
      </c>
      <c r="I126" s="95">
        <v>45454.0</v>
      </c>
      <c r="J126" s="4">
        <v>1220.2267198562622</v>
      </c>
      <c r="K126" s="1"/>
      <c r="L126" s="1"/>
      <c r="M126" s="1" t="str">
        <f>VLOOKUP(B126,Bounties!A:D,3,FALSE)</f>
        <v>Outreach</v>
      </c>
      <c r="N126" s="1" t="str">
        <f>VLOOKUP(B126,Bounties!A:D,4,FALSE)</f>
        <v>Advertising</v>
      </c>
      <c r="O126" s="1" t="str">
        <f t="shared" ref="O126:P126" si="130">IF(ISBLANK(K126),M126,K126)</f>
        <v>Outreach</v>
      </c>
      <c r="P126" s="1" t="str">
        <f t="shared" si="130"/>
        <v>Advertising</v>
      </c>
      <c r="Q126" s="61" t="str">
        <f t="shared" si="3"/>
        <v>2024</v>
      </c>
      <c r="R126" s="62">
        <f t="shared" si="4"/>
        <v>6</v>
      </c>
      <c r="S126" s="61" t="str">
        <f t="shared" si="5"/>
        <v>2024-Q2</v>
      </c>
      <c r="T126" s="63" t="str">
        <f t="shared" si="6"/>
        <v>2024-06</v>
      </c>
      <c r="U126" s="64" t="str">
        <f t="shared" si="7"/>
        <v>2024-H1</v>
      </c>
      <c r="V126" s="9" t="str">
        <f>VLOOKUP(B126,Bounties!A:E,2,FALSE)</f>
        <v>AMI Bounty</v>
      </c>
    </row>
    <row r="127" hidden="1">
      <c r="A127" s="67">
        <f>HYPERLINK("https://polkadot.subsquare.io/treasury/child-bounties/1276", 1276)</f>
        <v>1276</v>
      </c>
      <c r="B127" s="1">
        <v>46.0</v>
      </c>
      <c r="C127" s="1" t="s">
        <v>2414</v>
      </c>
      <c r="D127" s="1" t="s">
        <v>854</v>
      </c>
      <c r="E127" s="5">
        <v>176.0</v>
      </c>
      <c r="F127" s="4">
        <v>1275.7760925292969</v>
      </c>
      <c r="G127" s="1" t="s">
        <v>2521</v>
      </c>
      <c r="H127" s="95">
        <v>45445.0</v>
      </c>
      <c r="I127" s="95">
        <v>45454.0</v>
      </c>
      <c r="J127" s="4">
        <v>1084.6459732055664</v>
      </c>
      <c r="K127" s="1"/>
      <c r="L127" s="1"/>
      <c r="M127" s="1" t="str">
        <f>VLOOKUP(B127,Bounties!A:D,3,FALSE)</f>
        <v>Outreach</v>
      </c>
      <c r="N127" s="1" t="str">
        <f>VLOOKUP(B127,Bounties!A:D,4,FALSE)</f>
        <v>Advertising</v>
      </c>
      <c r="O127" s="1" t="str">
        <f t="shared" ref="O127:P127" si="131">IF(ISBLANK(K127),M127,K127)</f>
        <v>Outreach</v>
      </c>
      <c r="P127" s="1" t="str">
        <f t="shared" si="131"/>
        <v>Advertising</v>
      </c>
      <c r="Q127" s="61" t="str">
        <f t="shared" si="3"/>
        <v>2024</v>
      </c>
      <c r="R127" s="62">
        <f t="shared" si="4"/>
        <v>6</v>
      </c>
      <c r="S127" s="61" t="str">
        <f t="shared" si="5"/>
        <v>2024-Q2</v>
      </c>
      <c r="T127" s="63" t="str">
        <f t="shared" si="6"/>
        <v>2024-06</v>
      </c>
      <c r="U127" s="64" t="str">
        <f t="shared" si="7"/>
        <v>2024-H1</v>
      </c>
      <c r="V127" s="9" t="str">
        <f>VLOOKUP(B127,Bounties!A:E,2,FALSE)</f>
        <v>AMI Bounty</v>
      </c>
    </row>
    <row r="128" hidden="1">
      <c r="A128" s="67">
        <f>HYPERLINK("https://polkadot.subsquare.io/treasury/child-bounties/1275", 1275)</f>
        <v>1275</v>
      </c>
      <c r="B128" s="1">
        <v>46.0</v>
      </c>
      <c r="C128" s="1" t="s">
        <v>2414</v>
      </c>
      <c r="D128" s="1" t="s">
        <v>853</v>
      </c>
      <c r="E128" s="5">
        <v>509.0</v>
      </c>
      <c r="F128" s="4">
        <v>3689.6024494171143</v>
      </c>
      <c r="G128" s="1" t="s">
        <v>2522</v>
      </c>
      <c r="H128" s="95">
        <v>45445.0</v>
      </c>
      <c r="I128" s="95">
        <v>45454.0</v>
      </c>
      <c r="J128" s="4">
        <v>3136.845456600189</v>
      </c>
      <c r="K128" s="1"/>
      <c r="L128" s="1"/>
      <c r="M128" s="1" t="str">
        <f>VLOOKUP(B128,Bounties!A:D,3,FALSE)</f>
        <v>Outreach</v>
      </c>
      <c r="N128" s="1" t="str">
        <f>VLOOKUP(B128,Bounties!A:D,4,FALSE)</f>
        <v>Advertising</v>
      </c>
      <c r="O128" s="1" t="str">
        <f t="shared" ref="O128:P128" si="132">IF(ISBLANK(K128),M128,K128)</f>
        <v>Outreach</v>
      </c>
      <c r="P128" s="1" t="str">
        <f t="shared" si="132"/>
        <v>Advertising</v>
      </c>
      <c r="Q128" s="61" t="str">
        <f t="shared" si="3"/>
        <v>2024</v>
      </c>
      <c r="R128" s="62">
        <f t="shared" si="4"/>
        <v>6</v>
      </c>
      <c r="S128" s="61" t="str">
        <f t="shared" si="5"/>
        <v>2024-Q2</v>
      </c>
      <c r="T128" s="63" t="str">
        <f t="shared" si="6"/>
        <v>2024-06</v>
      </c>
      <c r="U128" s="64" t="str">
        <f t="shared" si="7"/>
        <v>2024-H1</v>
      </c>
      <c r="V128" s="9" t="str">
        <f>VLOOKUP(B128,Bounties!A:E,2,FALSE)</f>
        <v>AMI Bounty</v>
      </c>
    </row>
    <row r="129" hidden="1">
      <c r="A129" s="67">
        <f>HYPERLINK("https://polkadot.subsquare.io/treasury/child-bounties/1274", 1274)</f>
        <v>1274</v>
      </c>
      <c r="B129" s="1">
        <v>46.0</v>
      </c>
      <c r="C129" s="1" t="s">
        <v>2414</v>
      </c>
      <c r="D129" s="1" t="s">
        <v>852</v>
      </c>
      <c r="E129" s="5">
        <v>188.0</v>
      </c>
      <c r="F129" s="4">
        <v>1362.7608261108398</v>
      </c>
      <c r="G129" s="1" t="s">
        <v>2523</v>
      </c>
      <c r="H129" s="95">
        <v>45445.0</v>
      </c>
      <c r="I129" s="95">
        <v>45454.0</v>
      </c>
      <c r="J129" s="4">
        <v>1158.5991077423096</v>
      </c>
      <c r="K129" s="1"/>
      <c r="L129" s="1"/>
      <c r="M129" s="1" t="str">
        <f>VLOOKUP(B129,Bounties!A:D,3,FALSE)</f>
        <v>Outreach</v>
      </c>
      <c r="N129" s="1" t="str">
        <f>VLOOKUP(B129,Bounties!A:D,4,FALSE)</f>
        <v>Advertising</v>
      </c>
      <c r="O129" s="1" t="str">
        <f t="shared" ref="O129:P129" si="133">IF(ISBLANK(K129),M129,K129)</f>
        <v>Outreach</v>
      </c>
      <c r="P129" s="1" t="str">
        <f t="shared" si="133"/>
        <v>Advertising</v>
      </c>
      <c r="Q129" s="61" t="str">
        <f t="shared" si="3"/>
        <v>2024</v>
      </c>
      <c r="R129" s="62">
        <f t="shared" si="4"/>
        <v>6</v>
      </c>
      <c r="S129" s="61" t="str">
        <f t="shared" si="5"/>
        <v>2024-Q2</v>
      </c>
      <c r="T129" s="63" t="str">
        <f t="shared" si="6"/>
        <v>2024-06</v>
      </c>
      <c r="U129" s="64" t="str">
        <f t="shared" si="7"/>
        <v>2024-H1</v>
      </c>
      <c r="V129" s="9" t="str">
        <f>VLOOKUP(B129,Bounties!A:E,2,FALSE)</f>
        <v>AMI Bounty</v>
      </c>
    </row>
    <row r="130" hidden="1">
      <c r="A130" s="67">
        <f>HYPERLINK("https://polkadot.subsquare.io/treasury/child-bounties/1273", 1273)</f>
        <v>1273</v>
      </c>
      <c r="B130" s="1">
        <v>11.0</v>
      </c>
      <c r="C130" s="1" t="s">
        <v>2414</v>
      </c>
      <c r="D130" s="1" t="s">
        <v>851</v>
      </c>
      <c r="E130" s="5">
        <v>35.0091023666</v>
      </c>
      <c r="F130" s="4">
        <v>251.62460122540162</v>
      </c>
      <c r="G130" s="1" t="s">
        <v>2433</v>
      </c>
      <c r="H130" s="95">
        <v>45445.0</v>
      </c>
      <c r="I130" s="95">
        <v>45454.0</v>
      </c>
      <c r="J130" s="4">
        <v>215.75273811064858</v>
      </c>
      <c r="K130" s="1"/>
      <c r="L130" s="1"/>
      <c r="M130" s="1" t="str">
        <f>VLOOKUP(B130,Bounties!A:D,3,FALSE)</f>
        <v>Research</v>
      </c>
      <c r="N130" s="1" t="str">
        <f>VLOOKUP(B130,Bounties!A:D,4,FALSE)</f>
        <v>Anti-Scam</v>
      </c>
      <c r="O130" s="1" t="str">
        <f t="shared" ref="O130:P130" si="134">IF(ISBLANK(K130),M130,K130)</f>
        <v>Research</v>
      </c>
      <c r="P130" s="1" t="str">
        <f t="shared" si="134"/>
        <v>Anti-Scam</v>
      </c>
      <c r="Q130" s="61" t="str">
        <f t="shared" si="3"/>
        <v>2024</v>
      </c>
      <c r="R130" s="62">
        <f t="shared" si="4"/>
        <v>6</v>
      </c>
      <c r="S130" s="61" t="str">
        <f t="shared" si="5"/>
        <v>2024-Q2</v>
      </c>
      <c r="T130" s="63" t="str">
        <f t="shared" si="6"/>
        <v>2024-06</v>
      </c>
      <c r="U130" s="64" t="str">
        <f t="shared" si="7"/>
        <v>2024-H1</v>
      </c>
      <c r="V130" s="9" t="str">
        <f>VLOOKUP(B130,Bounties!A:E,2,FALSE)</f>
        <v>Anti-Scam Bounty</v>
      </c>
    </row>
    <row r="131" hidden="1">
      <c r="A131" s="67">
        <f>HYPERLINK("https://polkadot.subsquare.io/treasury/child-bounties/1272", 1272)</f>
        <v>1272</v>
      </c>
      <c r="B131" s="1">
        <v>11.0</v>
      </c>
      <c r="C131" s="1" t="s">
        <v>2414</v>
      </c>
      <c r="D131" s="1" t="s">
        <v>850</v>
      </c>
      <c r="E131" s="5">
        <v>70.0182047332</v>
      </c>
      <c r="F131" s="4">
        <v>503.24920245080324</v>
      </c>
      <c r="G131" s="1" t="s">
        <v>2433</v>
      </c>
      <c r="H131" s="95">
        <v>45445.0</v>
      </c>
      <c r="I131" s="95">
        <v>45454.0</v>
      </c>
      <c r="J131" s="4">
        <v>431.50547622129716</v>
      </c>
      <c r="K131" s="1"/>
      <c r="L131" s="1"/>
      <c r="M131" s="1" t="str">
        <f>VLOOKUP(B131,Bounties!A:D,3,FALSE)</f>
        <v>Research</v>
      </c>
      <c r="N131" s="1" t="str">
        <f>VLOOKUP(B131,Bounties!A:D,4,FALSE)</f>
        <v>Anti-Scam</v>
      </c>
      <c r="O131" s="1" t="str">
        <f t="shared" ref="O131:P131" si="135">IF(ISBLANK(K131),M131,K131)</f>
        <v>Research</v>
      </c>
      <c r="P131" s="1" t="str">
        <f t="shared" si="135"/>
        <v>Anti-Scam</v>
      </c>
      <c r="Q131" s="61" t="str">
        <f t="shared" si="3"/>
        <v>2024</v>
      </c>
      <c r="R131" s="62">
        <f t="shared" si="4"/>
        <v>6</v>
      </c>
      <c r="S131" s="61" t="str">
        <f t="shared" si="5"/>
        <v>2024-Q2</v>
      </c>
      <c r="T131" s="63" t="str">
        <f t="shared" si="6"/>
        <v>2024-06</v>
      </c>
      <c r="U131" s="64" t="str">
        <f t="shared" si="7"/>
        <v>2024-H1</v>
      </c>
      <c r="V131" s="9" t="str">
        <f>VLOOKUP(B131,Bounties!A:E,2,FALSE)</f>
        <v>Anti-Scam Bounty</v>
      </c>
    </row>
    <row r="132" hidden="1">
      <c r="A132" s="67">
        <f>HYPERLINK("https://polkadot.subsquare.io/treasury/child-bounties/1271", 1271)</f>
        <v>1271</v>
      </c>
      <c r="B132" s="1">
        <v>11.0</v>
      </c>
      <c r="C132" s="1" t="s">
        <v>2414</v>
      </c>
      <c r="D132" s="1" t="s">
        <v>849</v>
      </c>
      <c r="E132" s="5">
        <v>105.027307</v>
      </c>
      <c r="F132" s="4">
        <v>754.8738029589018</v>
      </c>
      <c r="G132" s="1" t="s">
        <v>2524</v>
      </c>
      <c r="H132" s="95">
        <v>45445.0</v>
      </c>
      <c r="I132" s="95">
        <v>45454.0</v>
      </c>
      <c r="J132" s="4">
        <v>647.2582137169022</v>
      </c>
      <c r="K132" s="1"/>
      <c r="L132" s="1"/>
      <c r="M132" s="1" t="str">
        <f>VLOOKUP(B132,Bounties!A:D,3,FALSE)</f>
        <v>Research</v>
      </c>
      <c r="N132" s="1" t="str">
        <f>VLOOKUP(B132,Bounties!A:D,4,FALSE)</f>
        <v>Anti-Scam</v>
      </c>
      <c r="O132" s="1" t="str">
        <f t="shared" ref="O132:P132" si="136">IF(ISBLANK(K132),M132,K132)</f>
        <v>Research</v>
      </c>
      <c r="P132" s="1" t="str">
        <f t="shared" si="136"/>
        <v>Anti-Scam</v>
      </c>
      <c r="Q132" s="61" t="str">
        <f t="shared" si="3"/>
        <v>2024</v>
      </c>
      <c r="R132" s="62">
        <f t="shared" si="4"/>
        <v>6</v>
      </c>
      <c r="S132" s="61" t="str">
        <f t="shared" si="5"/>
        <v>2024-Q2</v>
      </c>
      <c r="T132" s="63" t="str">
        <f t="shared" si="6"/>
        <v>2024-06</v>
      </c>
      <c r="U132" s="64" t="str">
        <f t="shared" si="7"/>
        <v>2024-H1</v>
      </c>
      <c r="V132" s="9" t="str">
        <f>VLOOKUP(B132,Bounties!A:E,2,FALSE)</f>
        <v>Anti-Scam Bounty</v>
      </c>
    </row>
    <row r="133" hidden="1">
      <c r="A133" s="67">
        <f>HYPERLINK("https://polkadot.subsquare.io/treasury/child-bounties/1270", 1270)</f>
        <v>1270</v>
      </c>
      <c r="B133" s="1">
        <v>11.0</v>
      </c>
      <c r="C133" s="1" t="s">
        <v>2414</v>
      </c>
      <c r="D133" s="1" t="s">
        <v>848</v>
      </c>
      <c r="E133" s="5">
        <v>140.0364094665</v>
      </c>
      <c r="F133" s="4">
        <v>1006.4984049023253</v>
      </c>
      <c r="G133" s="1" t="s">
        <v>2525</v>
      </c>
      <c r="H133" s="95">
        <v>45445.0</v>
      </c>
      <c r="I133" s="95">
        <v>45454.0</v>
      </c>
      <c r="J133" s="4">
        <v>890.6416658629116</v>
      </c>
      <c r="K133" s="1"/>
      <c r="L133" s="1"/>
      <c r="M133" s="1" t="str">
        <f>VLOOKUP(B133,Bounties!A:D,3,FALSE)</f>
        <v>Research</v>
      </c>
      <c r="N133" s="1" t="str">
        <f>VLOOKUP(B133,Bounties!A:D,4,FALSE)</f>
        <v>Anti-Scam</v>
      </c>
      <c r="O133" s="1" t="str">
        <f t="shared" ref="O133:P133" si="137">IF(ISBLANK(K133),M133,K133)</f>
        <v>Research</v>
      </c>
      <c r="P133" s="1" t="str">
        <f t="shared" si="137"/>
        <v>Anti-Scam</v>
      </c>
      <c r="Q133" s="61" t="str">
        <f t="shared" si="3"/>
        <v>2024</v>
      </c>
      <c r="R133" s="62">
        <f t="shared" si="4"/>
        <v>6</v>
      </c>
      <c r="S133" s="61" t="str">
        <f t="shared" si="5"/>
        <v>2024-Q2</v>
      </c>
      <c r="T133" s="63" t="str">
        <f t="shared" si="6"/>
        <v>2024-06</v>
      </c>
      <c r="U133" s="64" t="str">
        <f t="shared" si="7"/>
        <v>2024-H1</v>
      </c>
      <c r="V133" s="9" t="str">
        <f>VLOOKUP(B133,Bounties!A:E,2,FALSE)</f>
        <v>Anti-Scam Bounty</v>
      </c>
    </row>
    <row r="134" hidden="1">
      <c r="A134" s="67">
        <f>HYPERLINK("https://polkadot.subsquare.io/treasury/child-bounties/1269", 1269)</f>
        <v>1269</v>
      </c>
      <c r="B134" s="1">
        <v>11.0</v>
      </c>
      <c r="C134" s="1" t="s">
        <v>2414</v>
      </c>
      <c r="D134" s="1" t="s">
        <v>847</v>
      </c>
      <c r="E134" s="5">
        <v>69.7</v>
      </c>
      <c r="F134" s="4">
        <v>500.9621361255646</v>
      </c>
      <c r="G134" s="1" t="s">
        <v>2526</v>
      </c>
      <c r="H134" s="95">
        <v>45445.0</v>
      </c>
      <c r="I134" s="95">
        <v>45456.0</v>
      </c>
      <c r="J134" s="4">
        <v>433.6046109199524</v>
      </c>
      <c r="K134" s="1"/>
      <c r="L134" s="1"/>
      <c r="M134" s="1" t="str">
        <f>VLOOKUP(B134,Bounties!A:D,3,FALSE)</f>
        <v>Research</v>
      </c>
      <c r="N134" s="1" t="str">
        <f>VLOOKUP(B134,Bounties!A:D,4,FALSE)</f>
        <v>Anti-Scam</v>
      </c>
      <c r="O134" s="1" t="str">
        <f t="shared" ref="O134:P134" si="138">IF(ISBLANK(K134),M134,K134)</f>
        <v>Research</v>
      </c>
      <c r="P134" s="1" t="str">
        <f t="shared" si="138"/>
        <v>Anti-Scam</v>
      </c>
      <c r="Q134" s="61" t="str">
        <f t="shared" si="3"/>
        <v>2024</v>
      </c>
      <c r="R134" s="62">
        <f t="shared" si="4"/>
        <v>6</v>
      </c>
      <c r="S134" s="61" t="str">
        <f t="shared" si="5"/>
        <v>2024-Q2</v>
      </c>
      <c r="T134" s="63" t="str">
        <f t="shared" si="6"/>
        <v>2024-06</v>
      </c>
      <c r="U134" s="64" t="str">
        <f t="shared" si="7"/>
        <v>2024-H1</v>
      </c>
      <c r="V134" s="9" t="str">
        <f>VLOOKUP(B134,Bounties!A:E,2,FALSE)</f>
        <v>Anti-Scam Bounty</v>
      </c>
    </row>
    <row r="135" hidden="1">
      <c r="A135" s="67">
        <f>HYPERLINK("https://polkadot.subsquare.io/treasury/child-bounties/1268", 1268)</f>
        <v>1268</v>
      </c>
      <c r="B135" s="1">
        <v>11.0</v>
      </c>
      <c r="C135" s="1" t="s">
        <v>2414</v>
      </c>
      <c r="D135" s="1" t="s">
        <v>846</v>
      </c>
      <c r="E135" s="5">
        <v>4201.09</v>
      </c>
      <c r="F135" s="4">
        <v>30194.935731072426</v>
      </c>
      <c r="G135" s="1" t="s">
        <v>2434</v>
      </c>
      <c r="H135" s="95">
        <v>45445.0</v>
      </c>
      <c r="I135" s="95">
        <v>45454.0</v>
      </c>
      <c r="J135" s="4">
        <v>25890.31449758053</v>
      </c>
      <c r="K135" s="1"/>
      <c r="L135" s="1"/>
      <c r="M135" s="1" t="str">
        <f>VLOOKUP(B135,Bounties!A:D,3,FALSE)</f>
        <v>Research</v>
      </c>
      <c r="N135" s="1" t="str">
        <f>VLOOKUP(B135,Bounties!A:D,4,FALSE)</f>
        <v>Anti-Scam</v>
      </c>
      <c r="O135" s="1" t="str">
        <f t="shared" ref="O135:P135" si="139">IF(ISBLANK(K135),M135,K135)</f>
        <v>Research</v>
      </c>
      <c r="P135" s="1" t="str">
        <f t="shared" si="139"/>
        <v>Anti-Scam</v>
      </c>
      <c r="Q135" s="61" t="str">
        <f t="shared" si="3"/>
        <v>2024</v>
      </c>
      <c r="R135" s="62">
        <f t="shared" si="4"/>
        <v>6</v>
      </c>
      <c r="S135" s="61" t="str">
        <f t="shared" si="5"/>
        <v>2024-Q2</v>
      </c>
      <c r="T135" s="63" t="str">
        <f t="shared" si="6"/>
        <v>2024-06</v>
      </c>
      <c r="U135" s="64" t="str">
        <f t="shared" si="7"/>
        <v>2024-H1</v>
      </c>
      <c r="V135" s="9" t="str">
        <f>VLOOKUP(B135,Bounties!A:E,2,FALSE)</f>
        <v>Anti-Scam Bounty</v>
      </c>
    </row>
    <row r="136" hidden="1">
      <c r="A136" s="67">
        <f>HYPERLINK("https://polkadot.subsquare.io/treasury/child-bounties/1267", 1267)</f>
        <v>1267</v>
      </c>
      <c r="B136" s="1">
        <v>11.0</v>
      </c>
      <c r="C136" s="1" t="s">
        <v>2414</v>
      </c>
      <c r="D136" s="1" t="s">
        <v>845</v>
      </c>
      <c r="E136" s="5">
        <v>294.82</v>
      </c>
      <c r="F136" s="4">
        <v>2118.9907743549347</v>
      </c>
      <c r="G136" s="1" t="s">
        <v>2527</v>
      </c>
      <c r="H136" s="95">
        <v>45445.0</v>
      </c>
      <c r="I136" s="95">
        <v>45468.0</v>
      </c>
      <c r="J136" s="4">
        <v>1851.8953415203093</v>
      </c>
      <c r="K136" s="1"/>
      <c r="L136" s="1"/>
      <c r="M136" s="1" t="str">
        <f>VLOOKUP(B136,Bounties!A:D,3,FALSE)</f>
        <v>Research</v>
      </c>
      <c r="N136" s="1" t="str">
        <f>VLOOKUP(B136,Bounties!A:D,4,FALSE)</f>
        <v>Anti-Scam</v>
      </c>
      <c r="O136" s="1" t="str">
        <f t="shared" ref="O136:P136" si="140">IF(ISBLANK(K136),M136,K136)</f>
        <v>Research</v>
      </c>
      <c r="P136" s="1" t="str">
        <f t="shared" si="140"/>
        <v>Anti-Scam</v>
      </c>
      <c r="Q136" s="61" t="str">
        <f t="shared" si="3"/>
        <v>2024</v>
      </c>
      <c r="R136" s="62">
        <f t="shared" si="4"/>
        <v>6</v>
      </c>
      <c r="S136" s="61" t="str">
        <f t="shared" si="5"/>
        <v>2024-Q2</v>
      </c>
      <c r="T136" s="63" t="str">
        <f t="shared" si="6"/>
        <v>2024-06</v>
      </c>
      <c r="U136" s="64" t="str">
        <f t="shared" si="7"/>
        <v>2024-H1</v>
      </c>
      <c r="V136" s="9" t="str">
        <f>VLOOKUP(B136,Bounties!A:E,2,FALSE)</f>
        <v>Anti-Scam Bounty</v>
      </c>
    </row>
    <row r="137" hidden="1">
      <c r="A137" s="67">
        <f>HYPERLINK("https://polkadot.subsquare.io/treasury/child-bounties/1266", 1266)</f>
        <v>1266</v>
      </c>
      <c r="B137" s="1">
        <v>11.0</v>
      </c>
      <c r="C137" s="1" t="s">
        <v>2414</v>
      </c>
      <c r="D137" s="1" t="s">
        <v>844</v>
      </c>
      <c r="E137" s="5">
        <v>384.694</v>
      </c>
      <c r="F137" s="4">
        <v>2764.9516211576465</v>
      </c>
      <c r="G137" s="1" t="s">
        <v>2463</v>
      </c>
      <c r="H137" s="95">
        <v>45445.0</v>
      </c>
      <c r="I137" s="95">
        <v>45465.0</v>
      </c>
      <c r="J137" s="4">
        <v>2202.2520452928543</v>
      </c>
      <c r="K137" s="1"/>
      <c r="L137" s="1"/>
      <c r="M137" s="1" t="str">
        <f>VLOOKUP(B137,Bounties!A:D,3,FALSE)</f>
        <v>Research</v>
      </c>
      <c r="N137" s="1" t="str">
        <f>VLOOKUP(B137,Bounties!A:D,4,FALSE)</f>
        <v>Anti-Scam</v>
      </c>
      <c r="O137" s="1" t="str">
        <f t="shared" ref="O137:P137" si="141">IF(ISBLANK(K137),M137,K137)</f>
        <v>Research</v>
      </c>
      <c r="P137" s="1" t="str">
        <f t="shared" si="141"/>
        <v>Anti-Scam</v>
      </c>
      <c r="Q137" s="61" t="str">
        <f t="shared" si="3"/>
        <v>2024</v>
      </c>
      <c r="R137" s="62">
        <f t="shared" si="4"/>
        <v>6</v>
      </c>
      <c r="S137" s="61" t="str">
        <f t="shared" si="5"/>
        <v>2024-Q2</v>
      </c>
      <c r="T137" s="63" t="str">
        <f t="shared" si="6"/>
        <v>2024-06</v>
      </c>
      <c r="U137" s="64" t="str">
        <f t="shared" si="7"/>
        <v>2024-H1</v>
      </c>
      <c r="V137" s="9" t="str">
        <f>VLOOKUP(B137,Bounties!A:E,2,FALSE)</f>
        <v>Anti-Scam Bounty</v>
      </c>
    </row>
    <row r="138" hidden="1">
      <c r="A138" s="67">
        <f>HYPERLINK("https://polkadot.subsquare.io/treasury/child-bounties/1265", 1265)</f>
        <v>1265</v>
      </c>
      <c r="B138" s="1">
        <v>11.0</v>
      </c>
      <c r="C138" s="1" t="s">
        <v>2414</v>
      </c>
      <c r="D138" s="1" t="s">
        <v>843</v>
      </c>
      <c r="E138" s="5">
        <v>935.537</v>
      </c>
      <c r="F138" s="4">
        <v>6724.08341383791</v>
      </c>
      <c r="G138" s="1" t="s">
        <v>2438</v>
      </c>
      <c r="H138" s="95">
        <v>45445.0</v>
      </c>
      <c r="I138" s="95">
        <v>45454.0</v>
      </c>
      <c r="J138" s="4">
        <v>5765.491135425091</v>
      </c>
      <c r="K138" s="1"/>
      <c r="L138" s="1"/>
      <c r="M138" s="1" t="str">
        <f>VLOOKUP(B138,Bounties!A:D,3,FALSE)</f>
        <v>Research</v>
      </c>
      <c r="N138" s="1" t="str">
        <f>VLOOKUP(B138,Bounties!A:D,4,FALSE)</f>
        <v>Anti-Scam</v>
      </c>
      <c r="O138" s="1" t="str">
        <f t="shared" ref="O138:P138" si="142">IF(ISBLANK(K138),M138,K138)</f>
        <v>Research</v>
      </c>
      <c r="P138" s="1" t="str">
        <f t="shared" si="142"/>
        <v>Anti-Scam</v>
      </c>
      <c r="Q138" s="61" t="str">
        <f t="shared" si="3"/>
        <v>2024</v>
      </c>
      <c r="R138" s="62">
        <f t="shared" si="4"/>
        <v>6</v>
      </c>
      <c r="S138" s="61" t="str">
        <f t="shared" si="5"/>
        <v>2024-Q2</v>
      </c>
      <c r="T138" s="63" t="str">
        <f t="shared" si="6"/>
        <v>2024-06</v>
      </c>
      <c r="U138" s="64" t="str">
        <f t="shared" si="7"/>
        <v>2024-H1</v>
      </c>
      <c r="V138" s="9" t="str">
        <f>VLOOKUP(B138,Bounties!A:E,2,FALSE)</f>
        <v>Anti-Scam Bounty</v>
      </c>
    </row>
    <row r="139" hidden="1">
      <c r="A139" s="67">
        <f>HYPERLINK("https://polkadot.subsquare.io/treasury/child-bounties/1264", 1264)</f>
        <v>1264</v>
      </c>
      <c r="B139" s="1">
        <v>11.0</v>
      </c>
      <c r="C139" s="1" t="s">
        <v>2414</v>
      </c>
      <c r="D139" s="1" t="s">
        <v>842</v>
      </c>
      <c r="E139" s="5">
        <v>34.85</v>
      </c>
      <c r="F139" s="4">
        <v>250.4810680627823</v>
      </c>
      <c r="G139" s="1" t="s">
        <v>2528</v>
      </c>
      <c r="H139" s="95">
        <v>45445.0</v>
      </c>
      <c r="I139" s="95">
        <v>45456.0</v>
      </c>
      <c r="J139" s="4">
        <v>222.62417674064636</v>
      </c>
      <c r="K139" s="1"/>
      <c r="L139" s="1"/>
      <c r="M139" s="1" t="str">
        <f>VLOOKUP(B139,Bounties!A:D,3,FALSE)</f>
        <v>Research</v>
      </c>
      <c r="N139" s="1" t="str">
        <f>VLOOKUP(B139,Bounties!A:D,4,FALSE)</f>
        <v>Anti-Scam</v>
      </c>
      <c r="O139" s="1" t="str">
        <f t="shared" ref="O139:P139" si="143">IF(ISBLANK(K139),M139,K139)</f>
        <v>Research</v>
      </c>
      <c r="P139" s="1" t="str">
        <f t="shared" si="143"/>
        <v>Anti-Scam</v>
      </c>
      <c r="Q139" s="61" t="str">
        <f t="shared" si="3"/>
        <v>2024</v>
      </c>
      <c r="R139" s="62">
        <f t="shared" si="4"/>
        <v>6</v>
      </c>
      <c r="S139" s="61" t="str">
        <f t="shared" si="5"/>
        <v>2024-Q2</v>
      </c>
      <c r="T139" s="63" t="str">
        <f t="shared" si="6"/>
        <v>2024-06</v>
      </c>
      <c r="U139" s="64" t="str">
        <f t="shared" si="7"/>
        <v>2024-H1</v>
      </c>
      <c r="V139" s="9" t="str">
        <f>VLOOKUP(B139,Bounties!A:E,2,FALSE)</f>
        <v>Anti-Scam Bounty</v>
      </c>
    </row>
    <row r="140" hidden="1">
      <c r="A140" s="67">
        <f>HYPERLINK("https://polkadot.subsquare.io/treasury/child-bounties/1263", 1263)</f>
        <v>1263</v>
      </c>
      <c r="B140" s="1">
        <v>11.0</v>
      </c>
      <c r="C140" s="1" t="s">
        <v>2414</v>
      </c>
      <c r="D140" s="1" t="s">
        <v>841</v>
      </c>
      <c r="E140" s="5">
        <v>39.0</v>
      </c>
      <c r="F140" s="4">
        <v>273.3997163772583</v>
      </c>
      <c r="G140" s="1" t="s">
        <v>2527</v>
      </c>
      <c r="H140" s="95">
        <v>45444.0</v>
      </c>
      <c r="I140" s="95">
        <v>45453.0</v>
      </c>
      <c r="J140" s="4">
        <v>248.04281330108643</v>
      </c>
      <c r="K140" s="1"/>
      <c r="L140" s="1"/>
      <c r="M140" s="1" t="str">
        <f>VLOOKUP(B140,Bounties!A:D,3,FALSE)</f>
        <v>Research</v>
      </c>
      <c r="N140" s="1" t="str">
        <f>VLOOKUP(B140,Bounties!A:D,4,FALSE)</f>
        <v>Anti-Scam</v>
      </c>
      <c r="O140" s="1" t="str">
        <f t="shared" ref="O140:P140" si="144">IF(ISBLANK(K140),M140,K140)</f>
        <v>Research</v>
      </c>
      <c r="P140" s="1" t="str">
        <f t="shared" si="144"/>
        <v>Anti-Scam</v>
      </c>
      <c r="Q140" s="61" t="str">
        <f t="shared" si="3"/>
        <v>2024</v>
      </c>
      <c r="R140" s="62">
        <f t="shared" si="4"/>
        <v>6</v>
      </c>
      <c r="S140" s="61" t="str">
        <f t="shared" si="5"/>
        <v>2024-Q2</v>
      </c>
      <c r="T140" s="63" t="str">
        <f t="shared" si="6"/>
        <v>2024-06</v>
      </c>
      <c r="U140" s="64" t="str">
        <f t="shared" si="7"/>
        <v>2024-H1</v>
      </c>
      <c r="V140" s="9" t="str">
        <f>VLOOKUP(B140,Bounties!A:E,2,FALSE)</f>
        <v>Anti-Scam Bounty</v>
      </c>
    </row>
    <row r="141" hidden="1">
      <c r="A141" s="67">
        <f>HYPERLINK("https://polkadot.subsquare.io/treasury/child-bounties/1262", 1262)</f>
        <v>1262</v>
      </c>
      <c r="B141" s="1">
        <v>11.0</v>
      </c>
      <c r="C141" s="1" t="s">
        <v>2414</v>
      </c>
      <c r="D141" s="1" t="s">
        <v>840</v>
      </c>
      <c r="E141" s="5">
        <v>69.7</v>
      </c>
      <c r="F141" s="4">
        <v>488.61436491012574</v>
      </c>
      <c r="G141" s="1" t="s">
        <v>2528</v>
      </c>
      <c r="H141" s="95">
        <v>45444.0</v>
      </c>
      <c r="I141" s="95">
        <v>45453.0</v>
      </c>
      <c r="J141" s="4">
        <v>443.29702787399293</v>
      </c>
      <c r="K141" s="1"/>
      <c r="L141" s="1"/>
      <c r="M141" s="1" t="str">
        <f>VLOOKUP(B141,Bounties!A:D,3,FALSE)</f>
        <v>Research</v>
      </c>
      <c r="N141" s="1" t="str">
        <f>VLOOKUP(B141,Bounties!A:D,4,FALSE)</f>
        <v>Anti-Scam</v>
      </c>
      <c r="O141" s="1" t="str">
        <f t="shared" ref="O141:P141" si="145">IF(ISBLANK(K141),M141,K141)</f>
        <v>Research</v>
      </c>
      <c r="P141" s="1" t="str">
        <f t="shared" si="145"/>
        <v>Anti-Scam</v>
      </c>
      <c r="Q141" s="61" t="str">
        <f t="shared" si="3"/>
        <v>2024</v>
      </c>
      <c r="R141" s="62">
        <f t="shared" si="4"/>
        <v>6</v>
      </c>
      <c r="S141" s="61" t="str">
        <f t="shared" si="5"/>
        <v>2024-Q2</v>
      </c>
      <c r="T141" s="63" t="str">
        <f t="shared" si="6"/>
        <v>2024-06</v>
      </c>
      <c r="U141" s="64" t="str">
        <f t="shared" si="7"/>
        <v>2024-H1</v>
      </c>
      <c r="V141" s="9" t="str">
        <f>VLOOKUP(B141,Bounties!A:E,2,FALSE)</f>
        <v>Anti-Scam Bounty</v>
      </c>
    </row>
    <row r="142" hidden="1">
      <c r="A142" s="67">
        <f>HYPERLINK("https://polkadot.subsquare.io/treasury/child-bounties/1261", 1261)</f>
        <v>1261</v>
      </c>
      <c r="B142" s="1">
        <v>11.0</v>
      </c>
      <c r="C142" s="1" t="s">
        <v>2414</v>
      </c>
      <c r="D142" s="1" t="s">
        <v>839</v>
      </c>
      <c r="E142" s="5">
        <v>100.36</v>
      </c>
      <c r="F142" s="4">
        <v>703.548603477478</v>
      </c>
      <c r="G142" s="1" t="s">
        <v>2463</v>
      </c>
      <c r="H142" s="95">
        <v>45444.0</v>
      </c>
      <c r="I142" s="95">
        <v>45465.0</v>
      </c>
      <c r="J142" s="4">
        <v>574.5294058799743</v>
      </c>
      <c r="K142" s="1"/>
      <c r="L142" s="1"/>
      <c r="M142" s="1" t="str">
        <f>VLOOKUP(B142,Bounties!A:D,3,FALSE)</f>
        <v>Research</v>
      </c>
      <c r="N142" s="1" t="str">
        <f>VLOOKUP(B142,Bounties!A:D,4,FALSE)</f>
        <v>Anti-Scam</v>
      </c>
      <c r="O142" s="1" t="str">
        <f t="shared" ref="O142:P142" si="146">IF(ISBLANK(K142),M142,K142)</f>
        <v>Research</v>
      </c>
      <c r="P142" s="1" t="str">
        <f t="shared" si="146"/>
        <v>Anti-Scam</v>
      </c>
      <c r="Q142" s="61" t="str">
        <f t="shared" si="3"/>
        <v>2024</v>
      </c>
      <c r="R142" s="62">
        <f t="shared" si="4"/>
        <v>6</v>
      </c>
      <c r="S142" s="61" t="str">
        <f t="shared" si="5"/>
        <v>2024-Q2</v>
      </c>
      <c r="T142" s="63" t="str">
        <f t="shared" si="6"/>
        <v>2024-06</v>
      </c>
      <c r="U142" s="64" t="str">
        <f t="shared" si="7"/>
        <v>2024-H1</v>
      </c>
      <c r="V142" s="9" t="str">
        <f>VLOOKUP(B142,Bounties!A:E,2,FALSE)</f>
        <v>Anti-Scam Bounty</v>
      </c>
    </row>
    <row r="143" hidden="1">
      <c r="A143" s="67">
        <f>HYPERLINK("https://polkadot.subsquare.io/treasury/child-bounties/1260", 1260)</f>
        <v>1260</v>
      </c>
      <c r="B143" s="1">
        <v>11.0</v>
      </c>
      <c r="C143" s="1" t="s">
        <v>2414</v>
      </c>
      <c r="D143" s="1" t="s">
        <v>838</v>
      </c>
      <c r="E143" s="5">
        <v>200.7</v>
      </c>
      <c r="F143" s="4">
        <v>1406.9570019721984</v>
      </c>
      <c r="G143" s="1" t="s">
        <v>2438</v>
      </c>
      <c r="H143" s="95">
        <v>45444.0</v>
      </c>
      <c r="I143" s="95">
        <v>45453.0</v>
      </c>
      <c r="J143" s="4">
        <v>1276.4664776802063</v>
      </c>
      <c r="K143" s="1"/>
      <c r="L143" s="1"/>
      <c r="M143" s="1" t="str">
        <f>VLOOKUP(B143,Bounties!A:D,3,FALSE)</f>
        <v>Research</v>
      </c>
      <c r="N143" s="1" t="str">
        <f>VLOOKUP(B143,Bounties!A:D,4,FALSE)</f>
        <v>Anti-Scam</v>
      </c>
      <c r="O143" s="1" t="str">
        <f t="shared" ref="O143:P143" si="147">IF(ISBLANK(K143),M143,K143)</f>
        <v>Research</v>
      </c>
      <c r="P143" s="1" t="str">
        <f t="shared" si="147"/>
        <v>Anti-Scam</v>
      </c>
      <c r="Q143" s="61" t="str">
        <f t="shared" si="3"/>
        <v>2024</v>
      </c>
      <c r="R143" s="62">
        <f t="shared" si="4"/>
        <v>6</v>
      </c>
      <c r="S143" s="61" t="str">
        <f t="shared" si="5"/>
        <v>2024-Q2</v>
      </c>
      <c r="T143" s="63" t="str">
        <f t="shared" si="6"/>
        <v>2024-06</v>
      </c>
      <c r="U143" s="64" t="str">
        <f t="shared" si="7"/>
        <v>2024-H1</v>
      </c>
      <c r="V143" s="9" t="str">
        <f>VLOOKUP(B143,Bounties!A:E,2,FALSE)</f>
        <v>Anti-Scam Bounty</v>
      </c>
    </row>
    <row r="144" hidden="1">
      <c r="A144" s="67">
        <f>HYPERLINK("https://polkadot.subsquare.io/treasury/child-bounties/1259", 1259)</f>
        <v>1259</v>
      </c>
      <c r="B144" s="1">
        <v>11.0</v>
      </c>
      <c r="C144" s="1" t="s">
        <v>2414</v>
      </c>
      <c r="D144" s="1" t="s">
        <v>837</v>
      </c>
      <c r="E144" s="5">
        <v>69.7</v>
      </c>
      <c r="F144" s="4">
        <v>488.61436491012574</v>
      </c>
      <c r="G144" s="1" t="s">
        <v>2525</v>
      </c>
      <c r="H144" s="95">
        <v>45444.0</v>
      </c>
      <c r="I144" s="95">
        <v>45452.0</v>
      </c>
      <c r="J144" s="4">
        <v>469.8976652622223</v>
      </c>
      <c r="K144" s="1"/>
      <c r="L144" s="1"/>
      <c r="M144" s="1" t="str">
        <f>VLOOKUP(B144,Bounties!A:D,3,FALSE)</f>
        <v>Research</v>
      </c>
      <c r="N144" s="1" t="str">
        <f>VLOOKUP(B144,Bounties!A:D,4,FALSE)</f>
        <v>Anti-Scam</v>
      </c>
      <c r="O144" s="1" t="str">
        <f t="shared" ref="O144:P144" si="148">IF(ISBLANK(K144),M144,K144)</f>
        <v>Research</v>
      </c>
      <c r="P144" s="1" t="str">
        <f t="shared" si="148"/>
        <v>Anti-Scam</v>
      </c>
      <c r="Q144" s="61" t="str">
        <f t="shared" si="3"/>
        <v>2024</v>
      </c>
      <c r="R144" s="62">
        <f t="shared" si="4"/>
        <v>6</v>
      </c>
      <c r="S144" s="61" t="str">
        <f t="shared" si="5"/>
        <v>2024-Q2</v>
      </c>
      <c r="T144" s="63" t="str">
        <f t="shared" si="6"/>
        <v>2024-06</v>
      </c>
      <c r="U144" s="64" t="str">
        <f t="shared" si="7"/>
        <v>2024-H1</v>
      </c>
      <c r="V144" s="9" t="str">
        <f>VLOOKUP(B144,Bounties!A:E,2,FALSE)</f>
        <v>Anti-Scam Bounty</v>
      </c>
    </row>
    <row r="145" hidden="1">
      <c r="A145" s="67">
        <f>HYPERLINK("https://polkadot.subsquare.io/treasury/child-bounties/1258", 1258)</f>
        <v>1258</v>
      </c>
      <c r="B145" s="1">
        <v>11.0</v>
      </c>
      <c r="C145" s="1" t="s">
        <v>2414</v>
      </c>
      <c r="D145" s="1" t="s">
        <v>836</v>
      </c>
      <c r="E145" s="5">
        <v>133.82</v>
      </c>
      <c r="F145" s="4">
        <v>938.1115396308899</v>
      </c>
      <c r="G145" s="1" t="s">
        <v>2529</v>
      </c>
      <c r="H145" s="95">
        <v>45444.0</v>
      </c>
      <c r="I145" s="95">
        <v>45452.0</v>
      </c>
      <c r="J145" s="4">
        <v>902.1765504360199</v>
      </c>
      <c r="K145" s="1"/>
      <c r="L145" s="1"/>
      <c r="M145" s="1" t="str">
        <f>VLOOKUP(B145,Bounties!A:D,3,FALSE)</f>
        <v>Research</v>
      </c>
      <c r="N145" s="1" t="str">
        <f>VLOOKUP(B145,Bounties!A:D,4,FALSE)</f>
        <v>Anti-Scam</v>
      </c>
      <c r="O145" s="1" t="str">
        <f t="shared" ref="O145:P145" si="149">IF(ISBLANK(K145),M145,K145)</f>
        <v>Research</v>
      </c>
      <c r="P145" s="1" t="str">
        <f t="shared" si="149"/>
        <v>Anti-Scam</v>
      </c>
      <c r="Q145" s="61" t="str">
        <f t="shared" si="3"/>
        <v>2024</v>
      </c>
      <c r="R145" s="62">
        <f t="shared" si="4"/>
        <v>6</v>
      </c>
      <c r="S145" s="61" t="str">
        <f t="shared" si="5"/>
        <v>2024-Q2</v>
      </c>
      <c r="T145" s="63" t="str">
        <f t="shared" si="6"/>
        <v>2024-06</v>
      </c>
      <c r="U145" s="64" t="str">
        <f t="shared" si="7"/>
        <v>2024-H1</v>
      </c>
      <c r="V145" s="9" t="str">
        <f>VLOOKUP(B145,Bounties!A:E,2,FALSE)</f>
        <v>Anti-Scam Bounty</v>
      </c>
    </row>
    <row r="146" hidden="1">
      <c r="A146" s="67">
        <f>HYPERLINK("https://polkadot.subsquare.io/treasury/child-bounties/1257", 1257)</f>
        <v>1257</v>
      </c>
      <c r="B146" s="1">
        <v>11.0</v>
      </c>
      <c r="C146" s="1" t="s">
        <v>2414</v>
      </c>
      <c r="D146" s="1" t="s">
        <v>835</v>
      </c>
      <c r="E146" s="5">
        <v>22.3</v>
      </c>
      <c r="F146" s="4">
        <v>156.32855577468874</v>
      </c>
      <c r="G146" s="1" t="s">
        <v>2530</v>
      </c>
      <c r="H146" s="95">
        <v>45444.0</v>
      </c>
      <c r="I146" s="95">
        <v>45452.0</v>
      </c>
      <c r="J146" s="4">
        <v>150.34028601646423</v>
      </c>
      <c r="K146" s="1"/>
      <c r="L146" s="1"/>
      <c r="M146" s="1" t="str">
        <f>VLOOKUP(B146,Bounties!A:D,3,FALSE)</f>
        <v>Research</v>
      </c>
      <c r="N146" s="1" t="str">
        <f>VLOOKUP(B146,Bounties!A:D,4,FALSE)</f>
        <v>Anti-Scam</v>
      </c>
      <c r="O146" s="1" t="str">
        <f t="shared" ref="O146:P146" si="150">IF(ISBLANK(K146),M146,K146)</f>
        <v>Research</v>
      </c>
      <c r="P146" s="1" t="str">
        <f t="shared" si="150"/>
        <v>Anti-Scam</v>
      </c>
      <c r="Q146" s="61" t="str">
        <f t="shared" si="3"/>
        <v>2024</v>
      </c>
      <c r="R146" s="62">
        <f t="shared" si="4"/>
        <v>6</v>
      </c>
      <c r="S146" s="61" t="str">
        <f t="shared" si="5"/>
        <v>2024-Q2</v>
      </c>
      <c r="T146" s="63" t="str">
        <f t="shared" si="6"/>
        <v>2024-06</v>
      </c>
      <c r="U146" s="64" t="str">
        <f t="shared" si="7"/>
        <v>2024-H1</v>
      </c>
      <c r="V146" s="9" t="str">
        <f>VLOOKUP(B146,Bounties!A:E,2,FALSE)</f>
        <v>Anti-Scam Bounty</v>
      </c>
    </row>
    <row r="147" hidden="1">
      <c r="A147" s="67">
        <f>HYPERLINK("https://polkadot.subsquare.io/treasury/child-bounties/1256", 1256)</f>
        <v>1256</v>
      </c>
      <c r="B147" s="1">
        <v>11.0</v>
      </c>
      <c r="C147" s="1" t="s">
        <v>2414</v>
      </c>
      <c r="D147" s="1" t="s">
        <v>834</v>
      </c>
      <c r="E147" s="5">
        <v>69.7</v>
      </c>
      <c r="F147" s="4">
        <v>488.61436491012574</v>
      </c>
      <c r="G147" s="1" t="s">
        <v>2433</v>
      </c>
      <c r="H147" s="95">
        <v>45444.0</v>
      </c>
      <c r="I147" s="95">
        <v>45454.0</v>
      </c>
      <c r="J147" s="4">
        <v>429.5444564342499</v>
      </c>
      <c r="K147" s="1"/>
      <c r="L147" s="1"/>
      <c r="M147" s="1" t="str">
        <f>VLOOKUP(B147,Bounties!A:D,3,FALSE)</f>
        <v>Research</v>
      </c>
      <c r="N147" s="1" t="str">
        <f>VLOOKUP(B147,Bounties!A:D,4,FALSE)</f>
        <v>Anti-Scam</v>
      </c>
      <c r="O147" s="1" t="str">
        <f t="shared" ref="O147:P147" si="151">IF(ISBLANK(K147),M147,K147)</f>
        <v>Research</v>
      </c>
      <c r="P147" s="1" t="str">
        <f t="shared" si="151"/>
        <v>Anti-Scam</v>
      </c>
      <c r="Q147" s="61" t="str">
        <f t="shared" si="3"/>
        <v>2024</v>
      </c>
      <c r="R147" s="62">
        <f t="shared" si="4"/>
        <v>6</v>
      </c>
      <c r="S147" s="61" t="str">
        <f t="shared" si="5"/>
        <v>2024-Q2</v>
      </c>
      <c r="T147" s="63" t="str">
        <f t="shared" si="6"/>
        <v>2024-06</v>
      </c>
      <c r="U147" s="64" t="str">
        <f t="shared" si="7"/>
        <v>2024-H1</v>
      </c>
      <c r="V147" s="9" t="str">
        <f>VLOOKUP(B147,Bounties!A:E,2,FALSE)</f>
        <v>Anti-Scam Bounty</v>
      </c>
    </row>
    <row r="148" hidden="1">
      <c r="A148" s="67">
        <f>HYPERLINK("https://polkadot.subsquare.io/treasury/child-bounties/1255", 1255)</f>
        <v>1255</v>
      </c>
      <c r="B148" s="1">
        <v>11.0</v>
      </c>
      <c r="C148" s="1" t="s">
        <v>2414</v>
      </c>
      <c r="D148" s="1" t="s">
        <v>833</v>
      </c>
      <c r="E148" s="5">
        <v>167.27</v>
      </c>
      <c r="F148" s="4">
        <v>1172.6043732929231</v>
      </c>
      <c r="G148" s="1" t="s">
        <v>2433</v>
      </c>
      <c r="H148" s="95">
        <v>45444.0</v>
      </c>
      <c r="I148" s="95">
        <v>45454.0</v>
      </c>
      <c r="J148" s="4">
        <v>1030.8450678300858</v>
      </c>
      <c r="K148" s="1"/>
      <c r="L148" s="1"/>
      <c r="M148" s="1" t="str">
        <f>VLOOKUP(B148,Bounties!A:D,3,FALSE)</f>
        <v>Research</v>
      </c>
      <c r="N148" s="1" t="str">
        <f>VLOOKUP(B148,Bounties!A:D,4,FALSE)</f>
        <v>Anti-Scam</v>
      </c>
      <c r="O148" s="1" t="str">
        <f t="shared" ref="O148:P148" si="152">IF(ISBLANK(K148),M148,K148)</f>
        <v>Research</v>
      </c>
      <c r="P148" s="1" t="str">
        <f t="shared" si="152"/>
        <v>Anti-Scam</v>
      </c>
      <c r="Q148" s="61" t="str">
        <f t="shared" si="3"/>
        <v>2024</v>
      </c>
      <c r="R148" s="62">
        <f t="shared" si="4"/>
        <v>6</v>
      </c>
      <c r="S148" s="61" t="str">
        <f t="shared" si="5"/>
        <v>2024-Q2</v>
      </c>
      <c r="T148" s="63" t="str">
        <f t="shared" si="6"/>
        <v>2024-06</v>
      </c>
      <c r="U148" s="64" t="str">
        <f t="shared" si="7"/>
        <v>2024-H1</v>
      </c>
      <c r="V148" s="9" t="str">
        <f>VLOOKUP(B148,Bounties!A:E,2,FALSE)</f>
        <v>Anti-Scam Bounty</v>
      </c>
    </row>
    <row r="149" hidden="1">
      <c r="A149" s="67">
        <f>HYPERLINK("https://polkadot.subsquare.io/treasury/child-bounties/1254", 1254)</f>
        <v>1254</v>
      </c>
      <c r="B149" s="1">
        <v>11.0</v>
      </c>
      <c r="C149" s="1" t="s">
        <v>2414</v>
      </c>
      <c r="D149" s="1" t="s">
        <v>832</v>
      </c>
      <c r="E149" s="5">
        <v>41.82</v>
      </c>
      <c r="F149" s="4">
        <v>293.16861894607547</v>
      </c>
      <c r="G149" s="1" t="s">
        <v>2497</v>
      </c>
      <c r="H149" s="95">
        <v>45443.0</v>
      </c>
      <c r="I149" s="95">
        <v>45457.0</v>
      </c>
      <c r="J149" s="4">
        <v>254.011125497818</v>
      </c>
      <c r="K149" s="1"/>
      <c r="L149" s="1"/>
      <c r="M149" s="1" t="str">
        <f>VLOOKUP(B149,Bounties!A:D,3,FALSE)</f>
        <v>Research</v>
      </c>
      <c r="N149" s="1" t="str">
        <f>VLOOKUP(B149,Bounties!A:D,4,FALSE)</f>
        <v>Anti-Scam</v>
      </c>
      <c r="O149" s="1" t="str">
        <f t="shared" ref="O149:P149" si="153">IF(ISBLANK(K149),M149,K149)</f>
        <v>Research</v>
      </c>
      <c r="P149" s="1" t="str">
        <f t="shared" si="153"/>
        <v>Anti-Scam</v>
      </c>
      <c r="Q149" s="61" t="str">
        <f t="shared" si="3"/>
        <v>2024</v>
      </c>
      <c r="R149" s="62">
        <f t="shared" si="4"/>
        <v>6</v>
      </c>
      <c r="S149" s="61" t="str">
        <f t="shared" si="5"/>
        <v>2024-Q2</v>
      </c>
      <c r="T149" s="63" t="str">
        <f t="shared" si="6"/>
        <v>2024-06</v>
      </c>
      <c r="U149" s="64" t="str">
        <f t="shared" si="7"/>
        <v>2024-H1</v>
      </c>
      <c r="V149" s="9" t="str">
        <f>VLOOKUP(B149,Bounties!A:E,2,FALSE)</f>
        <v>Anti-Scam Bounty</v>
      </c>
    </row>
    <row r="150" hidden="1">
      <c r="A150" s="67">
        <f>HYPERLINK("https://polkadot.subsquare.io/treasury/child-bounties/1253", 1253)</f>
        <v>1253</v>
      </c>
      <c r="B150" s="1">
        <v>11.0</v>
      </c>
      <c r="C150" s="1" t="s">
        <v>2414</v>
      </c>
      <c r="D150" s="1" t="s">
        <v>831</v>
      </c>
      <c r="E150" s="5">
        <v>41.82</v>
      </c>
      <c r="F150" s="4">
        <v>293.16861894607547</v>
      </c>
      <c r="G150" s="1" t="s">
        <v>2496</v>
      </c>
      <c r="H150" s="95">
        <v>45443.0</v>
      </c>
      <c r="I150" s="95">
        <v>45459.0</v>
      </c>
      <c r="J150" s="4">
        <v>242.31394017219543</v>
      </c>
      <c r="K150" s="1"/>
      <c r="L150" s="1"/>
      <c r="M150" s="1" t="str">
        <f>VLOOKUP(B150,Bounties!A:D,3,FALSE)</f>
        <v>Research</v>
      </c>
      <c r="N150" s="1" t="str">
        <f>VLOOKUP(B150,Bounties!A:D,4,FALSE)</f>
        <v>Anti-Scam</v>
      </c>
      <c r="O150" s="1" t="str">
        <f t="shared" ref="O150:P150" si="154">IF(ISBLANK(K150),M150,K150)</f>
        <v>Research</v>
      </c>
      <c r="P150" s="1" t="str">
        <f t="shared" si="154"/>
        <v>Anti-Scam</v>
      </c>
      <c r="Q150" s="61" t="str">
        <f t="shared" si="3"/>
        <v>2024</v>
      </c>
      <c r="R150" s="62">
        <f t="shared" si="4"/>
        <v>6</v>
      </c>
      <c r="S150" s="61" t="str">
        <f t="shared" si="5"/>
        <v>2024-Q2</v>
      </c>
      <c r="T150" s="63" t="str">
        <f t="shared" si="6"/>
        <v>2024-06</v>
      </c>
      <c r="U150" s="64" t="str">
        <f t="shared" si="7"/>
        <v>2024-H1</v>
      </c>
      <c r="V150" s="9" t="str">
        <f>VLOOKUP(B150,Bounties!A:E,2,FALSE)</f>
        <v>Anti-Scam Bounty</v>
      </c>
    </row>
    <row r="151" hidden="1">
      <c r="A151" s="67">
        <f>HYPERLINK("https://polkadot.subsquare.io/treasury/child-bounties/1252", 1252)</f>
        <v>1252</v>
      </c>
      <c r="B151" s="1">
        <v>11.0</v>
      </c>
      <c r="C151" s="1" t="s">
        <v>2414</v>
      </c>
      <c r="D151" s="1" t="s">
        <v>830</v>
      </c>
      <c r="E151" s="5">
        <v>41.82</v>
      </c>
      <c r="F151" s="4">
        <v>293.16861894607547</v>
      </c>
      <c r="G151" s="1" t="s">
        <v>2495</v>
      </c>
      <c r="H151" s="95">
        <v>45443.0</v>
      </c>
      <c r="I151" s="95">
        <v>45453.0</v>
      </c>
      <c r="J151" s="4">
        <v>281.9385991573334</v>
      </c>
      <c r="K151" s="1"/>
      <c r="L151" s="1"/>
      <c r="M151" s="1" t="str">
        <f>VLOOKUP(B151,Bounties!A:D,3,FALSE)</f>
        <v>Research</v>
      </c>
      <c r="N151" s="1" t="str">
        <f>VLOOKUP(B151,Bounties!A:D,4,FALSE)</f>
        <v>Anti-Scam</v>
      </c>
      <c r="O151" s="1" t="str">
        <f t="shared" ref="O151:P151" si="155">IF(ISBLANK(K151),M151,K151)</f>
        <v>Research</v>
      </c>
      <c r="P151" s="1" t="str">
        <f t="shared" si="155"/>
        <v>Anti-Scam</v>
      </c>
      <c r="Q151" s="61" t="str">
        <f t="shared" si="3"/>
        <v>2024</v>
      </c>
      <c r="R151" s="62">
        <f t="shared" si="4"/>
        <v>6</v>
      </c>
      <c r="S151" s="61" t="str">
        <f t="shared" si="5"/>
        <v>2024-Q2</v>
      </c>
      <c r="T151" s="63" t="str">
        <f t="shared" si="6"/>
        <v>2024-06</v>
      </c>
      <c r="U151" s="64" t="str">
        <f t="shared" si="7"/>
        <v>2024-H1</v>
      </c>
      <c r="V151" s="9" t="str">
        <f>VLOOKUP(B151,Bounties!A:E,2,FALSE)</f>
        <v>Anti-Scam Bounty</v>
      </c>
    </row>
    <row r="152" hidden="1">
      <c r="A152" s="67">
        <f>HYPERLINK("https://polkadot.subsquare.io/treasury/child-bounties/1251", 1251)</f>
        <v>1251</v>
      </c>
      <c r="B152" s="1">
        <v>11.0</v>
      </c>
      <c r="C152" s="1" t="s">
        <v>2414</v>
      </c>
      <c r="D152" s="1" t="s">
        <v>829</v>
      </c>
      <c r="E152" s="5">
        <v>41.82</v>
      </c>
      <c r="F152" s="4">
        <v>293.16861894607547</v>
      </c>
      <c r="G152" s="1" t="s">
        <v>2529</v>
      </c>
      <c r="H152" s="95">
        <v>45443.0</v>
      </c>
      <c r="I152" s="95">
        <v>45452.0</v>
      </c>
      <c r="J152" s="4">
        <v>281.9385991573334</v>
      </c>
      <c r="K152" s="1"/>
      <c r="L152" s="1"/>
      <c r="M152" s="1" t="str">
        <f>VLOOKUP(B152,Bounties!A:D,3,FALSE)</f>
        <v>Research</v>
      </c>
      <c r="N152" s="1" t="str">
        <f>VLOOKUP(B152,Bounties!A:D,4,FALSE)</f>
        <v>Anti-Scam</v>
      </c>
      <c r="O152" s="1" t="str">
        <f t="shared" ref="O152:P152" si="156">IF(ISBLANK(K152),M152,K152)</f>
        <v>Research</v>
      </c>
      <c r="P152" s="1" t="str">
        <f t="shared" si="156"/>
        <v>Anti-Scam</v>
      </c>
      <c r="Q152" s="61" t="str">
        <f t="shared" si="3"/>
        <v>2024</v>
      </c>
      <c r="R152" s="62">
        <f t="shared" si="4"/>
        <v>6</v>
      </c>
      <c r="S152" s="61" t="str">
        <f t="shared" si="5"/>
        <v>2024-Q2</v>
      </c>
      <c r="T152" s="63" t="str">
        <f t="shared" si="6"/>
        <v>2024-06</v>
      </c>
      <c r="U152" s="64" t="str">
        <f t="shared" si="7"/>
        <v>2024-H1</v>
      </c>
      <c r="V152" s="9" t="str">
        <f>VLOOKUP(B152,Bounties!A:E,2,FALSE)</f>
        <v>Anti-Scam Bounty</v>
      </c>
    </row>
    <row r="153" hidden="1">
      <c r="A153" s="67">
        <f>HYPERLINK("https://polkadot.subsquare.io/treasury/child-bounties/1250", 1250)</f>
        <v>1250</v>
      </c>
      <c r="B153" s="1">
        <v>11.0</v>
      </c>
      <c r="C153" s="1" t="s">
        <v>2414</v>
      </c>
      <c r="D153" s="1" t="s">
        <v>828</v>
      </c>
      <c r="E153" s="5">
        <v>69.7</v>
      </c>
      <c r="F153" s="4">
        <v>488.61436491012574</v>
      </c>
      <c r="G153" s="1" t="s">
        <v>2526</v>
      </c>
      <c r="H153" s="95">
        <v>45443.0</v>
      </c>
      <c r="I153" s="95">
        <v>45456.0</v>
      </c>
      <c r="J153" s="4">
        <v>433.6046109199524</v>
      </c>
      <c r="K153" s="1"/>
      <c r="L153" s="1"/>
      <c r="M153" s="1" t="str">
        <f>VLOOKUP(B153,Bounties!A:D,3,FALSE)</f>
        <v>Research</v>
      </c>
      <c r="N153" s="1" t="str">
        <f>VLOOKUP(B153,Bounties!A:D,4,FALSE)</f>
        <v>Anti-Scam</v>
      </c>
      <c r="O153" s="1" t="str">
        <f t="shared" ref="O153:P153" si="157">IF(ISBLANK(K153),M153,K153)</f>
        <v>Research</v>
      </c>
      <c r="P153" s="1" t="str">
        <f t="shared" si="157"/>
        <v>Anti-Scam</v>
      </c>
      <c r="Q153" s="61" t="str">
        <f t="shared" si="3"/>
        <v>2024</v>
      </c>
      <c r="R153" s="62">
        <f t="shared" si="4"/>
        <v>6</v>
      </c>
      <c r="S153" s="61" t="str">
        <f t="shared" si="5"/>
        <v>2024-Q2</v>
      </c>
      <c r="T153" s="63" t="str">
        <f t="shared" si="6"/>
        <v>2024-06</v>
      </c>
      <c r="U153" s="64" t="str">
        <f t="shared" si="7"/>
        <v>2024-H1</v>
      </c>
      <c r="V153" s="9" t="str">
        <f>VLOOKUP(B153,Bounties!A:E,2,FALSE)</f>
        <v>Anti-Scam Bounty</v>
      </c>
    </row>
    <row r="154" hidden="1">
      <c r="A154" s="67">
        <f>HYPERLINK("https://polkadot.subsquare.io/treasury/child-bounties/1249", 1249)</f>
        <v>1249</v>
      </c>
      <c r="B154" s="1">
        <v>11.0</v>
      </c>
      <c r="C154" s="1" t="s">
        <v>2414</v>
      </c>
      <c r="D154" s="1" t="s">
        <v>827</v>
      </c>
      <c r="E154" s="5">
        <v>83.63</v>
      </c>
      <c r="F154" s="4">
        <v>586.2671354007721</v>
      </c>
      <c r="G154" s="1" t="s">
        <v>2531</v>
      </c>
      <c r="H154" s="95">
        <v>45443.0</v>
      </c>
      <c r="I154" s="95">
        <v>45453.0</v>
      </c>
      <c r="J154" s="4">
        <v>531.8928327274323</v>
      </c>
      <c r="K154" s="1"/>
      <c r="L154" s="1"/>
      <c r="M154" s="1" t="str">
        <f>VLOOKUP(B154,Bounties!A:D,3,FALSE)</f>
        <v>Research</v>
      </c>
      <c r="N154" s="1" t="str">
        <f>VLOOKUP(B154,Bounties!A:D,4,FALSE)</f>
        <v>Anti-Scam</v>
      </c>
      <c r="O154" s="1" t="str">
        <f t="shared" ref="O154:P154" si="158">IF(ISBLANK(K154),M154,K154)</f>
        <v>Research</v>
      </c>
      <c r="P154" s="1" t="str">
        <f t="shared" si="158"/>
        <v>Anti-Scam</v>
      </c>
      <c r="Q154" s="61" t="str">
        <f t="shared" si="3"/>
        <v>2024</v>
      </c>
      <c r="R154" s="62">
        <f t="shared" si="4"/>
        <v>6</v>
      </c>
      <c r="S154" s="61" t="str">
        <f t="shared" si="5"/>
        <v>2024-Q2</v>
      </c>
      <c r="T154" s="63" t="str">
        <f t="shared" si="6"/>
        <v>2024-06</v>
      </c>
      <c r="U154" s="64" t="str">
        <f t="shared" si="7"/>
        <v>2024-H1</v>
      </c>
      <c r="V154" s="9" t="str">
        <f>VLOOKUP(B154,Bounties!A:E,2,FALSE)</f>
        <v>Anti-Scam Bounty</v>
      </c>
    </row>
    <row r="155" hidden="1">
      <c r="A155" s="67">
        <f>HYPERLINK("https://polkadot.subsquare.io/treasury/child-bounties/1248", 1248)</f>
        <v>1248</v>
      </c>
      <c r="B155" s="1">
        <v>11.0</v>
      </c>
      <c r="C155" s="1" t="s">
        <v>2414</v>
      </c>
      <c r="D155" s="1" t="s">
        <v>826</v>
      </c>
      <c r="E155" s="5">
        <v>167.27</v>
      </c>
      <c r="F155" s="4">
        <v>1172.6043732929231</v>
      </c>
      <c r="G155" s="1" t="s">
        <v>2524</v>
      </c>
      <c r="H155" s="95">
        <v>45443.0</v>
      </c>
      <c r="I155" s="95">
        <v>45453.0</v>
      </c>
      <c r="J155" s="4">
        <v>1063.8492661762239</v>
      </c>
      <c r="K155" s="1"/>
      <c r="L155" s="1"/>
      <c r="M155" s="1" t="str">
        <f>VLOOKUP(B155,Bounties!A:D,3,FALSE)</f>
        <v>Research</v>
      </c>
      <c r="N155" s="1" t="str">
        <f>VLOOKUP(B155,Bounties!A:D,4,FALSE)</f>
        <v>Anti-Scam</v>
      </c>
      <c r="O155" s="1" t="str">
        <f t="shared" ref="O155:P155" si="159">IF(ISBLANK(K155),M155,K155)</f>
        <v>Research</v>
      </c>
      <c r="P155" s="1" t="str">
        <f t="shared" si="159"/>
        <v>Anti-Scam</v>
      </c>
      <c r="Q155" s="61" t="str">
        <f t="shared" si="3"/>
        <v>2024</v>
      </c>
      <c r="R155" s="62">
        <f t="shared" si="4"/>
        <v>6</v>
      </c>
      <c r="S155" s="61" t="str">
        <f t="shared" si="5"/>
        <v>2024-Q2</v>
      </c>
      <c r="T155" s="63" t="str">
        <f t="shared" si="6"/>
        <v>2024-06</v>
      </c>
      <c r="U155" s="64" t="str">
        <f t="shared" si="7"/>
        <v>2024-H1</v>
      </c>
      <c r="V155" s="9" t="str">
        <f>VLOOKUP(B155,Bounties!A:E,2,FALSE)</f>
        <v>Anti-Scam Bounty</v>
      </c>
    </row>
    <row r="156" hidden="1">
      <c r="A156" s="67">
        <f>HYPERLINK("https://polkadot.subsquare.io/treasury/child-bounties/1247", 1247)</f>
        <v>1247</v>
      </c>
      <c r="B156" s="1">
        <v>11.0</v>
      </c>
      <c r="C156" s="1" t="s">
        <v>2414</v>
      </c>
      <c r="D156" s="1" t="s">
        <v>825</v>
      </c>
      <c r="E156" s="5">
        <v>34.85</v>
      </c>
      <c r="F156" s="4">
        <v>244.30718245506287</v>
      </c>
      <c r="G156" s="1" t="s">
        <v>2497</v>
      </c>
      <c r="H156" s="95">
        <v>45443.0</v>
      </c>
      <c r="I156" s="95">
        <v>45457.0</v>
      </c>
      <c r="J156" s="4">
        <v>211.67593791484833</v>
      </c>
      <c r="K156" s="1"/>
      <c r="L156" s="1"/>
      <c r="M156" s="1" t="str">
        <f>VLOOKUP(B156,Bounties!A:D,3,FALSE)</f>
        <v>Research</v>
      </c>
      <c r="N156" s="1" t="str">
        <f>VLOOKUP(B156,Bounties!A:D,4,FALSE)</f>
        <v>Anti-Scam</v>
      </c>
      <c r="O156" s="1" t="str">
        <f t="shared" ref="O156:P156" si="160">IF(ISBLANK(K156),M156,K156)</f>
        <v>Research</v>
      </c>
      <c r="P156" s="1" t="str">
        <f t="shared" si="160"/>
        <v>Anti-Scam</v>
      </c>
      <c r="Q156" s="61" t="str">
        <f t="shared" si="3"/>
        <v>2024</v>
      </c>
      <c r="R156" s="62">
        <f t="shared" si="4"/>
        <v>6</v>
      </c>
      <c r="S156" s="61" t="str">
        <f t="shared" si="5"/>
        <v>2024-Q2</v>
      </c>
      <c r="T156" s="63" t="str">
        <f t="shared" si="6"/>
        <v>2024-06</v>
      </c>
      <c r="U156" s="64" t="str">
        <f t="shared" si="7"/>
        <v>2024-H1</v>
      </c>
      <c r="V156" s="9" t="str">
        <f>VLOOKUP(B156,Bounties!A:E,2,FALSE)</f>
        <v>Anti-Scam Bounty</v>
      </c>
    </row>
    <row r="157" hidden="1">
      <c r="A157" s="67">
        <f>HYPERLINK("https://polkadot.subsquare.io/treasury/child-bounties/1246", 1246)</f>
        <v>1246</v>
      </c>
      <c r="B157" s="1">
        <v>11.0</v>
      </c>
      <c r="C157" s="1" t="s">
        <v>2460</v>
      </c>
      <c r="D157" s="1" t="s">
        <v>2532</v>
      </c>
      <c r="E157" s="5">
        <v>34.85</v>
      </c>
      <c r="F157" s="4">
        <v>244.30718245506287</v>
      </c>
      <c r="G157" s="1" t="s">
        <v>2533</v>
      </c>
      <c r="H157" s="95">
        <v>45443.0</v>
      </c>
      <c r="I157" s="95">
        <v>45444.0</v>
      </c>
      <c r="J157" s="4">
        <v>250.4810680627823</v>
      </c>
      <c r="K157" s="1"/>
      <c r="L157" s="1"/>
      <c r="M157" s="1" t="str">
        <f>VLOOKUP(B157,Bounties!A:D,3,FALSE)</f>
        <v>Research</v>
      </c>
      <c r="N157" s="1" t="str">
        <f>VLOOKUP(B157,Bounties!A:D,4,FALSE)</f>
        <v>Anti-Scam</v>
      </c>
      <c r="O157" s="1" t="str">
        <f t="shared" ref="O157:P157" si="161">IF(ISBLANK(K157),M157,K157)</f>
        <v>Research</v>
      </c>
      <c r="P157" s="1" t="str">
        <f t="shared" si="161"/>
        <v>Anti-Scam</v>
      </c>
      <c r="Q157" s="61" t="str">
        <f t="shared" si="3"/>
        <v>2024</v>
      </c>
      <c r="R157" s="62">
        <f t="shared" si="4"/>
        <v>6</v>
      </c>
      <c r="S157" s="61" t="str">
        <f t="shared" si="5"/>
        <v>2024-Q2</v>
      </c>
      <c r="T157" s="63" t="str">
        <f t="shared" si="6"/>
        <v>2024-06</v>
      </c>
      <c r="U157" s="64" t="str">
        <f t="shared" si="7"/>
        <v>2024-H1</v>
      </c>
      <c r="V157" s="9" t="str">
        <f>VLOOKUP(B157,Bounties!A:E,2,FALSE)</f>
        <v>Anti-Scam Bounty</v>
      </c>
    </row>
    <row r="158" hidden="1">
      <c r="A158" s="67">
        <f>HYPERLINK("https://polkadot.subsquare.io/treasury/child-bounties/1245", 1245)</f>
        <v>1245</v>
      </c>
      <c r="B158" s="1">
        <v>11.0</v>
      </c>
      <c r="C158" s="1" t="s">
        <v>2414</v>
      </c>
      <c r="D158" s="1" t="s">
        <v>824</v>
      </c>
      <c r="E158" s="5">
        <v>55.76</v>
      </c>
      <c r="F158" s="4">
        <v>390.89149192810055</v>
      </c>
      <c r="G158" s="1" t="s">
        <v>2527</v>
      </c>
      <c r="H158" s="95">
        <v>45443.0</v>
      </c>
      <c r="I158" s="95">
        <v>45453.0</v>
      </c>
      <c r="J158" s="4">
        <v>354.63762229919433</v>
      </c>
      <c r="K158" s="1"/>
      <c r="L158" s="1"/>
      <c r="M158" s="1" t="str">
        <f>VLOOKUP(B158,Bounties!A:D,3,FALSE)</f>
        <v>Research</v>
      </c>
      <c r="N158" s="1" t="str">
        <f>VLOOKUP(B158,Bounties!A:D,4,FALSE)</f>
        <v>Anti-Scam</v>
      </c>
      <c r="O158" s="1" t="str">
        <f t="shared" ref="O158:P158" si="162">IF(ISBLANK(K158),M158,K158)</f>
        <v>Research</v>
      </c>
      <c r="P158" s="1" t="str">
        <f t="shared" si="162"/>
        <v>Anti-Scam</v>
      </c>
      <c r="Q158" s="61" t="str">
        <f t="shared" si="3"/>
        <v>2024</v>
      </c>
      <c r="R158" s="62">
        <f t="shared" si="4"/>
        <v>6</v>
      </c>
      <c r="S158" s="61" t="str">
        <f t="shared" si="5"/>
        <v>2024-Q2</v>
      </c>
      <c r="T158" s="63" t="str">
        <f t="shared" si="6"/>
        <v>2024-06</v>
      </c>
      <c r="U158" s="64" t="str">
        <f t="shared" si="7"/>
        <v>2024-H1</v>
      </c>
      <c r="V158" s="9" t="str">
        <f>VLOOKUP(B158,Bounties!A:E,2,FALSE)</f>
        <v>Anti-Scam Bounty</v>
      </c>
    </row>
    <row r="159" hidden="1">
      <c r="A159" s="67">
        <f>HYPERLINK("https://polkadot.subsquare.io/treasury/child-bounties/1244", 1244)</f>
        <v>1244</v>
      </c>
      <c r="B159" s="1">
        <v>11.0</v>
      </c>
      <c r="C159" s="1" t="s">
        <v>2414</v>
      </c>
      <c r="D159" s="1" t="s">
        <v>823</v>
      </c>
      <c r="E159" s="5">
        <v>55.76</v>
      </c>
      <c r="F159" s="4">
        <v>390.89149192810055</v>
      </c>
      <c r="G159" s="1" t="s">
        <v>2463</v>
      </c>
      <c r="H159" s="95">
        <v>45443.0</v>
      </c>
      <c r="I159" s="95">
        <v>45465.0</v>
      </c>
      <c r="J159" s="4">
        <v>319.2084463119507</v>
      </c>
      <c r="K159" s="1"/>
      <c r="L159" s="1"/>
      <c r="M159" s="1" t="str">
        <f>VLOOKUP(B159,Bounties!A:D,3,FALSE)</f>
        <v>Research</v>
      </c>
      <c r="N159" s="1" t="str">
        <f>VLOOKUP(B159,Bounties!A:D,4,FALSE)</f>
        <v>Anti-Scam</v>
      </c>
      <c r="O159" s="1" t="str">
        <f t="shared" ref="O159:P159" si="163">IF(ISBLANK(K159),M159,K159)</f>
        <v>Research</v>
      </c>
      <c r="P159" s="1" t="str">
        <f t="shared" si="163"/>
        <v>Anti-Scam</v>
      </c>
      <c r="Q159" s="61" t="str">
        <f t="shared" si="3"/>
        <v>2024</v>
      </c>
      <c r="R159" s="62">
        <f t="shared" si="4"/>
        <v>6</v>
      </c>
      <c r="S159" s="61" t="str">
        <f t="shared" si="5"/>
        <v>2024-Q2</v>
      </c>
      <c r="T159" s="63" t="str">
        <f t="shared" si="6"/>
        <v>2024-06</v>
      </c>
      <c r="U159" s="64" t="str">
        <f t="shared" si="7"/>
        <v>2024-H1</v>
      </c>
      <c r="V159" s="9" t="str">
        <f>VLOOKUP(B159,Bounties!A:E,2,FALSE)</f>
        <v>Anti-Scam Bounty</v>
      </c>
    </row>
    <row r="160" hidden="1">
      <c r="A160" s="67">
        <f>HYPERLINK("https://polkadot.subsquare.io/treasury/child-bounties/1243", 1243)</f>
        <v>1243</v>
      </c>
      <c r="B160" s="1">
        <v>11.0</v>
      </c>
      <c r="C160" s="1" t="s">
        <v>2414</v>
      </c>
      <c r="D160" s="1" t="s">
        <v>822</v>
      </c>
      <c r="E160" s="5">
        <v>55.76</v>
      </c>
      <c r="F160" s="4">
        <v>390.89149192810055</v>
      </c>
      <c r="G160" s="1" t="s">
        <v>2438</v>
      </c>
      <c r="H160" s="95">
        <v>45443.0</v>
      </c>
      <c r="I160" s="95">
        <v>45453.0</v>
      </c>
      <c r="J160" s="4">
        <v>354.63762229919433</v>
      </c>
      <c r="K160" s="1"/>
      <c r="L160" s="1"/>
      <c r="M160" s="1" t="str">
        <f>VLOOKUP(B160,Bounties!A:D,3,FALSE)</f>
        <v>Research</v>
      </c>
      <c r="N160" s="1" t="str">
        <f>VLOOKUP(B160,Bounties!A:D,4,FALSE)</f>
        <v>Anti-Scam</v>
      </c>
      <c r="O160" s="1" t="str">
        <f t="shared" ref="O160:P160" si="164">IF(ISBLANK(K160),M160,K160)</f>
        <v>Research</v>
      </c>
      <c r="P160" s="1" t="str">
        <f t="shared" si="164"/>
        <v>Anti-Scam</v>
      </c>
      <c r="Q160" s="61" t="str">
        <f t="shared" si="3"/>
        <v>2024</v>
      </c>
      <c r="R160" s="62">
        <f t="shared" si="4"/>
        <v>6</v>
      </c>
      <c r="S160" s="61" t="str">
        <f t="shared" si="5"/>
        <v>2024-Q2</v>
      </c>
      <c r="T160" s="63" t="str">
        <f t="shared" si="6"/>
        <v>2024-06</v>
      </c>
      <c r="U160" s="64" t="str">
        <f t="shared" si="7"/>
        <v>2024-H1</v>
      </c>
      <c r="V160" s="9" t="str">
        <f>VLOOKUP(B160,Bounties!A:E,2,FALSE)</f>
        <v>Anti-Scam Bounty</v>
      </c>
    </row>
    <row r="161" hidden="1">
      <c r="A161" s="67">
        <f>HYPERLINK("https://polkadot.subsquare.io/treasury/child-bounties/1242", 1242)</f>
        <v>1242</v>
      </c>
      <c r="B161" s="1">
        <v>11.0</v>
      </c>
      <c r="C161" s="1" t="s">
        <v>2414</v>
      </c>
      <c r="D161" s="1" t="s">
        <v>821</v>
      </c>
      <c r="E161" s="5">
        <v>69.7</v>
      </c>
      <c r="F161" s="4">
        <v>488.61436491012574</v>
      </c>
      <c r="G161" s="1" t="s">
        <v>2534</v>
      </c>
      <c r="H161" s="95">
        <v>45443.0</v>
      </c>
      <c r="I161" s="95">
        <v>45452.0</v>
      </c>
      <c r="J161" s="4">
        <v>469.8976652622223</v>
      </c>
      <c r="K161" s="1"/>
      <c r="L161" s="1"/>
      <c r="M161" s="1" t="str">
        <f>VLOOKUP(B161,Bounties!A:D,3,FALSE)</f>
        <v>Research</v>
      </c>
      <c r="N161" s="1" t="str">
        <f>VLOOKUP(B161,Bounties!A:D,4,FALSE)</f>
        <v>Anti-Scam</v>
      </c>
      <c r="O161" s="1" t="str">
        <f t="shared" ref="O161:P161" si="165">IF(ISBLANK(K161),M161,K161)</f>
        <v>Research</v>
      </c>
      <c r="P161" s="1" t="str">
        <f t="shared" si="165"/>
        <v>Anti-Scam</v>
      </c>
      <c r="Q161" s="61" t="str">
        <f t="shared" si="3"/>
        <v>2024</v>
      </c>
      <c r="R161" s="62">
        <f t="shared" si="4"/>
        <v>6</v>
      </c>
      <c r="S161" s="61" t="str">
        <f t="shared" si="5"/>
        <v>2024-Q2</v>
      </c>
      <c r="T161" s="63" t="str">
        <f t="shared" si="6"/>
        <v>2024-06</v>
      </c>
      <c r="U161" s="64" t="str">
        <f t="shared" si="7"/>
        <v>2024-H1</v>
      </c>
      <c r="V161" s="9" t="str">
        <f>VLOOKUP(B161,Bounties!A:E,2,FALSE)</f>
        <v>Anti-Scam Bounty</v>
      </c>
    </row>
    <row r="162" hidden="1">
      <c r="A162" s="67">
        <f>HYPERLINK("https://polkadot.subsquare.io/treasury/child-bounties/1241", 1241)</f>
        <v>1241</v>
      </c>
      <c r="B162" s="1">
        <v>11.0</v>
      </c>
      <c r="C162" s="1" t="s">
        <v>2414</v>
      </c>
      <c r="D162" s="1" t="s">
        <v>820</v>
      </c>
      <c r="E162" s="5">
        <v>100.36</v>
      </c>
      <c r="F162" s="4">
        <v>703.548603477478</v>
      </c>
      <c r="G162" s="1" t="s">
        <v>2535</v>
      </c>
      <c r="H162" s="95">
        <v>45443.0</v>
      </c>
      <c r="I162" s="95">
        <v>45459.0</v>
      </c>
      <c r="J162" s="4">
        <v>579.6443321609497</v>
      </c>
      <c r="K162" s="1"/>
      <c r="L162" s="1"/>
      <c r="M162" s="1" t="str">
        <f>VLOOKUP(B162,Bounties!A:D,3,FALSE)</f>
        <v>Research</v>
      </c>
      <c r="N162" s="1" t="str">
        <f>VLOOKUP(B162,Bounties!A:D,4,FALSE)</f>
        <v>Anti-Scam</v>
      </c>
      <c r="O162" s="1" t="str">
        <f t="shared" ref="O162:P162" si="166">IF(ISBLANK(K162),M162,K162)</f>
        <v>Research</v>
      </c>
      <c r="P162" s="1" t="str">
        <f t="shared" si="166"/>
        <v>Anti-Scam</v>
      </c>
      <c r="Q162" s="61" t="str">
        <f t="shared" si="3"/>
        <v>2024</v>
      </c>
      <c r="R162" s="62">
        <f t="shared" si="4"/>
        <v>6</v>
      </c>
      <c r="S162" s="61" t="str">
        <f t="shared" si="5"/>
        <v>2024-Q2</v>
      </c>
      <c r="T162" s="63" t="str">
        <f t="shared" si="6"/>
        <v>2024-06</v>
      </c>
      <c r="U162" s="64" t="str">
        <f t="shared" si="7"/>
        <v>2024-H1</v>
      </c>
      <c r="V162" s="9" t="str">
        <f>VLOOKUP(B162,Bounties!A:E,2,FALSE)</f>
        <v>Anti-Scam Bounty</v>
      </c>
    </row>
    <row r="163" hidden="1">
      <c r="A163" s="67">
        <f>HYPERLINK("https://polkadot.subsquare.io/treasury/child-bounties/1240", 1240)</f>
        <v>1240</v>
      </c>
      <c r="B163" s="1">
        <v>11.0</v>
      </c>
      <c r="C163" s="1" t="s">
        <v>2414</v>
      </c>
      <c r="D163" s="1" t="s">
        <v>819</v>
      </c>
      <c r="E163" s="5">
        <v>200.7</v>
      </c>
      <c r="F163" s="4">
        <v>1406.9570019721984</v>
      </c>
      <c r="G163" s="1" t="s">
        <v>2534</v>
      </c>
      <c r="H163" s="95">
        <v>45443.0</v>
      </c>
      <c r="I163" s="95">
        <v>45452.0</v>
      </c>
      <c r="J163" s="4">
        <v>1353.062574148178</v>
      </c>
      <c r="K163" s="1"/>
      <c r="L163" s="1"/>
      <c r="M163" s="1" t="str">
        <f>VLOOKUP(B163,Bounties!A:D,3,FALSE)</f>
        <v>Research</v>
      </c>
      <c r="N163" s="1" t="str">
        <f>VLOOKUP(B163,Bounties!A:D,4,FALSE)</f>
        <v>Anti-Scam</v>
      </c>
      <c r="O163" s="1" t="str">
        <f t="shared" ref="O163:P163" si="167">IF(ISBLANK(K163),M163,K163)</f>
        <v>Research</v>
      </c>
      <c r="P163" s="1" t="str">
        <f t="shared" si="167"/>
        <v>Anti-Scam</v>
      </c>
      <c r="Q163" s="61" t="str">
        <f t="shared" si="3"/>
        <v>2024</v>
      </c>
      <c r="R163" s="62">
        <f t="shared" si="4"/>
        <v>6</v>
      </c>
      <c r="S163" s="61" t="str">
        <f t="shared" si="5"/>
        <v>2024-Q2</v>
      </c>
      <c r="T163" s="63" t="str">
        <f t="shared" si="6"/>
        <v>2024-06</v>
      </c>
      <c r="U163" s="64" t="str">
        <f t="shared" si="7"/>
        <v>2024-H1</v>
      </c>
      <c r="V163" s="9" t="str">
        <f>VLOOKUP(B163,Bounties!A:E,2,FALSE)</f>
        <v>Anti-Scam Bounty</v>
      </c>
    </row>
    <row r="164" hidden="1">
      <c r="A164" s="67">
        <f>HYPERLINK("https://polkadot.subsquare.io/treasury/child-bounties/1239", 1239)</f>
        <v>1239</v>
      </c>
      <c r="B164" s="1">
        <v>11.0</v>
      </c>
      <c r="C164" s="1" t="s">
        <v>2414</v>
      </c>
      <c r="D164" s="1" t="s">
        <v>818</v>
      </c>
      <c r="E164" s="5">
        <v>234.18</v>
      </c>
      <c r="F164" s="4">
        <v>1641.660143108368</v>
      </c>
      <c r="G164" s="1" t="s">
        <v>2437</v>
      </c>
      <c r="H164" s="95">
        <v>45443.0</v>
      </c>
      <c r="I164" s="95">
        <v>45453.0</v>
      </c>
      <c r="J164" s="4">
        <v>1489.4016927909852</v>
      </c>
      <c r="K164" s="1"/>
      <c r="L164" s="1"/>
      <c r="M164" s="1" t="str">
        <f>VLOOKUP(B164,Bounties!A:D,3,FALSE)</f>
        <v>Research</v>
      </c>
      <c r="N164" s="1" t="str">
        <f>VLOOKUP(B164,Bounties!A:D,4,FALSE)</f>
        <v>Anti-Scam</v>
      </c>
      <c r="O164" s="1" t="str">
        <f t="shared" ref="O164:P164" si="168">IF(ISBLANK(K164),M164,K164)</f>
        <v>Research</v>
      </c>
      <c r="P164" s="1" t="str">
        <f t="shared" si="168"/>
        <v>Anti-Scam</v>
      </c>
      <c r="Q164" s="61" t="str">
        <f t="shared" si="3"/>
        <v>2024</v>
      </c>
      <c r="R164" s="62">
        <f t="shared" si="4"/>
        <v>6</v>
      </c>
      <c r="S164" s="61" t="str">
        <f t="shared" si="5"/>
        <v>2024-Q2</v>
      </c>
      <c r="T164" s="63" t="str">
        <f t="shared" si="6"/>
        <v>2024-06</v>
      </c>
      <c r="U164" s="64" t="str">
        <f t="shared" si="7"/>
        <v>2024-H1</v>
      </c>
      <c r="V164" s="9" t="str">
        <f>VLOOKUP(B164,Bounties!A:E,2,FALSE)</f>
        <v>Anti-Scam Bounty</v>
      </c>
    </row>
    <row r="165" hidden="1">
      <c r="A165" s="67">
        <f>HYPERLINK("https://polkadot.subsquare.io/treasury/child-bounties/1238", 1238)</f>
        <v>1238</v>
      </c>
      <c r="B165" s="1">
        <v>43.0</v>
      </c>
      <c r="C165" s="1" t="s">
        <v>2414</v>
      </c>
      <c r="D165" s="1" t="s">
        <v>817</v>
      </c>
      <c r="E165" s="5">
        <v>128.81</v>
      </c>
      <c r="F165" s="4">
        <v>900.2582292509079</v>
      </c>
      <c r="G165" s="1" t="s">
        <v>2495</v>
      </c>
      <c r="H165" s="95">
        <v>45443.0</v>
      </c>
      <c r="I165" s="95">
        <v>45453.0</v>
      </c>
      <c r="J165" s="4">
        <v>819.240891828537</v>
      </c>
      <c r="K165" s="1"/>
      <c r="L165" s="1"/>
      <c r="M165" s="1" t="str">
        <f>VLOOKUP(B165,Bounties!A:D,3,FALSE)</f>
        <v>Outreach</v>
      </c>
      <c r="N165" s="1" t="str">
        <f>VLOOKUP(B165,Bounties!A:D,4,FALSE)</f>
        <v>Events/Meetups</v>
      </c>
      <c r="O165" s="1" t="str">
        <f t="shared" ref="O165:P165" si="169">IF(ISBLANK(K165),M165,K165)</f>
        <v>Outreach</v>
      </c>
      <c r="P165" s="1" t="str">
        <f t="shared" si="169"/>
        <v>Events/Meetups</v>
      </c>
      <c r="Q165" s="61" t="str">
        <f t="shared" si="3"/>
        <v>2024</v>
      </c>
      <c r="R165" s="62">
        <f t="shared" si="4"/>
        <v>6</v>
      </c>
      <c r="S165" s="61" t="str">
        <f t="shared" si="5"/>
        <v>2024-Q2</v>
      </c>
      <c r="T165" s="63" t="str">
        <f t="shared" si="6"/>
        <v>2024-06</v>
      </c>
      <c r="U165" s="64" t="str">
        <f t="shared" si="7"/>
        <v>2024-H1</v>
      </c>
      <c r="V165" s="9" t="str">
        <f>VLOOKUP(B165,Bounties!A:E,2,FALSE)</f>
        <v>Meetups Bounty</v>
      </c>
    </row>
    <row r="166" hidden="1">
      <c r="A166" s="67">
        <f>HYPERLINK("https://polkadot.subsquare.io/treasury/child-bounties/1237", 1237)</f>
        <v>1237</v>
      </c>
      <c r="B166" s="1">
        <v>42.0</v>
      </c>
      <c r="C166" s="1" t="s">
        <v>2460</v>
      </c>
      <c r="D166" s="1" t="s">
        <v>2536</v>
      </c>
      <c r="E166" s="5">
        <v>2.71</v>
      </c>
      <c r="F166" s="4">
        <v>19.12883816719055</v>
      </c>
      <c r="G166" s="1" t="s">
        <v>2457</v>
      </c>
      <c r="H166" s="95">
        <v>45441.0</v>
      </c>
      <c r="I166" s="95">
        <v>45441.0</v>
      </c>
      <c r="J166" s="4">
        <v>19.12883816719055</v>
      </c>
      <c r="K166" s="1"/>
      <c r="L166" s="1"/>
      <c r="M166" s="1" t="str">
        <f>VLOOKUP(B166,Bounties!A:D,3,FALSE)</f>
        <v>Outreach</v>
      </c>
      <c r="N166" s="1" t="str">
        <f>VLOOKUP(B166,Bounties!A:D,4,FALSE)</f>
        <v>Media</v>
      </c>
      <c r="O166" s="1" t="str">
        <f t="shared" ref="O166:P166" si="170">IF(ISBLANK(K166),M166,K166)</f>
        <v>Outreach</v>
      </c>
      <c r="P166" s="1" t="str">
        <f t="shared" si="170"/>
        <v>Media</v>
      </c>
      <c r="Q166" s="61" t="str">
        <f t="shared" si="3"/>
        <v>2024</v>
      </c>
      <c r="R166" s="62">
        <f t="shared" si="4"/>
        <v>5</v>
      </c>
      <c r="S166" s="61" t="str">
        <f t="shared" si="5"/>
        <v>2024-Q2</v>
      </c>
      <c r="T166" s="63" t="str">
        <f t="shared" si="6"/>
        <v>2024-05</v>
      </c>
      <c r="U166" s="64" t="str">
        <f t="shared" si="7"/>
        <v>2024-H1</v>
      </c>
      <c r="V166" s="9" t="str">
        <f>VLOOKUP(B166,Bounties!A:E,2,FALSE)</f>
        <v>Spanish Bounty</v>
      </c>
    </row>
    <row r="167" hidden="1">
      <c r="A167" s="67">
        <f>HYPERLINK("https://polkadot.subsquare.io/treasury/child-bounties/1236", 1236)</f>
        <v>1236</v>
      </c>
      <c r="B167" s="1">
        <v>42.0</v>
      </c>
      <c r="C167" s="1" t="s">
        <v>2414</v>
      </c>
      <c r="D167" s="1" t="s">
        <v>816</v>
      </c>
      <c r="E167" s="5">
        <v>20.13</v>
      </c>
      <c r="F167" s="4">
        <v>142.08985693931578</v>
      </c>
      <c r="G167" s="1" t="s">
        <v>2420</v>
      </c>
      <c r="H167" s="95">
        <v>45441.0</v>
      </c>
      <c r="I167" s="95">
        <v>45450.0</v>
      </c>
      <c r="J167" s="4">
        <v>131.3032146692276</v>
      </c>
      <c r="K167" s="1"/>
      <c r="L167" s="1"/>
      <c r="M167" s="1" t="str">
        <f>VLOOKUP(B167,Bounties!A:D,3,FALSE)</f>
        <v>Outreach</v>
      </c>
      <c r="N167" s="1" t="str">
        <f>VLOOKUP(B167,Bounties!A:D,4,FALSE)</f>
        <v>Media</v>
      </c>
      <c r="O167" s="1" t="str">
        <f t="shared" ref="O167:P167" si="171">IF(ISBLANK(K167),M167,K167)</f>
        <v>Outreach</v>
      </c>
      <c r="P167" s="1" t="str">
        <f t="shared" si="171"/>
        <v>Media</v>
      </c>
      <c r="Q167" s="61" t="str">
        <f t="shared" si="3"/>
        <v>2024</v>
      </c>
      <c r="R167" s="62">
        <f t="shared" si="4"/>
        <v>6</v>
      </c>
      <c r="S167" s="61" t="str">
        <f t="shared" si="5"/>
        <v>2024-Q2</v>
      </c>
      <c r="T167" s="63" t="str">
        <f t="shared" si="6"/>
        <v>2024-06</v>
      </c>
      <c r="U167" s="64" t="str">
        <f t="shared" si="7"/>
        <v>2024-H1</v>
      </c>
      <c r="V167" s="9" t="str">
        <f>VLOOKUP(B167,Bounties!A:E,2,FALSE)</f>
        <v>Spanish Bounty</v>
      </c>
    </row>
    <row r="168" hidden="1">
      <c r="A168" s="67">
        <f>HYPERLINK("https://polkadot.subsquare.io/treasury/child-bounties/1235", 1235)</f>
        <v>1235</v>
      </c>
      <c r="B168" s="1">
        <v>42.0</v>
      </c>
      <c r="C168" s="1" t="s">
        <v>2414</v>
      </c>
      <c r="D168" s="1" t="s">
        <v>815</v>
      </c>
      <c r="E168" s="5">
        <v>2.03</v>
      </c>
      <c r="F168" s="4">
        <v>14.328982095718382</v>
      </c>
      <c r="G168" s="1" t="s">
        <v>2422</v>
      </c>
      <c r="H168" s="95">
        <v>45441.0</v>
      </c>
      <c r="I168" s="95">
        <v>45450.0</v>
      </c>
      <c r="J168" s="4">
        <v>13.241208434104918</v>
      </c>
      <c r="K168" s="1"/>
      <c r="L168" s="1"/>
      <c r="M168" s="1" t="str">
        <f>VLOOKUP(B168,Bounties!A:D,3,FALSE)</f>
        <v>Outreach</v>
      </c>
      <c r="N168" s="1" t="str">
        <f>VLOOKUP(B168,Bounties!A:D,4,FALSE)</f>
        <v>Media</v>
      </c>
      <c r="O168" s="1" t="str">
        <f t="shared" ref="O168:P168" si="172">IF(ISBLANK(K168),M168,K168)</f>
        <v>Outreach</v>
      </c>
      <c r="P168" s="1" t="str">
        <f t="shared" si="172"/>
        <v>Media</v>
      </c>
      <c r="Q168" s="61" t="str">
        <f t="shared" si="3"/>
        <v>2024</v>
      </c>
      <c r="R168" s="62">
        <f t="shared" si="4"/>
        <v>6</v>
      </c>
      <c r="S168" s="61" t="str">
        <f t="shared" si="5"/>
        <v>2024-Q2</v>
      </c>
      <c r="T168" s="63" t="str">
        <f t="shared" si="6"/>
        <v>2024-06</v>
      </c>
      <c r="U168" s="64" t="str">
        <f t="shared" si="7"/>
        <v>2024-H1</v>
      </c>
      <c r="V168" s="9" t="str">
        <f>VLOOKUP(B168,Bounties!A:E,2,FALSE)</f>
        <v>Spanish Bounty</v>
      </c>
    </row>
    <row r="169" hidden="1">
      <c r="A169" s="67">
        <f>HYPERLINK("https://polkadot.subsquare.io/treasury/child-bounties/1234", 1234)</f>
        <v>1234</v>
      </c>
      <c r="B169" s="1">
        <v>42.0</v>
      </c>
      <c r="C169" s="1" t="s">
        <v>2414</v>
      </c>
      <c r="D169" s="1" t="s">
        <v>814</v>
      </c>
      <c r="E169" s="5">
        <v>20.36</v>
      </c>
      <c r="F169" s="4">
        <v>143.71333766937255</v>
      </c>
      <c r="G169" s="1" t="s">
        <v>2537</v>
      </c>
      <c r="H169" s="95">
        <v>45441.0</v>
      </c>
      <c r="I169" s="95">
        <v>45452.0</v>
      </c>
      <c r="J169" s="4">
        <v>129.89470531463624</v>
      </c>
      <c r="K169" s="1"/>
      <c r="L169" s="1"/>
      <c r="M169" s="1" t="str">
        <f>VLOOKUP(B169,Bounties!A:D,3,FALSE)</f>
        <v>Outreach</v>
      </c>
      <c r="N169" s="1" t="str">
        <f>VLOOKUP(B169,Bounties!A:D,4,FALSE)</f>
        <v>Media</v>
      </c>
      <c r="O169" s="1" t="str">
        <f t="shared" ref="O169:P169" si="173">IF(ISBLANK(K169),M169,K169)</f>
        <v>Outreach</v>
      </c>
      <c r="P169" s="1" t="str">
        <f t="shared" si="173"/>
        <v>Media</v>
      </c>
      <c r="Q169" s="61" t="str">
        <f t="shared" si="3"/>
        <v>2024</v>
      </c>
      <c r="R169" s="62">
        <f t="shared" si="4"/>
        <v>6</v>
      </c>
      <c r="S169" s="61" t="str">
        <f t="shared" si="5"/>
        <v>2024-Q2</v>
      </c>
      <c r="T169" s="63" t="str">
        <f t="shared" si="6"/>
        <v>2024-06</v>
      </c>
      <c r="U169" s="64" t="str">
        <f t="shared" si="7"/>
        <v>2024-H1</v>
      </c>
      <c r="V169" s="9" t="str">
        <f>VLOOKUP(B169,Bounties!A:E,2,FALSE)</f>
        <v>Spanish Bounty</v>
      </c>
    </row>
    <row r="170" hidden="1">
      <c r="A170" s="67">
        <f>HYPERLINK("https://polkadot.subsquare.io/treasury/child-bounties/1233", 1233)</f>
        <v>1233</v>
      </c>
      <c r="B170" s="1">
        <v>42.0</v>
      </c>
      <c r="C170" s="1" t="s">
        <v>2414</v>
      </c>
      <c r="D170" s="1" t="s">
        <v>813</v>
      </c>
      <c r="E170" s="5">
        <v>7.75</v>
      </c>
      <c r="F170" s="4">
        <v>54.70424199104309</v>
      </c>
      <c r="G170" s="1" t="s">
        <v>2448</v>
      </c>
      <c r="H170" s="95">
        <v>45441.0</v>
      </c>
      <c r="I170" s="95">
        <v>45449.0</v>
      </c>
      <c r="J170" s="4">
        <v>50.551411509513855</v>
      </c>
      <c r="K170" s="1"/>
      <c r="L170" s="1"/>
      <c r="M170" s="1" t="str">
        <f>VLOOKUP(B170,Bounties!A:D,3,FALSE)</f>
        <v>Outreach</v>
      </c>
      <c r="N170" s="1" t="str">
        <f>VLOOKUP(B170,Bounties!A:D,4,FALSE)</f>
        <v>Media</v>
      </c>
      <c r="O170" s="1" t="str">
        <f t="shared" ref="O170:P170" si="174">IF(ISBLANK(K170),M170,K170)</f>
        <v>Outreach</v>
      </c>
      <c r="P170" s="1" t="str">
        <f t="shared" si="174"/>
        <v>Media</v>
      </c>
      <c r="Q170" s="61" t="str">
        <f t="shared" si="3"/>
        <v>2024</v>
      </c>
      <c r="R170" s="62">
        <f t="shared" si="4"/>
        <v>6</v>
      </c>
      <c r="S170" s="61" t="str">
        <f t="shared" si="5"/>
        <v>2024-Q2</v>
      </c>
      <c r="T170" s="63" t="str">
        <f t="shared" si="6"/>
        <v>2024-06</v>
      </c>
      <c r="U170" s="64" t="str">
        <f t="shared" si="7"/>
        <v>2024-H1</v>
      </c>
      <c r="V170" s="9" t="str">
        <f>VLOOKUP(B170,Bounties!A:E,2,FALSE)</f>
        <v>Spanish Bounty</v>
      </c>
    </row>
    <row r="171" hidden="1">
      <c r="A171" s="67">
        <f>HYPERLINK("https://polkadot.subsquare.io/treasury/child-bounties/1232", 1232)</f>
        <v>1232</v>
      </c>
      <c r="B171" s="1">
        <v>42.0</v>
      </c>
      <c r="C171" s="1" t="s">
        <v>2460</v>
      </c>
      <c r="D171" s="1" t="s">
        <v>2538</v>
      </c>
      <c r="E171" s="5">
        <v>2.9</v>
      </c>
      <c r="F171" s="4">
        <v>20.469974422454833</v>
      </c>
      <c r="G171" s="1" t="s">
        <v>2493</v>
      </c>
      <c r="H171" s="95">
        <v>45441.0</v>
      </c>
      <c r="I171" s="95">
        <v>45441.0</v>
      </c>
      <c r="J171" s="4">
        <v>20.469974422454833</v>
      </c>
      <c r="K171" s="1"/>
      <c r="L171" s="1"/>
      <c r="M171" s="1" t="str">
        <f>VLOOKUP(B171,Bounties!A:D,3,FALSE)</f>
        <v>Outreach</v>
      </c>
      <c r="N171" s="1" t="str">
        <f>VLOOKUP(B171,Bounties!A:D,4,FALSE)</f>
        <v>Media</v>
      </c>
      <c r="O171" s="1" t="str">
        <f t="shared" ref="O171:P171" si="175">IF(ISBLANK(K171),M171,K171)</f>
        <v>Outreach</v>
      </c>
      <c r="P171" s="1" t="str">
        <f t="shared" si="175"/>
        <v>Media</v>
      </c>
      <c r="Q171" s="61" t="str">
        <f t="shared" si="3"/>
        <v>2024</v>
      </c>
      <c r="R171" s="62">
        <f t="shared" si="4"/>
        <v>5</v>
      </c>
      <c r="S171" s="61" t="str">
        <f t="shared" si="5"/>
        <v>2024-Q2</v>
      </c>
      <c r="T171" s="63" t="str">
        <f t="shared" si="6"/>
        <v>2024-05</v>
      </c>
      <c r="U171" s="64" t="str">
        <f t="shared" si="7"/>
        <v>2024-H1</v>
      </c>
      <c r="V171" s="9" t="str">
        <f>VLOOKUP(B171,Bounties!A:E,2,FALSE)</f>
        <v>Spanish Bounty</v>
      </c>
    </row>
    <row r="172" hidden="1">
      <c r="A172" s="67">
        <f>HYPERLINK("https://polkadot.subsquare.io/treasury/child-bounties/1231", 1231)</f>
        <v>1231</v>
      </c>
      <c r="B172" s="1">
        <v>42.0</v>
      </c>
      <c r="C172" s="1" t="s">
        <v>2414</v>
      </c>
      <c r="D172" s="1" t="s">
        <v>812</v>
      </c>
      <c r="E172" s="5">
        <v>5.23</v>
      </c>
      <c r="F172" s="4">
        <v>36.91654007911682</v>
      </c>
      <c r="G172" s="1" t="s">
        <v>2456</v>
      </c>
      <c r="H172" s="95">
        <v>45441.0</v>
      </c>
      <c r="I172" s="95">
        <v>45453.0</v>
      </c>
      <c r="J172" s="4">
        <v>33.26317727088929</v>
      </c>
      <c r="K172" s="1"/>
      <c r="L172" s="1"/>
      <c r="M172" s="1" t="str">
        <f>VLOOKUP(B172,Bounties!A:D,3,FALSE)</f>
        <v>Outreach</v>
      </c>
      <c r="N172" s="1" t="str">
        <f>VLOOKUP(B172,Bounties!A:D,4,FALSE)</f>
        <v>Media</v>
      </c>
      <c r="O172" s="1" t="str">
        <f t="shared" ref="O172:P172" si="176">IF(ISBLANK(K172),M172,K172)</f>
        <v>Outreach</v>
      </c>
      <c r="P172" s="1" t="str">
        <f t="shared" si="176"/>
        <v>Media</v>
      </c>
      <c r="Q172" s="61" t="str">
        <f t="shared" si="3"/>
        <v>2024</v>
      </c>
      <c r="R172" s="62">
        <f t="shared" si="4"/>
        <v>6</v>
      </c>
      <c r="S172" s="61" t="str">
        <f t="shared" si="5"/>
        <v>2024-Q2</v>
      </c>
      <c r="T172" s="63" t="str">
        <f t="shared" si="6"/>
        <v>2024-06</v>
      </c>
      <c r="U172" s="64" t="str">
        <f t="shared" si="7"/>
        <v>2024-H1</v>
      </c>
      <c r="V172" s="9" t="str">
        <f>VLOOKUP(B172,Bounties!A:E,2,FALSE)</f>
        <v>Spanish Bounty</v>
      </c>
    </row>
    <row r="173" hidden="1">
      <c r="A173" s="67">
        <f>HYPERLINK("https://polkadot.subsquare.io/treasury/child-bounties/1230", 1230)</f>
        <v>1230</v>
      </c>
      <c r="B173" s="1">
        <v>42.0</v>
      </c>
      <c r="C173" s="1" t="s">
        <v>2414</v>
      </c>
      <c r="D173" s="1" t="s">
        <v>811</v>
      </c>
      <c r="E173" s="5">
        <v>23.25</v>
      </c>
      <c r="F173" s="4">
        <v>164.11272597312927</v>
      </c>
      <c r="G173" s="1" t="s">
        <v>2452</v>
      </c>
      <c r="H173" s="95">
        <v>45441.0</v>
      </c>
      <c r="I173" s="95">
        <v>45450.0</v>
      </c>
      <c r="J173" s="4">
        <v>151.65423452854156</v>
      </c>
      <c r="K173" s="1"/>
      <c r="L173" s="1"/>
      <c r="M173" s="1" t="str">
        <f>VLOOKUP(B173,Bounties!A:D,3,FALSE)</f>
        <v>Outreach</v>
      </c>
      <c r="N173" s="1" t="str">
        <f>VLOOKUP(B173,Bounties!A:D,4,FALSE)</f>
        <v>Media</v>
      </c>
      <c r="O173" s="1" t="str">
        <f t="shared" ref="O173:P173" si="177">IF(ISBLANK(K173),M173,K173)</f>
        <v>Outreach</v>
      </c>
      <c r="P173" s="1" t="str">
        <f t="shared" si="177"/>
        <v>Media</v>
      </c>
      <c r="Q173" s="61" t="str">
        <f t="shared" si="3"/>
        <v>2024</v>
      </c>
      <c r="R173" s="62">
        <f t="shared" si="4"/>
        <v>6</v>
      </c>
      <c r="S173" s="61" t="str">
        <f t="shared" si="5"/>
        <v>2024-Q2</v>
      </c>
      <c r="T173" s="63" t="str">
        <f t="shared" si="6"/>
        <v>2024-06</v>
      </c>
      <c r="U173" s="64" t="str">
        <f t="shared" si="7"/>
        <v>2024-H1</v>
      </c>
      <c r="V173" s="9" t="str">
        <f>VLOOKUP(B173,Bounties!A:E,2,FALSE)</f>
        <v>Spanish Bounty</v>
      </c>
    </row>
    <row r="174" hidden="1">
      <c r="A174" s="67">
        <f>HYPERLINK("https://polkadot.subsquare.io/treasury/child-bounties/1229", 1229)</f>
        <v>1229</v>
      </c>
      <c r="B174" s="1">
        <v>42.0</v>
      </c>
      <c r="C174" s="1" t="s">
        <v>2414</v>
      </c>
      <c r="D174" s="1" t="s">
        <v>810</v>
      </c>
      <c r="E174" s="5">
        <v>15.51</v>
      </c>
      <c r="F174" s="4">
        <v>109.4790701007843</v>
      </c>
      <c r="G174" s="1" t="s">
        <v>2455</v>
      </c>
      <c r="H174" s="95">
        <v>45441.0</v>
      </c>
      <c r="I174" s="95">
        <v>45450.0</v>
      </c>
      <c r="J174" s="4">
        <v>100.9304993391037</v>
      </c>
      <c r="K174" s="1"/>
      <c r="L174" s="1"/>
      <c r="M174" s="1" t="str">
        <f>VLOOKUP(B174,Bounties!A:D,3,FALSE)</f>
        <v>Outreach</v>
      </c>
      <c r="N174" s="1" t="str">
        <f>VLOOKUP(B174,Bounties!A:D,4,FALSE)</f>
        <v>Media</v>
      </c>
      <c r="O174" s="1" t="str">
        <f t="shared" ref="O174:P174" si="178">IF(ISBLANK(K174),M174,K174)</f>
        <v>Outreach</v>
      </c>
      <c r="P174" s="1" t="str">
        <f t="shared" si="178"/>
        <v>Media</v>
      </c>
      <c r="Q174" s="61" t="str">
        <f t="shared" si="3"/>
        <v>2024</v>
      </c>
      <c r="R174" s="62">
        <f t="shared" si="4"/>
        <v>6</v>
      </c>
      <c r="S174" s="61" t="str">
        <f t="shared" si="5"/>
        <v>2024-Q2</v>
      </c>
      <c r="T174" s="63" t="str">
        <f t="shared" si="6"/>
        <v>2024-06</v>
      </c>
      <c r="U174" s="64" t="str">
        <f t="shared" si="7"/>
        <v>2024-H1</v>
      </c>
      <c r="V174" s="9" t="str">
        <f>VLOOKUP(B174,Bounties!A:E,2,FALSE)</f>
        <v>Spanish Bounty</v>
      </c>
    </row>
    <row r="175" hidden="1">
      <c r="A175" s="67">
        <f>HYPERLINK("https://polkadot.subsquare.io/treasury/child-bounties/1228", 1228)</f>
        <v>1228</v>
      </c>
      <c r="B175" s="1">
        <v>42.0</v>
      </c>
      <c r="C175" s="1" t="s">
        <v>2414</v>
      </c>
      <c r="D175" s="1" t="s">
        <v>809</v>
      </c>
      <c r="E175" s="5">
        <v>3.19</v>
      </c>
      <c r="F175" s="4">
        <v>22.516971864700317</v>
      </c>
      <c r="G175" s="1" t="s">
        <v>2539</v>
      </c>
      <c r="H175" s="95">
        <v>45441.0</v>
      </c>
      <c r="I175" s="95">
        <v>45453.0</v>
      </c>
      <c r="J175" s="4">
        <v>20.288630113601684</v>
      </c>
      <c r="K175" s="1"/>
      <c r="L175" s="1"/>
      <c r="M175" s="1" t="str">
        <f>VLOOKUP(B175,Bounties!A:D,3,FALSE)</f>
        <v>Outreach</v>
      </c>
      <c r="N175" s="1" t="str">
        <f>VLOOKUP(B175,Bounties!A:D,4,FALSE)</f>
        <v>Media</v>
      </c>
      <c r="O175" s="1" t="str">
        <f t="shared" ref="O175:P175" si="179">IF(ISBLANK(K175),M175,K175)</f>
        <v>Outreach</v>
      </c>
      <c r="P175" s="1" t="str">
        <f t="shared" si="179"/>
        <v>Media</v>
      </c>
      <c r="Q175" s="61" t="str">
        <f t="shared" si="3"/>
        <v>2024</v>
      </c>
      <c r="R175" s="62">
        <f t="shared" si="4"/>
        <v>6</v>
      </c>
      <c r="S175" s="61" t="str">
        <f t="shared" si="5"/>
        <v>2024-Q2</v>
      </c>
      <c r="T175" s="63" t="str">
        <f t="shared" si="6"/>
        <v>2024-06</v>
      </c>
      <c r="U175" s="64" t="str">
        <f t="shared" si="7"/>
        <v>2024-H1</v>
      </c>
      <c r="V175" s="9" t="str">
        <f>VLOOKUP(B175,Bounties!A:E,2,FALSE)</f>
        <v>Spanish Bounty</v>
      </c>
    </row>
    <row r="176" hidden="1">
      <c r="A176" s="67">
        <f>HYPERLINK("https://polkadot.subsquare.io/treasury/child-bounties/1227", 1227)</f>
        <v>1227</v>
      </c>
      <c r="B176" s="1">
        <v>42.0</v>
      </c>
      <c r="C176" s="1" t="s">
        <v>2414</v>
      </c>
      <c r="D176" s="1" t="s">
        <v>808</v>
      </c>
      <c r="E176" s="5">
        <v>11.08</v>
      </c>
      <c r="F176" s="4">
        <v>78.20941951751709</v>
      </c>
      <c r="G176" s="1" t="s">
        <v>2540</v>
      </c>
      <c r="H176" s="95">
        <v>45441.0</v>
      </c>
      <c r="I176" s="95">
        <v>45449.0</v>
      </c>
      <c r="J176" s="4">
        <v>72.27221155166626</v>
      </c>
      <c r="K176" s="1"/>
      <c r="L176" s="1"/>
      <c r="M176" s="1" t="str">
        <f>VLOOKUP(B176,Bounties!A:D,3,FALSE)</f>
        <v>Outreach</v>
      </c>
      <c r="N176" s="1" t="str">
        <f>VLOOKUP(B176,Bounties!A:D,4,FALSE)</f>
        <v>Media</v>
      </c>
      <c r="O176" s="1" t="str">
        <f t="shared" ref="O176:P176" si="180">IF(ISBLANK(K176),M176,K176)</f>
        <v>Outreach</v>
      </c>
      <c r="P176" s="1" t="str">
        <f t="shared" si="180"/>
        <v>Media</v>
      </c>
      <c r="Q176" s="61" t="str">
        <f t="shared" si="3"/>
        <v>2024</v>
      </c>
      <c r="R176" s="62">
        <f t="shared" si="4"/>
        <v>6</v>
      </c>
      <c r="S176" s="61" t="str">
        <f t="shared" si="5"/>
        <v>2024-Q2</v>
      </c>
      <c r="T176" s="63" t="str">
        <f t="shared" si="6"/>
        <v>2024-06</v>
      </c>
      <c r="U176" s="64" t="str">
        <f t="shared" si="7"/>
        <v>2024-H1</v>
      </c>
      <c r="V176" s="9" t="str">
        <f>VLOOKUP(B176,Bounties!A:E,2,FALSE)</f>
        <v>Spanish Bounty</v>
      </c>
    </row>
    <row r="177" hidden="1">
      <c r="A177" s="67">
        <f>HYPERLINK("https://polkadot.subsquare.io/treasury/child-bounties/1226", 1226)</f>
        <v>1226</v>
      </c>
      <c r="B177" s="1">
        <v>42.0</v>
      </c>
      <c r="C177" s="1" t="s">
        <v>2414</v>
      </c>
      <c r="D177" s="1" t="s">
        <v>808</v>
      </c>
      <c r="E177" s="5">
        <v>17.95</v>
      </c>
      <c r="F177" s="4">
        <v>126.7020830631256</v>
      </c>
      <c r="G177" s="1" t="s">
        <v>2491</v>
      </c>
      <c r="H177" s="95">
        <v>45441.0</v>
      </c>
      <c r="I177" s="95">
        <v>45449.0</v>
      </c>
      <c r="J177" s="4">
        <v>117.08359181880951</v>
      </c>
      <c r="K177" s="1"/>
      <c r="L177" s="1"/>
      <c r="M177" s="1" t="str">
        <f>VLOOKUP(B177,Bounties!A:D,3,FALSE)</f>
        <v>Outreach</v>
      </c>
      <c r="N177" s="1" t="str">
        <f>VLOOKUP(B177,Bounties!A:D,4,FALSE)</f>
        <v>Media</v>
      </c>
      <c r="O177" s="1" t="str">
        <f t="shared" ref="O177:P177" si="181">IF(ISBLANK(K177),M177,K177)</f>
        <v>Outreach</v>
      </c>
      <c r="P177" s="1" t="str">
        <f t="shared" si="181"/>
        <v>Media</v>
      </c>
      <c r="Q177" s="61" t="str">
        <f t="shared" si="3"/>
        <v>2024</v>
      </c>
      <c r="R177" s="62">
        <f t="shared" si="4"/>
        <v>6</v>
      </c>
      <c r="S177" s="61" t="str">
        <f t="shared" si="5"/>
        <v>2024-Q2</v>
      </c>
      <c r="T177" s="63" t="str">
        <f t="shared" si="6"/>
        <v>2024-06</v>
      </c>
      <c r="U177" s="64" t="str">
        <f t="shared" si="7"/>
        <v>2024-H1</v>
      </c>
      <c r="V177" s="9" t="str">
        <f>VLOOKUP(B177,Bounties!A:E,2,FALSE)</f>
        <v>Spanish Bounty</v>
      </c>
    </row>
    <row r="178" hidden="1">
      <c r="A178" s="67">
        <f>HYPERLINK("https://polkadot.subsquare.io/treasury/child-bounties/1225", 1225)</f>
        <v>1225</v>
      </c>
      <c r="B178" s="1">
        <v>42.0</v>
      </c>
      <c r="C178" s="1" t="s">
        <v>2414</v>
      </c>
      <c r="D178" s="1" t="s">
        <v>764</v>
      </c>
      <c r="E178" s="5">
        <v>3.65</v>
      </c>
      <c r="F178" s="4">
        <v>25.76393332481384</v>
      </c>
      <c r="G178" s="1" t="s">
        <v>2493</v>
      </c>
      <c r="H178" s="95">
        <v>45441.0</v>
      </c>
      <c r="I178" s="95">
        <v>45452.0</v>
      </c>
      <c r="J178" s="4">
        <v>23.286624479293824</v>
      </c>
      <c r="K178" s="1"/>
      <c r="L178" s="1"/>
      <c r="M178" s="1" t="str">
        <f>VLOOKUP(B178,Bounties!A:D,3,FALSE)</f>
        <v>Outreach</v>
      </c>
      <c r="N178" s="1" t="str">
        <f>VLOOKUP(B178,Bounties!A:D,4,FALSE)</f>
        <v>Media</v>
      </c>
      <c r="O178" s="1" t="str">
        <f t="shared" ref="O178:P178" si="182">IF(ISBLANK(K178),M178,K178)</f>
        <v>Outreach</v>
      </c>
      <c r="P178" s="1" t="str">
        <f t="shared" si="182"/>
        <v>Media</v>
      </c>
      <c r="Q178" s="61" t="str">
        <f t="shared" si="3"/>
        <v>2024</v>
      </c>
      <c r="R178" s="62">
        <f t="shared" si="4"/>
        <v>6</v>
      </c>
      <c r="S178" s="61" t="str">
        <f t="shared" si="5"/>
        <v>2024-Q2</v>
      </c>
      <c r="T178" s="63" t="str">
        <f t="shared" si="6"/>
        <v>2024-06</v>
      </c>
      <c r="U178" s="64" t="str">
        <f t="shared" si="7"/>
        <v>2024-H1</v>
      </c>
      <c r="V178" s="9" t="str">
        <f>VLOOKUP(B178,Bounties!A:E,2,FALSE)</f>
        <v>Spanish Bounty</v>
      </c>
    </row>
    <row r="179" hidden="1">
      <c r="A179" s="67">
        <f>HYPERLINK("https://polkadot.subsquare.io/treasury/child-bounties/1224", 1224)</f>
        <v>1224</v>
      </c>
      <c r="B179" s="1">
        <v>42.0</v>
      </c>
      <c r="C179" s="1" t="s">
        <v>2414</v>
      </c>
      <c r="D179" s="1" t="s">
        <v>764</v>
      </c>
      <c r="E179" s="5">
        <v>68.09</v>
      </c>
      <c r="F179" s="4">
        <v>480.6208822154999</v>
      </c>
      <c r="G179" s="1" t="s">
        <v>2453</v>
      </c>
      <c r="H179" s="95">
        <v>45441.0</v>
      </c>
      <c r="I179" s="95">
        <v>45449.0</v>
      </c>
      <c r="J179" s="4">
        <v>444.1349173784256</v>
      </c>
      <c r="K179" s="1"/>
      <c r="L179" s="1"/>
      <c r="M179" s="1" t="str">
        <f>VLOOKUP(B179,Bounties!A:D,3,FALSE)</f>
        <v>Outreach</v>
      </c>
      <c r="N179" s="1" t="str">
        <f>VLOOKUP(B179,Bounties!A:D,4,FALSE)</f>
        <v>Media</v>
      </c>
      <c r="O179" s="1" t="str">
        <f t="shared" ref="O179:P179" si="183">IF(ISBLANK(K179),M179,K179)</f>
        <v>Outreach</v>
      </c>
      <c r="P179" s="1" t="str">
        <f t="shared" si="183"/>
        <v>Media</v>
      </c>
      <c r="Q179" s="61" t="str">
        <f t="shared" si="3"/>
        <v>2024</v>
      </c>
      <c r="R179" s="62">
        <f t="shared" si="4"/>
        <v>6</v>
      </c>
      <c r="S179" s="61" t="str">
        <f t="shared" si="5"/>
        <v>2024-Q2</v>
      </c>
      <c r="T179" s="63" t="str">
        <f t="shared" si="6"/>
        <v>2024-06</v>
      </c>
      <c r="U179" s="64" t="str">
        <f t="shared" si="7"/>
        <v>2024-H1</v>
      </c>
      <c r="V179" s="9" t="str">
        <f>VLOOKUP(B179,Bounties!A:E,2,FALSE)</f>
        <v>Spanish Bounty</v>
      </c>
    </row>
    <row r="180" hidden="1">
      <c r="A180" s="67">
        <f>HYPERLINK("https://polkadot.subsquare.io/treasury/child-bounties/1223", 1223)</f>
        <v>1223</v>
      </c>
      <c r="B180" s="1">
        <v>46.0</v>
      </c>
      <c r="C180" s="1" t="s">
        <v>2414</v>
      </c>
      <c r="D180" s="1" t="s">
        <v>807</v>
      </c>
      <c r="E180" s="5">
        <v>39.774</v>
      </c>
      <c r="F180" s="4">
        <v>277.9067789869309</v>
      </c>
      <c r="G180" s="1" t="s">
        <v>2541</v>
      </c>
      <c r="H180" s="95">
        <v>45440.0</v>
      </c>
      <c r="I180" s="95">
        <v>45453.0</v>
      </c>
      <c r="J180" s="4">
        <v>252.9655091342926</v>
      </c>
      <c r="K180" s="1"/>
      <c r="L180" s="1"/>
      <c r="M180" s="1" t="str">
        <f>VLOOKUP(B180,Bounties!A:D,3,FALSE)</f>
        <v>Outreach</v>
      </c>
      <c r="N180" s="1" t="str">
        <f>VLOOKUP(B180,Bounties!A:D,4,FALSE)</f>
        <v>Advertising</v>
      </c>
      <c r="O180" s="1" t="str">
        <f t="shared" ref="O180:P180" si="184">IF(ISBLANK(K180),M180,K180)</f>
        <v>Outreach</v>
      </c>
      <c r="P180" s="1" t="str">
        <f t="shared" si="184"/>
        <v>Advertising</v>
      </c>
      <c r="Q180" s="61" t="str">
        <f t="shared" si="3"/>
        <v>2024</v>
      </c>
      <c r="R180" s="62">
        <f t="shared" si="4"/>
        <v>6</v>
      </c>
      <c r="S180" s="61" t="str">
        <f t="shared" si="5"/>
        <v>2024-Q2</v>
      </c>
      <c r="T180" s="63" t="str">
        <f t="shared" si="6"/>
        <v>2024-06</v>
      </c>
      <c r="U180" s="64" t="str">
        <f t="shared" si="7"/>
        <v>2024-H1</v>
      </c>
      <c r="V180" s="9" t="str">
        <f>VLOOKUP(B180,Bounties!A:E,2,FALSE)</f>
        <v>AMI Bounty</v>
      </c>
    </row>
    <row r="181" hidden="1">
      <c r="A181" s="67">
        <f>HYPERLINK("https://polkadot.subsquare.io/treasury/child-bounties/1222", 1222)</f>
        <v>1222</v>
      </c>
      <c r="B181" s="1">
        <v>19.0</v>
      </c>
      <c r="C181" s="1" t="s">
        <v>2414</v>
      </c>
      <c r="D181" s="1" t="s">
        <v>806</v>
      </c>
      <c r="E181" s="5">
        <v>6218.0</v>
      </c>
      <c r="F181" s="4">
        <v>43446.07914066315</v>
      </c>
      <c r="G181" s="1" t="s">
        <v>2542</v>
      </c>
      <c r="H181" s="95">
        <v>45440.0</v>
      </c>
      <c r="I181" s="95">
        <v>45453.0</v>
      </c>
      <c r="J181" s="4">
        <v>41919.99544620514</v>
      </c>
      <c r="K181" s="1"/>
      <c r="L181" s="1"/>
      <c r="M181" s="1" t="str">
        <f>VLOOKUP(B181,Bounties!A:D,3,FALSE)</f>
        <v>Development</v>
      </c>
      <c r="N181" s="1" t="str">
        <f>VLOOKUP(B181,Bounties!A:D,4,FALSE)</f>
        <v>Smart Contracts</v>
      </c>
      <c r="O181" s="1" t="str">
        <f t="shared" ref="O181:P181" si="185">IF(ISBLANK(K181),M181,K181)</f>
        <v>Development</v>
      </c>
      <c r="P181" s="1" t="str">
        <f t="shared" si="185"/>
        <v>Smart Contracts</v>
      </c>
      <c r="Q181" s="61" t="str">
        <f t="shared" si="3"/>
        <v>2024</v>
      </c>
      <c r="R181" s="62">
        <f t="shared" si="4"/>
        <v>6</v>
      </c>
      <c r="S181" s="61" t="str">
        <f t="shared" si="5"/>
        <v>2024-Q2</v>
      </c>
      <c r="T181" s="63" t="str">
        <f t="shared" si="6"/>
        <v>2024-06</v>
      </c>
      <c r="U181" s="64" t="str">
        <f t="shared" si="7"/>
        <v>2024-H1</v>
      </c>
      <c r="V181" s="9" t="str">
        <f>VLOOKUP(B181,Bounties!A:E,2,FALSE)</f>
        <v>Wasm Smart Contracts Bounty</v>
      </c>
    </row>
    <row r="182" hidden="1">
      <c r="A182" s="67">
        <f>HYPERLINK("https://polkadot.subsquare.io/treasury/child-bounties/1221", 1221)</f>
        <v>1221</v>
      </c>
      <c r="B182" s="1">
        <v>43.0</v>
      </c>
      <c r="C182" s="1" t="s">
        <v>2414</v>
      </c>
      <c r="D182" s="1" t="s">
        <v>805</v>
      </c>
      <c r="E182" s="5">
        <v>73.1</v>
      </c>
      <c r="F182" s="4">
        <v>511.5435626983642</v>
      </c>
      <c r="G182" s="1" t="s">
        <v>2543</v>
      </c>
      <c r="H182" s="95">
        <v>45440.0</v>
      </c>
      <c r="I182" s="95">
        <v>45458.0</v>
      </c>
      <c r="J182" s="4">
        <v>444.0031868457794</v>
      </c>
      <c r="K182" s="1"/>
      <c r="L182" s="1"/>
      <c r="M182" s="1" t="str">
        <f>VLOOKUP(B182,Bounties!A:D,3,FALSE)</f>
        <v>Outreach</v>
      </c>
      <c r="N182" s="1" t="str">
        <f>VLOOKUP(B182,Bounties!A:D,4,FALSE)</f>
        <v>Events/Meetups</v>
      </c>
      <c r="O182" s="1" t="str">
        <f t="shared" ref="O182:P182" si="186">IF(ISBLANK(K182),M182,K182)</f>
        <v>Outreach</v>
      </c>
      <c r="P182" s="1" t="str">
        <f t="shared" si="186"/>
        <v>Events/Meetups</v>
      </c>
      <c r="Q182" s="61" t="str">
        <f t="shared" si="3"/>
        <v>2024</v>
      </c>
      <c r="R182" s="62">
        <f t="shared" si="4"/>
        <v>6</v>
      </c>
      <c r="S182" s="61" t="str">
        <f t="shared" si="5"/>
        <v>2024-Q2</v>
      </c>
      <c r="T182" s="63" t="str">
        <f t="shared" si="6"/>
        <v>2024-06</v>
      </c>
      <c r="U182" s="64" t="str">
        <f t="shared" si="7"/>
        <v>2024-H1</v>
      </c>
      <c r="V182" s="9" t="str">
        <f>VLOOKUP(B182,Bounties!A:E,2,FALSE)</f>
        <v>Meetups Bounty</v>
      </c>
    </row>
    <row r="183" hidden="1">
      <c r="A183" s="67">
        <f>HYPERLINK("https://polkadot.subsquare.io/treasury/child-bounties/1220", 1220)</f>
        <v>1220</v>
      </c>
      <c r="B183" s="1">
        <v>24.0</v>
      </c>
      <c r="C183" s="1" t="s">
        <v>2414</v>
      </c>
      <c r="D183" s="1" t="s">
        <v>804</v>
      </c>
      <c r="E183" s="5">
        <v>191.02</v>
      </c>
      <c r="F183" s="4">
        <v>1336.7312085723877</v>
      </c>
      <c r="G183" s="1" t="s">
        <v>2437</v>
      </c>
      <c r="H183" s="95">
        <v>45439.0</v>
      </c>
      <c r="I183" s="95">
        <v>45449.0</v>
      </c>
      <c r="J183" s="4">
        <v>1220.3167371368409</v>
      </c>
      <c r="K183" s="1"/>
      <c r="L183" s="1"/>
      <c r="M183" s="1" t="str">
        <f>VLOOKUP(B183,Bounties!A:D,3,FALSE)</f>
        <v>Outreach</v>
      </c>
      <c r="N183" s="1" t="str">
        <f>VLOOKUP(B183,Bounties!A:D,4,FALSE)</f>
        <v>Community Building</v>
      </c>
      <c r="O183" s="1" t="str">
        <f t="shared" ref="O183:P183" si="187">IF(ISBLANK(K183),M183,K183)</f>
        <v>Outreach</v>
      </c>
      <c r="P183" s="1" t="str">
        <f t="shared" si="187"/>
        <v>Community Building</v>
      </c>
      <c r="Q183" s="61" t="str">
        <f t="shared" si="3"/>
        <v>2024</v>
      </c>
      <c r="R183" s="62">
        <f t="shared" si="4"/>
        <v>6</v>
      </c>
      <c r="S183" s="61" t="str">
        <f t="shared" si="5"/>
        <v>2024-Q2</v>
      </c>
      <c r="T183" s="63" t="str">
        <f t="shared" si="6"/>
        <v>2024-06</v>
      </c>
      <c r="U183" s="64" t="str">
        <f t="shared" si="7"/>
        <v>2024-H1</v>
      </c>
      <c r="V183" s="9" t="str">
        <f>VLOOKUP(B183,Bounties!A:E,2,FALSE)</f>
        <v>Moderation Team Bounty</v>
      </c>
    </row>
    <row r="184" hidden="1">
      <c r="A184" s="67">
        <f>HYPERLINK("https://polkadot.subsquare.io/treasury/child-bounties/1219", 1219)</f>
        <v>1219</v>
      </c>
      <c r="B184" s="1">
        <v>24.0</v>
      </c>
      <c r="C184" s="1" t="s">
        <v>2414</v>
      </c>
      <c r="D184" s="1" t="s">
        <v>803</v>
      </c>
      <c r="E184" s="5">
        <v>191.02</v>
      </c>
      <c r="F184" s="4">
        <v>1336.7312085723877</v>
      </c>
      <c r="G184" s="1" t="s">
        <v>2535</v>
      </c>
      <c r="H184" s="95">
        <v>45439.0</v>
      </c>
      <c r="I184" s="95">
        <v>45459.0</v>
      </c>
      <c r="J184" s="4">
        <v>1103.2648498344422</v>
      </c>
      <c r="K184" s="1"/>
      <c r="L184" s="1"/>
      <c r="M184" s="1" t="str">
        <f>VLOOKUP(B184,Bounties!A:D,3,FALSE)</f>
        <v>Outreach</v>
      </c>
      <c r="N184" s="1" t="str">
        <f>VLOOKUP(B184,Bounties!A:D,4,FALSE)</f>
        <v>Community Building</v>
      </c>
      <c r="O184" s="1" t="str">
        <f t="shared" ref="O184:P184" si="188">IF(ISBLANK(K184),M184,K184)</f>
        <v>Outreach</v>
      </c>
      <c r="P184" s="1" t="str">
        <f t="shared" si="188"/>
        <v>Community Building</v>
      </c>
      <c r="Q184" s="61" t="str">
        <f t="shared" si="3"/>
        <v>2024</v>
      </c>
      <c r="R184" s="62">
        <f t="shared" si="4"/>
        <v>6</v>
      </c>
      <c r="S184" s="61" t="str">
        <f t="shared" si="5"/>
        <v>2024-Q2</v>
      </c>
      <c r="T184" s="63" t="str">
        <f t="shared" si="6"/>
        <v>2024-06</v>
      </c>
      <c r="U184" s="64" t="str">
        <f t="shared" si="7"/>
        <v>2024-H1</v>
      </c>
      <c r="V184" s="9" t="str">
        <f>VLOOKUP(B184,Bounties!A:E,2,FALSE)</f>
        <v>Moderation Team Bounty</v>
      </c>
    </row>
    <row r="185" hidden="1">
      <c r="A185" s="67">
        <f>HYPERLINK("https://polkadot.subsquare.io/treasury/child-bounties/1218", 1218)</f>
        <v>1218</v>
      </c>
      <c r="B185" s="1">
        <v>24.0</v>
      </c>
      <c r="C185" s="1" t="s">
        <v>2414</v>
      </c>
      <c r="D185" s="1" t="s">
        <v>802</v>
      </c>
      <c r="E185" s="5">
        <v>191.02</v>
      </c>
      <c r="F185" s="4">
        <v>1336.7312085723877</v>
      </c>
      <c r="G185" s="1" t="s">
        <v>2524</v>
      </c>
      <c r="H185" s="95">
        <v>45439.0</v>
      </c>
      <c r="I185" s="95">
        <v>45452.0</v>
      </c>
      <c r="J185" s="4">
        <v>1287.8027549266817</v>
      </c>
      <c r="K185" s="1"/>
      <c r="L185" s="1"/>
      <c r="M185" s="1" t="str">
        <f>VLOOKUP(B185,Bounties!A:D,3,FALSE)</f>
        <v>Outreach</v>
      </c>
      <c r="N185" s="1" t="str">
        <f>VLOOKUP(B185,Bounties!A:D,4,FALSE)</f>
        <v>Community Building</v>
      </c>
      <c r="O185" s="1" t="str">
        <f t="shared" ref="O185:P185" si="189">IF(ISBLANK(K185),M185,K185)</f>
        <v>Outreach</v>
      </c>
      <c r="P185" s="1" t="str">
        <f t="shared" si="189"/>
        <v>Community Building</v>
      </c>
      <c r="Q185" s="61" t="str">
        <f t="shared" si="3"/>
        <v>2024</v>
      </c>
      <c r="R185" s="62">
        <f t="shared" si="4"/>
        <v>6</v>
      </c>
      <c r="S185" s="61" t="str">
        <f t="shared" si="5"/>
        <v>2024-Q2</v>
      </c>
      <c r="T185" s="63" t="str">
        <f t="shared" si="6"/>
        <v>2024-06</v>
      </c>
      <c r="U185" s="64" t="str">
        <f t="shared" si="7"/>
        <v>2024-H1</v>
      </c>
      <c r="V185" s="9" t="str">
        <f>VLOOKUP(B185,Bounties!A:E,2,FALSE)</f>
        <v>Moderation Team Bounty</v>
      </c>
    </row>
    <row r="186" hidden="1">
      <c r="A186" s="67">
        <f>HYPERLINK("https://polkadot.subsquare.io/treasury/child-bounties/1217", 1217)</f>
        <v>1217</v>
      </c>
      <c r="B186" s="1">
        <v>24.0</v>
      </c>
      <c r="C186" s="1" t="s">
        <v>2414</v>
      </c>
      <c r="D186" s="1" t="s">
        <v>801</v>
      </c>
      <c r="E186" s="5">
        <v>191.02</v>
      </c>
      <c r="F186" s="4">
        <v>1336.7312085723877</v>
      </c>
      <c r="G186" s="1" t="s">
        <v>2497</v>
      </c>
      <c r="H186" s="95">
        <v>45439.0</v>
      </c>
      <c r="I186" s="95">
        <v>45457.0</v>
      </c>
      <c r="J186" s="4">
        <v>1160.2392442035675</v>
      </c>
      <c r="K186" s="1"/>
      <c r="L186" s="1"/>
      <c r="M186" s="1" t="str">
        <f>VLOOKUP(B186,Bounties!A:D,3,FALSE)</f>
        <v>Outreach</v>
      </c>
      <c r="N186" s="1" t="str">
        <f>VLOOKUP(B186,Bounties!A:D,4,FALSE)</f>
        <v>Community Building</v>
      </c>
      <c r="O186" s="1" t="str">
        <f t="shared" ref="O186:P186" si="190">IF(ISBLANK(K186),M186,K186)</f>
        <v>Outreach</v>
      </c>
      <c r="P186" s="1" t="str">
        <f t="shared" si="190"/>
        <v>Community Building</v>
      </c>
      <c r="Q186" s="61" t="str">
        <f t="shared" si="3"/>
        <v>2024</v>
      </c>
      <c r="R186" s="62">
        <f t="shared" si="4"/>
        <v>6</v>
      </c>
      <c r="S186" s="61" t="str">
        <f t="shared" si="5"/>
        <v>2024-Q2</v>
      </c>
      <c r="T186" s="63" t="str">
        <f t="shared" si="6"/>
        <v>2024-06</v>
      </c>
      <c r="U186" s="64" t="str">
        <f t="shared" si="7"/>
        <v>2024-H1</v>
      </c>
      <c r="V186" s="9" t="str">
        <f>VLOOKUP(B186,Bounties!A:E,2,FALSE)</f>
        <v>Moderation Team Bounty</v>
      </c>
    </row>
    <row r="187" hidden="1">
      <c r="A187" s="67">
        <f>HYPERLINK("https://polkadot.subsquare.io/treasury/child-bounties/1216", 1216)</f>
        <v>1216</v>
      </c>
      <c r="B187" s="1">
        <v>24.0</v>
      </c>
      <c r="C187" s="1" t="s">
        <v>2414</v>
      </c>
      <c r="D187" s="1" t="s">
        <v>800</v>
      </c>
      <c r="E187" s="5">
        <v>209.44</v>
      </c>
      <c r="F187" s="4">
        <v>1465.6317889404297</v>
      </c>
      <c r="G187" s="1" t="s">
        <v>2534</v>
      </c>
      <c r="H187" s="95">
        <v>45439.0</v>
      </c>
      <c r="I187" s="95">
        <v>45449.0</v>
      </c>
      <c r="J187" s="4">
        <v>1337.9915057373046</v>
      </c>
      <c r="K187" s="1"/>
      <c r="L187" s="1"/>
      <c r="M187" s="1" t="str">
        <f>VLOOKUP(B187,Bounties!A:D,3,FALSE)</f>
        <v>Outreach</v>
      </c>
      <c r="N187" s="1" t="str">
        <f>VLOOKUP(B187,Bounties!A:D,4,FALSE)</f>
        <v>Community Building</v>
      </c>
      <c r="O187" s="1" t="str">
        <f t="shared" ref="O187:P187" si="191">IF(ISBLANK(K187),M187,K187)</f>
        <v>Outreach</v>
      </c>
      <c r="P187" s="1" t="str">
        <f t="shared" si="191"/>
        <v>Community Building</v>
      </c>
      <c r="Q187" s="61" t="str">
        <f t="shared" si="3"/>
        <v>2024</v>
      </c>
      <c r="R187" s="62">
        <f t="shared" si="4"/>
        <v>6</v>
      </c>
      <c r="S187" s="61" t="str">
        <f t="shared" si="5"/>
        <v>2024-Q2</v>
      </c>
      <c r="T187" s="63" t="str">
        <f t="shared" si="6"/>
        <v>2024-06</v>
      </c>
      <c r="U187" s="64" t="str">
        <f t="shared" si="7"/>
        <v>2024-H1</v>
      </c>
      <c r="V187" s="9" t="str">
        <f>VLOOKUP(B187,Bounties!A:E,2,FALSE)</f>
        <v>Moderation Team Bounty</v>
      </c>
    </row>
    <row r="188" hidden="1">
      <c r="A188" s="67">
        <f>HYPERLINK("https://polkadot.subsquare.io/treasury/child-bounties/1215", 1215)</f>
        <v>1215</v>
      </c>
      <c r="B188" s="1">
        <v>17.0</v>
      </c>
      <c r="C188" s="1" t="s">
        <v>2414</v>
      </c>
      <c r="D188" s="1" t="s">
        <v>799</v>
      </c>
      <c r="E188" s="5">
        <v>12257.1</v>
      </c>
      <c r="F188" s="4">
        <v>87913.09286541938</v>
      </c>
      <c r="G188" s="1" t="s">
        <v>2544</v>
      </c>
      <c r="H188" s="95">
        <v>45439.0</v>
      </c>
      <c r="I188" s="95">
        <v>45454.0</v>
      </c>
      <c r="J188" s="4">
        <v>75537.58044419289</v>
      </c>
      <c r="K188" s="1"/>
      <c r="L188" s="1"/>
      <c r="M188" s="1" t="str">
        <f>VLOOKUP(B188,Bounties!A:D,3,FALSE)</f>
        <v>Outreach</v>
      </c>
      <c r="N188" s="1" t="str">
        <f>VLOOKUP(B188,Bounties!A:D,4,FALSE)</f>
        <v>Events/Meetups</v>
      </c>
      <c r="O188" s="1" t="str">
        <f t="shared" ref="O188:P188" si="192">IF(ISBLANK(K188),M188,K188)</f>
        <v>Outreach</v>
      </c>
      <c r="P188" s="1" t="str">
        <f t="shared" si="192"/>
        <v>Events/Meetups</v>
      </c>
      <c r="Q188" s="61" t="str">
        <f t="shared" si="3"/>
        <v>2024</v>
      </c>
      <c r="R188" s="62">
        <f t="shared" si="4"/>
        <v>6</v>
      </c>
      <c r="S188" s="61" t="str">
        <f t="shared" si="5"/>
        <v>2024-Q2</v>
      </c>
      <c r="T188" s="63" t="str">
        <f t="shared" si="6"/>
        <v>2024-06</v>
      </c>
      <c r="U188" s="64" t="str">
        <f t="shared" si="7"/>
        <v>2024-H1</v>
      </c>
      <c r="V188" s="9" t="str">
        <f>VLOOKUP(B188,Bounties!A:E,2,FALSE)</f>
        <v>Events Bounty</v>
      </c>
    </row>
    <row r="189" hidden="1">
      <c r="A189" s="67">
        <f>HYPERLINK("https://polkadot.subsquare.io/treasury/child-bounties/1214", 1214)</f>
        <v>1214</v>
      </c>
      <c r="B189" s="1">
        <v>17.0</v>
      </c>
      <c r="C189" s="1" t="s">
        <v>2414</v>
      </c>
      <c r="D189" s="1" t="s">
        <v>798</v>
      </c>
      <c r="E189" s="5">
        <v>1081.2</v>
      </c>
      <c r="F189" s="4">
        <v>7754.822593116761</v>
      </c>
      <c r="G189" s="1" t="s">
        <v>2545</v>
      </c>
      <c r="H189" s="95">
        <v>45439.0</v>
      </c>
      <c r="I189" s="95">
        <v>45455.0</v>
      </c>
      <c r="J189" s="4">
        <v>6726.159330368042</v>
      </c>
      <c r="K189" s="1"/>
      <c r="L189" s="1" t="s">
        <v>86</v>
      </c>
      <c r="M189" s="1" t="str">
        <f>VLOOKUP(B189,Bounties!A:D,3,FALSE)</f>
        <v>Outreach</v>
      </c>
      <c r="N189" s="1" t="str">
        <f>VLOOKUP(B189,Bounties!A:D,4,FALSE)</f>
        <v>Events/Meetups</v>
      </c>
      <c r="O189" s="1" t="str">
        <f t="shared" ref="O189:P189" si="193">IF(ISBLANK(K189),M189,K189)</f>
        <v>Outreach</v>
      </c>
      <c r="P189" s="1" t="str">
        <f t="shared" si="193"/>
        <v>Events/Conference Attendance &amp; Side Events</v>
      </c>
      <c r="Q189" s="61" t="str">
        <f t="shared" si="3"/>
        <v>2024</v>
      </c>
      <c r="R189" s="62">
        <f t="shared" si="4"/>
        <v>6</v>
      </c>
      <c r="S189" s="61" t="str">
        <f t="shared" si="5"/>
        <v>2024-Q2</v>
      </c>
      <c r="T189" s="63" t="str">
        <f t="shared" si="6"/>
        <v>2024-06</v>
      </c>
      <c r="U189" s="64" t="str">
        <f t="shared" si="7"/>
        <v>2024-H1</v>
      </c>
      <c r="V189" s="9" t="str">
        <f>VLOOKUP(B189,Bounties!A:E,2,FALSE)</f>
        <v>Events Bounty</v>
      </c>
    </row>
    <row r="190" hidden="1">
      <c r="A190" s="67">
        <f>HYPERLINK("https://polkadot.subsquare.io/treasury/child-bounties/1213", 1213)</f>
        <v>1213</v>
      </c>
      <c r="B190" s="1">
        <v>32.0</v>
      </c>
      <c r="C190" s="1" t="s">
        <v>2414</v>
      </c>
      <c r="D190" s="1" t="s">
        <v>797</v>
      </c>
      <c r="E190" s="5">
        <v>2.1041066667</v>
      </c>
      <c r="F190" s="4">
        <v>15.091540803970362</v>
      </c>
      <c r="G190" s="1" t="s">
        <v>2437</v>
      </c>
      <c r="H190" s="95">
        <v>45438.0</v>
      </c>
      <c r="I190" s="95">
        <v>45447.0</v>
      </c>
      <c r="J190" s="4">
        <v>15.027559327122018</v>
      </c>
      <c r="K190" s="1"/>
      <c r="L190" s="1"/>
      <c r="M190" s="1" t="str">
        <f>VLOOKUP(B190,Bounties!A:D,3,FALSE)</f>
        <v>Operations</v>
      </c>
      <c r="N190" s="1" t="str">
        <f>VLOOKUP(B190,Bounties!A:D,4,FALSE)</f>
        <v>RPCs and Nodes</v>
      </c>
      <c r="O190" s="1" t="str">
        <f t="shared" ref="O190:P190" si="194">IF(ISBLANK(K190),M190,K190)</f>
        <v>Operations</v>
      </c>
      <c r="P190" s="1" t="str">
        <f t="shared" si="194"/>
        <v>RPCs and Nodes</v>
      </c>
      <c r="Q190" s="61" t="str">
        <f t="shared" si="3"/>
        <v>2024</v>
      </c>
      <c r="R190" s="62">
        <f t="shared" si="4"/>
        <v>6</v>
      </c>
      <c r="S190" s="61" t="str">
        <f t="shared" si="5"/>
        <v>2024-Q2</v>
      </c>
      <c r="T190" s="63" t="str">
        <f t="shared" si="6"/>
        <v>2024-06</v>
      </c>
      <c r="U190" s="64" t="str">
        <f t="shared" si="7"/>
        <v>2024-H1</v>
      </c>
      <c r="V190" s="9" t="str">
        <f>VLOOKUP(B190,Bounties!A:E,2,FALSE)</f>
        <v>System Parachains Collator Bounty</v>
      </c>
    </row>
    <row r="191" hidden="1">
      <c r="A191" s="67">
        <f>HYPERLINK("https://polkadot.subsquare.io/treasury/child-bounties/1212", 1212)</f>
        <v>1212</v>
      </c>
      <c r="B191" s="1">
        <v>32.0</v>
      </c>
      <c r="C191" s="1" t="s">
        <v>2414</v>
      </c>
      <c r="D191" s="1" t="s">
        <v>796</v>
      </c>
      <c r="E191" s="5">
        <v>2.1041066667</v>
      </c>
      <c r="F191" s="4">
        <v>15.091540803970362</v>
      </c>
      <c r="G191" s="1" t="s">
        <v>2463</v>
      </c>
      <c r="H191" s="95">
        <v>45438.0</v>
      </c>
      <c r="I191" s="95">
        <v>45465.0</v>
      </c>
      <c r="J191" s="4">
        <v>12.045348277473536</v>
      </c>
      <c r="K191" s="1"/>
      <c r="L191" s="1"/>
      <c r="M191" s="1" t="str">
        <f>VLOOKUP(B191,Bounties!A:D,3,FALSE)</f>
        <v>Operations</v>
      </c>
      <c r="N191" s="1" t="str">
        <f>VLOOKUP(B191,Bounties!A:D,4,FALSE)</f>
        <v>RPCs and Nodes</v>
      </c>
      <c r="O191" s="1" t="str">
        <f t="shared" ref="O191:P191" si="195">IF(ISBLANK(K191),M191,K191)</f>
        <v>Operations</v>
      </c>
      <c r="P191" s="1" t="str">
        <f t="shared" si="195"/>
        <v>RPCs and Nodes</v>
      </c>
      <c r="Q191" s="61" t="str">
        <f t="shared" si="3"/>
        <v>2024</v>
      </c>
      <c r="R191" s="62">
        <f t="shared" si="4"/>
        <v>6</v>
      </c>
      <c r="S191" s="61" t="str">
        <f t="shared" si="5"/>
        <v>2024-Q2</v>
      </c>
      <c r="T191" s="63" t="str">
        <f t="shared" si="6"/>
        <v>2024-06</v>
      </c>
      <c r="U191" s="64" t="str">
        <f t="shared" si="7"/>
        <v>2024-H1</v>
      </c>
      <c r="V191" s="9" t="str">
        <f>VLOOKUP(B191,Bounties!A:E,2,FALSE)</f>
        <v>System Parachains Collator Bounty</v>
      </c>
    </row>
    <row r="192" hidden="1">
      <c r="A192" s="67">
        <f>HYPERLINK("https://polkadot.subsquare.io/treasury/child-bounties/1211", 1211)</f>
        <v>1211</v>
      </c>
      <c r="B192" s="1">
        <v>32.0</v>
      </c>
      <c r="C192" s="1" t="s">
        <v>2414</v>
      </c>
      <c r="D192" s="1" t="s">
        <v>795</v>
      </c>
      <c r="E192" s="5">
        <v>2.1041066667</v>
      </c>
      <c r="F192" s="4">
        <v>15.091540803970362</v>
      </c>
      <c r="G192" s="1" t="s">
        <v>2438</v>
      </c>
      <c r="H192" s="95">
        <v>45438.0</v>
      </c>
      <c r="I192" s="95">
        <v>45450.0</v>
      </c>
      <c r="J192" s="4">
        <v>13.692362123324825</v>
      </c>
      <c r="K192" s="1"/>
      <c r="L192" s="1"/>
      <c r="M192" s="1" t="str">
        <f>VLOOKUP(B192,Bounties!A:D,3,FALSE)</f>
        <v>Operations</v>
      </c>
      <c r="N192" s="1" t="str">
        <f>VLOOKUP(B192,Bounties!A:D,4,FALSE)</f>
        <v>RPCs and Nodes</v>
      </c>
      <c r="O192" s="1" t="str">
        <f t="shared" ref="O192:P192" si="196">IF(ISBLANK(K192),M192,K192)</f>
        <v>Operations</v>
      </c>
      <c r="P192" s="1" t="str">
        <f t="shared" si="196"/>
        <v>RPCs and Nodes</v>
      </c>
      <c r="Q192" s="61" t="str">
        <f t="shared" si="3"/>
        <v>2024</v>
      </c>
      <c r="R192" s="62">
        <f t="shared" si="4"/>
        <v>6</v>
      </c>
      <c r="S192" s="61" t="str">
        <f t="shared" si="5"/>
        <v>2024-Q2</v>
      </c>
      <c r="T192" s="63" t="str">
        <f t="shared" si="6"/>
        <v>2024-06</v>
      </c>
      <c r="U192" s="64" t="str">
        <f t="shared" si="7"/>
        <v>2024-H1</v>
      </c>
      <c r="V192" s="9" t="str">
        <f>VLOOKUP(B192,Bounties!A:E,2,FALSE)</f>
        <v>System Parachains Collator Bounty</v>
      </c>
    </row>
    <row r="193" hidden="1">
      <c r="A193" s="67">
        <f>HYPERLINK("https://polkadot.subsquare.io/treasury/child-bounties/1210", 1210)</f>
        <v>1210</v>
      </c>
      <c r="B193" s="1">
        <v>32.0</v>
      </c>
      <c r="C193" s="1" t="s">
        <v>2414</v>
      </c>
      <c r="D193" s="1" t="s">
        <v>793</v>
      </c>
      <c r="E193" s="5">
        <v>15.7808</v>
      </c>
      <c r="F193" s="4">
        <v>113.18655602798461</v>
      </c>
      <c r="G193" s="1" t="s">
        <v>2445</v>
      </c>
      <c r="H193" s="95">
        <v>45438.0</v>
      </c>
      <c r="I193" s="95">
        <v>45455.0</v>
      </c>
      <c r="J193" s="4">
        <v>97.25330212478637</v>
      </c>
      <c r="K193" s="1"/>
      <c r="L193" s="1"/>
      <c r="M193" s="1" t="str">
        <f>VLOOKUP(B193,Bounties!A:D,3,FALSE)</f>
        <v>Operations</v>
      </c>
      <c r="N193" s="1" t="str">
        <f>VLOOKUP(B193,Bounties!A:D,4,FALSE)</f>
        <v>RPCs and Nodes</v>
      </c>
      <c r="O193" s="1" t="str">
        <f t="shared" ref="O193:P193" si="197">IF(ISBLANK(K193),M193,K193)</f>
        <v>Operations</v>
      </c>
      <c r="P193" s="1" t="str">
        <f t="shared" si="197"/>
        <v>RPCs and Nodes</v>
      </c>
      <c r="Q193" s="61" t="str">
        <f t="shared" si="3"/>
        <v>2024</v>
      </c>
      <c r="R193" s="62">
        <f t="shared" si="4"/>
        <v>6</v>
      </c>
      <c r="S193" s="61" t="str">
        <f t="shared" si="5"/>
        <v>2024-Q2</v>
      </c>
      <c r="T193" s="63" t="str">
        <f t="shared" si="6"/>
        <v>2024-06</v>
      </c>
      <c r="U193" s="64" t="str">
        <f t="shared" si="7"/>
        <v>2024-H1</v>
      </c>
      <c r="V193" s="9" t="str">
        <f>VLOOKUP(B193,Bounties!A:E,2,FALSE)</f>
        <v>System Parachains Collator Bounty</v>
      </c>
    </row>
    <row r="194" hidden="1">
      <c r="A194" s="67">
        <f>HYPERLINK("https://polkadot.subsquare.io/treasury/child-bounties/1209", 1209)</f>
        <v>1209</v>
      </c>
      <c r="B194" s="1">
        <v>32.0</v>
      </c>
      <c r="C194" s="1" t="s">
        <v>2414</v>
      </c>
      <c r="D194" s="1" t="s">
        <v>794</v>
      </c>
      <c r="E194" s="5">
        <v>15.7808</v>
      </c>
      <c r="F194" s="4">
        <v>113.18655602798461</v>
      </c>
      <c r="G194" s="1" t="s">
        <v>2445</v>
      </c>
      <c r="H194" s="95">
        <v>45438.0</v>
      </c>
      <c r="I194" s="95">
        <v>45455.0</v>
      </c>
      <c r="J194" s="4">
        <v>98.17256304168701</v>
      </c>
      <c r="K194" s="1"/>
      <c r="L194" s="1"/>
      <c r="M194" s="1" t="str">
        <f>VLOOKUP(B194,Bounties!A:D,3,FALSE)</f>
        <v>Operations</v>
      </c>
      <c r="N194" s="1" t="str">
        <f>VLOOKUP(B194,Bounties!A:D,4,FALSE)</f>
        <v>RPCs and Nodes</v>
      </c>
      <c r="O194" s="1" t="str">
        <f t="shared" ref="O194:P194" si="198">IF(ISBLANK(K194),M194,K194)</f>
        <v>Operations</v>
      </c>
      <c r="P194" s="1" t="str">
        <f t="shared" si="198"/>
        <v>RPCs and Nodes</v>
      </c>
      <c r="Q194" s="61" t="str">
        <f t="shared" si="3"/>
        <v>2024</v>
      </c>
      <c r="R194" s="62">
        <f t="shared" si="4"/>
        <v>6</v>
      </c>
      <c r="S194" s="61" t="str">
        <f t="shared" si="5"/>
        <v>2024-Q2</v>
      </c>
      <c r="T194" s="63" t="str">
        <f t="shared" si="6"/>
        <v>2024-06</v>
      </c>
      <c r="U194" s="64" t="str">
        <f t="shared" si="7"/>
        <v>2024-H1</v>
      </c>
      <c r="V194" s="9" t="str">
        <f>VLOOKUP(B194,Bounties!A:E,2,FALSE)</f>
        <v>System Parachains Collator Bounty</v>
      </c>
    </row>
    <row r="195" hidden="1">
      <c r="A195" s="67">
        <f>HYPERLINK("https://polkadot.subsquare.io/treasury/child-bounties/1208", 1208)</f>
        <v>1208</v>
      </c>
      <c r="B195" s="1">
        <v>32.0</v>
      </c>
      <c r="C195" s="1" t="s">
        <v>2460</v>
      </c>
      <c r="D195" s="1" t="s">
        <v>793</v>
      </c>
      <c r="E195" s="5">
        <v>15.7808</v>
      </c>
      <c r="F195" s="4">
        <v>113.18655602798461</v>
      </c>
      <c r="G195" s="1" t="s">
        <v>2441</v>
      </c>
      <c r="H195" s="95">
        <v>45438.0</v>
      </c>
      <c r="I195" s="95">
        <v>45438.0</v>
      </c>
      <c r="J195" s="4">
        <v>113.18655602798461</v>
      </c>
      <c r="K195" s="1"/>
      <c r="L195" s="1"/>
      <c r="M195" s="1" t="str">
        <f>VLOOKUP(B195,Bounties!A:D,3,FALSE)</f>
        <v>Operations</v>
      </c>
      <c r="N195" s="1" t="str">
        <f>VLOOKUP(B195,Bounties!A:D,4,FALSE)</f>
        <v>RPCs and Nodes</v>
      </c>
      <c r="O195" s="1" t="str">
        <f t="shared" ref="O195:P195" si="199">IF(ISBLANK(K195),M195,K195)</f>
        <v>Operations</v>
      </c>
      <c r="P195" s="1" t="str">
        <f t="shared" si="199"/>
        <v>RPCs and Nodes</v>
      </c>
      <c r="Q195" s="61" t="str">
        <f t="shared" si="3"/>
        <v>2024</v>
      </c>
      <c r="R195" s="62">
        <f t="shared" si="4"/>
        <v>5</v>
      </c>
      <c r="S195" s="61" t="str">
        <f t="shared" si="5"/>
        <v>2024-Q2</v>
      </c>
      <c r="T195" s="63" t="str">
        <f t="shared" si="6"/>
        <v>2024-05</v>
      </c>
      <c r="U195" s="64" t="str">
        <f t="shared" si="7"/>
        <v>2024-H1</v>
      </c>
      <c r="V195" s="9" t="str">
        <f>VLOOKUP(B195,Bounties!A:E,2,FALSE)</f>
        <v>System Parachains Collator Bounty</v>
      </c>
    </row>
    <row r="196" hidden="1">
      <c r="A196" s="67">
        <f>HYPERLINK("https://polkadot.subsquare.io/treasury/child-bounties/1207", 1207)</f>
        <v>1207</v>
      </c>
      <c r="B196" s="1">
        <v>32.0</v>
      </c>
      <c r="C196" s="1" t="s">
        <v>2414</v>
      </c>
      <c r="D196" s="1" t="s">
        <v>793</v>
      </c>
      <c r="E196" s="5">
        <v>15.7808</v>
      </c>
      <c r="F196" s="4">
        <v>113.18655602798461</v>
      </c>
      <c r="G196" s="1" t="s">
        <v>2444</v>
      </c>
      <c r="H196" s="95">
        <v>45438.0</v>
      </c>
      <c r="I196" s="95">
        <v>45455.0</v>
      </c>
      <c r="J196" s="4">
        <v>97.25330212478637</v>
      </c>
      <c r="K196" s="1"/>
      <c r="L196" s="1"/>
      <c r="M196" s="1" t="str">
        <f>VLOOKUP(B196,Bounties!A:D,3,FALSE)</f>
        <v>Operations</v>
      </c>
      <c r="N196" s="1" t="str">
        <f>VLOOKUP(B196,Bounties!A:D,4,FALSE)</f>
        <v>RPCs and Nodes</v>
      </c>
      <c r="O196" s="1" t="str">
        <f t="shared" ref="O196:P196" si="200">IF(ISBLANK(K196),M196,K196)</f>
        <v>Operations</v>
      </c>
      <c r="P196" s="1" t="str">
        <f t="shared" si="200"/>
        <v>RPCs and Nodes</v>
      </c>
      <c r="Q196" s="61" t="str">
        <f t="shared" si="3"/>
        <v>2024</v>
      </c>
      <c r="R196" s="62">
        <f t="shared" si="4"/>
        <v>6</v>
      </c>
      <c r="S196" s="61" t="str">
        <f t="shared" si="5"/>
        <v>2024-Q2</v>
      </c>
      <c r="T196" s="63" t="str">
        <f t="shared" si="6"/>
        <v>2024-06</v>
      </c>
      <c r="U196" s="64" t="str">
        <f t="shared" si="7"/>
        <v>2024-H1</v>
      </c>
      <c r="V196" s="9" t="str">
        <f>VLOOKUP(B196,Bounties!A:E,2,FALSE)</f>
        <v>System Parachains Collator Bounty</v>
      </c>
    </row>
    <row r="197" hidden="1">
      <c r="A197" s="67">
        <f>HYPERLINK("https://polkadot.subsquare.io/treasury/child-bounties/1206", 1206)</f>
        <v>1206</v>
      </c>
      <c r="B197" s="1">
        <v>32.0</v>
      </c>
      <c r="C197" s="1" t="s">
        <v>2414</v>
      </c>
      <c r="D197" s="1" t="s">
        <v>794</v>
      </c>
      <c r="E197" s="5">
        <v>15.7808</v>
      </c>
      <c r="F197" s="4">
        <v>113.18655602798461</v>
      </c>
      <c r="G197" s="1" t="s">
        <v>2444</v>
      </c>
      <c r="H197" s="95">
        <v>45438.0</v>
      </c>
      <c r="I197" s="95">
        <v>45455.0</v>
      </c>
      <c r="J197" s="4">
        <v>97.25330212478637</v>
      </c>
      <c r="K197" s="1"/>
      <c r="L197" s="1"/>
      <c r="M197" s="1" t="str">
        <f>VLOOKUP(B197,Bounties!A:D,3,FALSE)</f>
        <v>Operations</v>
      </c>
      <c r="N197" s="1" t="str">
        <f>VLOOKUP(B197,Bounties!A:D,4,FALSE)</f>
        <v>RPCs and Nodes</v>
      </c>
      <c r="O197" s="1" t="str">
        <f t="shared" ref="O197:P197" si="201">IF(ISBLANK(K197),M197,K197)</f>
        <v>Operations</v>
      </c>
      <c r="P197" s="1" t="str">
        <f t="shared" si="201"/>
        <v>RPCs and Nodes</v>
      </c>
      <c r="Q197" s="61" t="str">
        <f t="shared" si="3"/>
        <v>2024</v>
      </c>
      <c r="R197" s="62">
        <f t="shared" si="4"/>
        <v>6</v>
      </c>
      <c r="S197" s="61" t="str">
        <f t="shared" si="5"/>
        <v>2024-Q2</v>
      </c>
      <c r="T197" s="63" t="str">
        <f t="shared" si="6"/>
        <v>2024-06</v>
      </c>
      <c r="U197" s="64" t="str">
        <f t="shared" si="7"/>
        <v>2024-H1</v>
      </c>
      <c r="V197" s="9" t="str">
        <f>VLOOKUP(B197,Bounties!A:E,2,FALSE)</f>
        <v>System Parachains Collator Bounty</v>
      </c>
    </row>
    <row r="198" hidden="1">
      <c r="A198" s="67">
        <f>HYPERLINK("https://polkadot.subsquare.io/treasury/child-bounties/1205", 1205)</f>
        <v>1205</v>
      </c>
      <c r="B198" s="1">
        <v>32.0</v>
      </c>
      <c r="C198" s="1" t="s">
        <v>2414</v>
      </c>
      <c r="D198" s="1" t="s">
        <v>794</v>
      </c>
      <c r="E198" s="5">
        <v>15.7808</v>
      </c>
      <c r="F198" s="4">
        <v>113.18655602798461</v>
      </c>
      <c r="G198" s="1" t="s">
        <v>2546</v>
      </c>
      <c r="H198" s="95">
        <v>45438.0</v>
      </c>
      <c r="I198" s="95">
        <v>45454.0</v>
      </c>
      <c r="J198" s="4">
        <v>100.36702636260986</v>
      </c>
      <c r="K198" s="1"/>
      <c r="L198" s="1"/>
      <c r="M198" s="1" t="str">
        <f>VLOOKUP(B198,Bounties!A:D,3,FALSE)</f>
        <v>Operations</v>
      </c>
      <c r="N198" s="1" t="str">
        <f>VLOOKUP(B198,Bounties!A:D,4,FALSE)</f>
        <v>RPCs and Nodes</v>
      </c>
      <c r="O198" s="1" t="str">
        <f t="shared" ref="O198:P198" si="202">IF(ISBLANK(K198),M198,K198)</f>
        <v>Operations</v>
      </c>
      <c r="P198" s="1" t="str">
        <f t="shared" si="202"/>
        <v>RPCs and Nodes</v>
      </c>
      <c r="Q198" s="61" t="str">
        <f t="shared" si="3"/>
        <v>2024</v>
      </c>
      <c r="R198" s="62">
        <f t="shared" si="4"/>
        <v>6</v>
      </c>
      <c r="S198" s="61" t="str">
        <f t="shared" si="5"/>
        <v>2024-Q2</v>
      </c>
      <c r="T198" s="63" t="str">
        <f t="shared" si="6"/>
        <v>2024-06</v>
      </c>
      <c r="U198" s="64" t="str">
        <f t="shared" si="7"/>
        <v>2024-H1</v>
      </c>
      <c r="V198" s="9" t="str">
        <f>VLOOKUP(B198,Bounties!A:E,2,FALSE)</f>
        <v>System Parachains Collator Bounty</v>
      </c>
    </row>
    <row r="199" hidden="1">
      <c r="A199" s="67">
        <f>HYPERLINK("https://polkadot.subsquare.io/treasury/child-bounties/1204", 1204)</f>
        <v>1204</v>
      </c>
      <c r="B199" s="1">
        <v>32.0</v>
      </c>
      <c r="C199" s="1" t="s">
        <v>2414</v>
      </c>
      <c r="D199" s="1" t="s">
        <v>793</v>
      </c>
      <c r="E199" s="5">
        <v>15.7808</v>
      </c>
      <c r="F199" s="4">
        <v>113.18655602798461</v>
      </c>
      <c r="G199" s="1" t="s">
        <v>2547</v>
      </c>
      <c r="H199" s="95">
        <v>45438.0</v>
      </c>
      <c r="I199" s="95">
        <v>45454.0</v>
      </c>
      <c r="J199" s="4">
        <v>100.36702636260986</v>
      </c>
      <c r="K199" s="1"/>
      <c r="L199" s="1"/>
      <c r="M199" s="1" t="str">
        <f>VLOOKUP(B199,Bounties!A:D,3,FALSE)</f>
        <v>Operations</v>
      </c>
      <c r="N199" s="1" t="str">
        <f>VLOOKUP(B199,Bounties!A:D,4,FALSE)</f>
        <v>RPCs and Nodes</v>
      </c>
      <c r="O199" s="1" t="str">
        <f t="shared" ref="O199:P199" si="203">IF(ISBLANK(K199),M199,K199)</f>
        <v>Operations</v>
      </c>
      <c r="P199" s="1" t="str">
        <f t="shared" si="203"/>
        <v>RPCs and Nodes</v>
      </c>
      <c r="Q199" s="61" t="str">
        <f t="shared" si="3"/>
        <v>2024</v>
      </c>
      <c r="R199" s="62">
        <f t="shared" si="4"/>
        <v>6</v>
      </c>
      <c r="S199" s="61" t="str">
        <f t="shared" si="5"/>
        <v>2024-Q2</v>
      </c>
      <c r="T199" s="63" t="str">
        <f t="shared" si="6"/>
        <v>2024-06</v>
      </c>
      <c r="U199" s="64" t="str">
        <f t="shared" si="7"/>
        <v>2024-H1</v>
      </c>
      <c r="V199" s="9" t="str">
        <f>VLOOKUP(B199,Bounties!A:E,2,FALSE)</f>
        <v>System Parachains Collator Bounty</v>
      </c>
    </row>
    <row r="200" hidden="1">
      <c r="A200" s="67">
        <f>HYPERLINK("https://polkadot.subsquare.io/treasury/child-bounties/1203", 1203)</f>
        <v>1203</v>
      </c>
      <c r="B200" s="1">
        <v>32.0</v>
      </c>
      <c r="C200" s="1" t="s">
        <v>2414</v>
      </c>
      <c r="D200" s="1" t="s">
        <v>793</v>
      </c>
      <c r="E200" s="5">
        <v>15.7808</v>
      </c>
      <c r="F200" s="4">
        <v>113.18655602798461</v>
      </c>
      <c r="G200" s="1" t="s">
        <v>2473</v>
      </c>
      <c r="H200" s="95">
        <v>45438.0</v>
      </c>
      <c r="I200" s="95">
        <v>45455.0</v>
      </c>
      <c r="J200" s="4">
        <v>97.25330212478637</v>
      </c>
      <c r="K200" s="1"/>
      <c r="L200" s="1"/>
      <c r="M200" s="1" t="str">
        <f>VLOOKUP(B200,Bounties!A:D,3,FALSE)</f>
        <v>Operations</v>
      </c>
      <c r="N200" s="1" t="str">
        <f>VLOOKUP(B200,Bounties!A:D,4,FALSE)</f>
        <v>RPCs and Nodes</v>
      </c>
      <c r="O200" s="1" t="str">
        <f t="shared" ref="O200:P200" si="204">IF(ISBLANK(K200),M200,K200)</f>
        <v>Operations</v>
      </c>
      <c r="P200" s="1" t="str">
        <f t="shared" si="204"/>
        <v>RPCs and Nodes</v>
      </c>
      <c r="Q200" s="61" t="str">
        <f t="shared" si="3"/>
        <v>2024</v>
      </c>
      <c r="R200" s="62">
        <f t="shared" si="4"/>
        <v>6</v>
      </c>
      <c r="S200" s="61" t="str">
        <f t="shared" si="5"/>
        <v>2024-Q2</v>
      </c>
      <c r="T200" s="63" t="str">
        <f t="shared" si="6"/>
        <v>2024-06</v>
      </c>
      <c r="U200" s="64" t="str">
        <f t="shared" si="7"/>
        <v>2024-H1</v>
      </c>
      <c r="V200" s="9" t="str">
        <f>VLOOKUP(B200,Bounties!A:E,2,FALSE)</f>
        <v>System Parachains Collator Bounty</v>
      </c>
    </row>
    <row r="201" hidden="1">
      <c r="A201" s="67">
        <f>HYPERLINK("https://polkadot.subsquare.io/treasury/child-bounties/1202", 1202)</f>
        <v>1202</v>
      </c>
      <c r="B201" s="1">
        <v>24.0</v>
      </c>
      <c r="C201" s="1" t="s">
        <v>2414</v>
      </c>
      <c r="D201" s="1" t="s">
        <v>792</v>
      </c>
      <c r="E201" s="5">
        <v>191.02</v>
      </c>
      <c r="F201" s="4">
        <v>1370.0760374927522</v>
      </c>
      <c r="G201" s="1" t="s">
        <v>2463</v>
      </c>
      <c r="H201" s="95">
        <v>45438.0</v>
      </c>
      <c r="I201" s="95">
        <v>45465.0</v>
      </c>
      <c r="J201" s="4">
        <v>1093.5293653964998</v>
      </c>
      <c r="K201" s="1"/>
      <c r="L201" s="1"/>
      <c r="M201" s="1" t="str">
        <f>VLOOKUP(B201,Bounties!A:D,3,FALSE)</f>
        <v>Outreach</v>
      </c>
      <c r="N201" s="1" t="str">
        <f>VLOOKUP(B201,Bounties!A:D,4,FALSE)</f>
        <v>Community Building</v>
      </c>
      <c r="O201" s="1" t="str">
        <f t="shared" ref="O201:P201" si="205">IF(ISBLANK(K201),M201,K201)</f>
        <v>Outreach</v>
      </c>
      <c r="P201" s="1" t="str">
        <f t="shared" si="205"/>
        <v>Community Building</v>
      </c>
      <c r="Q201" s="61" t="str">
        <f t="shared" si="3"/>
        <v>2024</v>
      </c>
      <c r="R201" s="62">
        <f t="shared" si="4"/>
        <v>6</v>
      </c>
      <c r="S201" s="61" t="str">
        <f t="shared" si="5"/>
        <v>2024-Q2</v>
      </c>
      <c r="T201" s="63" t="str">
        <f t="shared" si="6"/>
        <v>2024-06</v>
      </c>
      <c r="U201" s="64" t="str">
        <f t="shared" si="7"/>
        <v>2024-H1</v>
      </c>
      <c r="V201" s="9" t="str">
        <f>VLOOKUP(B201,Bounties!A:E,2,FALSE)</f>
        <v>Moderation Team Bounty</v>
      </c>
    </row>
    <row r="202" hidden="1">
      <c r="A202" s="67">
        <f>HYPERLINK("https://polkadot.subsquare.io/treasury/child-bounties/1201", 1201)</f>
        <v>1201</v>
      </c>
      <c r="B202" s="1">
        <v>24.0</v>
      </c>
      <c r="C202" s="1" t="s">
        <v>2414</v>
      </c>
      <c r="D202" s="1" t="s">
        <v>791</v>
      </c>
      <c r="E202" s="5">
        <v>209.44</v>
      </c>
      <c r="F202" s="4">
        <v>1502.192049484253</v>
      </c>
      <c r="G202" s="1" t="s">
        <v>2433</v>
      </c>
      <c r="H202" s="95">
        <v>45438.0</v>
      </c>
      <c r="I202" s="95">
        <v>45446.0</v>
      </c>
      <c r="J202" s="4">
        <v>1495.823417739868</v>
      </c>
      <c r="K202" s="1"/>
      <c r="L202" s="1"/>
      <c r="M202" s="1" t="str">
        <f>VLOOKUP(B202,Bounties!A:D,3,FALSE)</f>
        <v>Outreach</v>
      </c>
      <c r="N202" s="1" t="str">
        <f>VLOOKUP(B202,Bounties!A:D,4,FALSE)</f>
        <v>Community Building</v>
      </c>
      <c r="O202" s="1" t="str">
        <f t="shared" ref="O202:P202" si="206">IF(ISBLANK(K202),M202,K202)</f>
        <v>Outreach</v>
      </c>
      <c r="P202" s="1" t="str">
        <f t="shared" si="206"/>
        <v>Community Building</v>
      </c>
      <c r="Q202" s="61" t="str">
        <f t="shared" si="3"/>
        <v>2024</v>
      </c>
      <c r="R202" s="62">
        <f t="shared" si="4"/>
        <v>6</v>
      </c>
      <c r="S202" s="61" t="str">
        <f t="shared" si="5"/>
        <v>2024-Q2</v>
      </c>
      <c r="T202" s="63" t="str">
        <f t="shared" si="6"/>
        <v>2024-06</v>
      </c>
      <c r="U202" s="64" t="str">
        <f t="shared" si="7"/>
        <v>2024-H1</v>
      </c>
      <c r="V202" s="9" t="str">
        <f>VLOOKUP(B202,Bounties!A:E,2,FALSE)</f>
        <v>Moderation Team Bounty</v>
      </c>
    </row>
    <row r="203" hidden="1">
      <c r="A203" s="67">
        <f>HYPERLINK("https://polkadot.subsquare.io/treasury/child-bounties/1200", 1200)</f>
        <v>1200</v>
      </c>
      <c r="B203" s="1">
        <v>24.0</v>
      </c>
      <c r="C203" s="1" t="s">
        <v>2414</v>
      </c>
      <c r="D203" s="1" t="s">
        <v>790</v>
      </c>
      <c r="E203" s="5">
        <v>191.02</v>
      </c>
      <c r="F203" s="4">
        <v>1370.0760374927522</v>
      </c>
      <c r="G203" s="1" t="s">
        <v>2438</v>
      </c>
      <c r="H203" s="95">
        <v>45438.0</v>
      </c>
      <c r="I203" s="95">
        <v>45446.0</v>
      </c>
      <c r="J203" s="4">
        <v>1364.2675193691255</v>
      </c>
      <c r="K203" s="1"/>
      <c r="L203" s="1"/>
      <c r="M203" s="1" t="str">
        <f>VLOOKUP(B203,Bounties!A:D,3,FALSE)</f>
        <v>Outreach</v>
      </c>
      <c r="N203" s="1" t="str">
        <f>VLOOKUP(B203,Bounties!A:D,4,FALSE)</f>
        <v>Community Building</v>
      </c>
      <c r="O203" s="1" t="str">
        <f t="shared" ref="O203:P203" si="207">IF(ISBLANK(K203),M203,K203)</f>
        <v>Outreach</v>
      </c>
      <c r="P203" s="1" t="str">
        <f t="shared" si="207"/>
        <v>Community Building</v>
      </c>
      <c r="Q203" s="61" t="str">
        <f t="shared" si="3"/>
        <v>2024</v>
      </c>
      <c r="R203" s="62">
        <f t="shared" si="4"/>
        <v>6</v>
      </c>
      <c r="S203" s="61" t="str">
        <f t="shared" si="5"/>
        <v>2024-Q2</v>
      </c>
      <c r="T203" s="63" t="str">
        <f t="shared" si="6"/>
        <v>2024-06</v>
      </c>
      <c r="U203" s="64" t="str">
        <f t="shared" si="7"/>
        <v>2024-H1</v>
      </c>
      <c r="V203" s="9" t="str">
        <f>VLOOKUP(B203,Bounties!A:E,2,FALSE)</f>
        <v>Moderation Team Bounty</v>
      </c>
    </row>
    <row r="204" hidden="1">
      <c r="A204" s="67">
        <f>HYPERLINK("https://polkadot.subsquare.io/treasury/child-bounties/1199", 1199)</f>
        <v>1199</v>
      </c>
      <c r="B204" s="1">
        <v>24.0</v>
      </c>
      <c r="C204" s="1" t="s">
        <v>2414</v>
      </c>
      <c r="D204" s="1" t="s">
        <v>789</v>
      </c>
      <c r="E204" s="5">
        <v>191.02</v>
      </c>
      <c r="F204" s="4">
        <v>1370.0760374927522</v>
      </c>
      <c r="G204" s="1" t="s">
        <v>2528</v>
      </c>
      <c r="H204" s="95">
        <v>45438.0</v>
      </c>
      <c r="I204" s="95">
        <v>45447.0</v>
      </c>
      <c r="J204" s="4">
        <v>1271.7666177654266</v>
      </c>
      <c r="K204" s="1"/>
      <c r="L204" s="1"/>
      <c r="M204" s="1" t="str">
        <f>VLOOKUP(B204,Bounties!A:D,3,FALSE)</f>
        <v>Outreach</v>
      </c>
      <c r="N204" s="1" t="str">
        <f>VLOOKUP(B204,Bounties!A:D,4,FALSE)</f>
        <v>Community Building</v>
      </c>
      <c r="O204" s="1" t="str">
        <f t="shared" ref="O204:P204" si="208">IF(ISBLANK(K204),M204,K204)</f>
        <v>Outreach</v>
      </c>
      <c r="P204" s="1" t="str">
        <f t="shared" si="208"/>
        <v>Community Building</v>
      </c>
      <c r="Q204" s="61" t="str">
        <f t="shared" si="3"/>
        <v>2024</v>
      </c>
      <c r="R204" s="62">
        <f t="shared" si="4"/>
        <v>6</v>
      </c>
      <c r="S204" s="61" t="str">
        <f t="shared" si="5"/>
        <v>2024-Q2</v>
      </c>
      <c r="T204" s="63" t="str">
        <f t="shared" si="6"/>
        <v>2024-06</v>
      </c>
      <c r="U204" s="64" t="str">
        <f t="shared" si="7"/>
        <v>2024-H1</v>
      </c>
      <c r="V204" s="9" t="str">
        <f>VLOOKUP(B204,Bounties!A:E,2,FALSE)</f>
        <v>Moderation Team Bounty</v>
      </c>
    </row>
    <row r="205" hidden="1">
      <c r="A205" s="67">
        <f>HYPERLINK("https://polkadot.subsquare.io/treasury/child-bounties/1198", 1198)</f>
        <v>1198</v>
      </c>
      <c r="B205" s="1">
        <v>24.0</v>
      </c>
      <c r="C205" s="1" t="s">
        <v>2414</v>
      </c>
      <c r="D205" s="1" t="s">
        <v>788</v>
      </c>
      <c r="E205" s="5">
        <v>191.02</v>
      </c>
      <c r="F205" s="4">
        <v>1407.2582957458496</v>
      </c>
      <c r="G205" s="1" t="s">
        <v>2548</v>
      </c>
      <c r="H205" s="95">
        <v>45437.0</v>
      </c>
      <c r="I205" s="95">
        <v>45446.0</v>
      </c>
      <c r="J205" s="4">
        <v>1384.651984062195</v>
      </c>
      <c r="K205" s="1"/>
      <c r="L205" s="1"/>
      <c r="M205" s="1" t="str">
        <f>VLOOKUP(B205,Bounties!A:D,3,FALSE)</f>
        <v>Outreach</v>
      </c>
      <c r="N205" s="1" t="str">
        <f>VLOOKUP(B205,Bounties!A:D,4,FALSE)</f>
        <v>Community Building</v>
      </c>
      <c r="O205" s="1" t="str">
        <f t="shared" ref="O205:P205" si="209">IF(ISBLANK(K205),M205,K205)</f>
        <v>Outreach</v>
      </c>
      <c r="P205" s="1" t="str">
        <f t="shared" si="209"/>
        <v>Community Building</v>
      </c>
      <c r="Q205" s="61" t="str">
        <f t="shared" si="3"/>
        <v>2024</v>
      </c>
      <c r="R205" s="62">
        <f t="shared" si="4"/>
        <v>6</v>
      </c>
      <c r="S205" s="61" t="str">
        <f t="shared" si="5"/>
        <v>2024-Q2</v>
      </c>
      <c r="T205" s="63" t="str">
        <f t="shared" si="6"/>
        <v>2024-06</v>
      </c>
      <c r="U205" s="64" t="str">
        <f t="shared" si="7"/>
        <v>2024-H1</v>
      </c>
      <c r="V205" s="9" t="str">
        <f>VLOOKUP(B205,Bounties!A:E,2,FALSE)</f>
        <v>Moderation Team Bounty</v>
      </c>
    </row>
    <row r="206" hidden="1">
      <c r="A206" s="67">
        <f>HYPERLINK("https://polkadot.subsquare.io/treasury/child-bounties/1197", 1197)</f>
        <v>1197</v>
      </c>
      <c r="B206" s="1">
        <v>24.0</v>
      </c>
      <c r="C206" s="1" t="s">
        <v>2414</v>
      </c>
      <c r="D206" s="1" t="s">
        <v>787</v>
      </c>
      <c r="E206" s="5">
        <v>225.13</v>
      </c>
      <c r="F206" s="4">
        <v>1658.5491577911378</v>
      </c>
      <c r="G206" s="1" t="s">
        <v>2549</v>
      </c>
      <c r="H206" s="95">
        <v>45437.0</v>
      </c>
      <c r="I206" s="95">
        <v>45446.0</v>
      </c>
      <c r="J206" s="4">
        <v>1631.9060892677307</v>
      </c>
      <c r="K206" s="1"/>
      <c r="L206" s="1"/>
      <c r="M206" s="1" t="str">
        <f>VLOOKUP(B206,Bounties!A:D,3,FALSE)</f>
        <v>Outreach</v>
      </c>
      <c r="N206" s="1" t="str">
        <f>VLOOKUP(B206,Bounties!A:D,4,FALSE)</f>
        <v>Community Building</v>
      </c>
      <c r="O206" s="1" t="str">
        <f t="shared" ref="O206:P206" si="210">IF(ISBLANK(K206),M206,K206)</f>
        <v>Outreach</v>
      </c>
      <c r="P206" s="1" t="str">
        <f t="shared" si="210"/>
        <v>Community Building</v>
      </c>
      <c r="Q206" s="61" t="str">
        <f t="shared" si="3"/>
        <v>2024</v>
      </c>
      <c r="R206" s="62">
        <f t="shared" si="4"/>
        <v>6</v>
      </c>
      <c r="S206" s="61" t="str">
        <f t="shared" si="5"/>
        <v>2024-Q2</v>
      </c>
      <c r="T206" s="63" t="str">
        <f t="shared" si="6"/>
        <v>2024-06</v>
      </c>
      <c r="U206" s="64" t="str">
        <f t="shared" si="7"/>
        <v>2024-H1</v>
      </c>
      <c r="V206" s="9" t="str">
        <f>VLOOKUP(B206,Bounties!A:E,2,FALSE)</f>
        <v>Moderation Team Bounty</v>
      </c>
    </row>
    <row r="207" hidden="1">
      <c r="A207" s="67">
        <f>HYPERLINK("https://polkadot.subsquare.io/treasury/child-bounties/1196", 1196)</f>
        <v>1196</v>
      </c>
      <c r="B207" s="1">
        <v>24.0</v>
      </c>
      <c r="C207" s="1" t="s">
        <v>2414</v>
      </c>
      <c r="D207" s="1" t="s">
        <v>786</v>
      </c>
      <c r="E207" s="5">
        <v>191.02</v>
      </c>
      <c r="F207" s="4">
        <v>1407.2582957458496</v>
      </c>
      <c r="G207" s="1" t="s">
        <v>2550</v>
      </c>
      <c r="H207" s="95">
        <v>45437.0</v>
      </c>
      <c r="I207" s="95">
        <v>45446.0</v>
      </c>
      <c r="J207" s="4">
        <v>1364.2675193691255</v>
      </c>
      <c r="K207" s="1"/>
      <c r="L207" s="1"/>
      <c r="M207" s="1" t="str">
        <f>VLOOKUP(B207,Bounties!A:D,3,FALSE)</f>
        <v>Outreach</v>
      </c>
      <c r="N207" s="1" t="str">
        <f>VLOOKUP(B207,Bounties!A:D,4,FALSE)</f>
        <v>Community Building</v>
      </c>
      <c r="O207" s="1" t="str">
        <f t="shared" ref="O207:P207" si="211">IF(ISBLANK(K207),M207,K207)</f>
        <v>Outreach</v>
      </c>
      <c r="P207" s="1" t="str">
        <f t="shared" si="211"/>
        <v>Community Building</v>
      </c>
      <c r="Q207" s="61" t="str">
        <f t="shared" si="3"/>
        <v>2024</v>
      </c>
      <c r="R207" s="62">
        <f t="shared" si="4"/>
        <v>6</v>
      </c>
      <c r="S207" s="61" t="str">
        <f t="shared" si="5"/>
        <v>2024-Q2</v>
      </c>
      <c r="T207" s="63" t="str">
        <f t="shared" si="6"/>
        <v>2024-06</v>
      </c>
      <c r="U207" s="64" t="str">
        <f t="shared" si="7"/>
        <v>2024-H1</v>
      </c>
      <c r="V207" s="9" t="str">
        <f>VLOOKUP(B207,Bounties!A:E,2,FALSE)</f>
        <v>Moderation Team Bounty</v>
      </c>
    </row>
    <row r="208" hidden="1">
      <c r="A208" s="67">
        <f>HYPERLINK("https://polkadot.subsquare.io/treasury/child-bounties/1195", 1195)</f>
        <v>1195</v>
      </c>
      <c r="B208" s="1">
        <v>24.0</v>
      </c>
      <c r="C208" s="1" t="s">
        <v>2414</v>
      </c>
      <c r="D208" s="1" t="s">
        <v>785</v>
      </c>
      <c r="E208" s="5">
        <v>191.02</v>
      </c>
      <c r="F208" s="4">
        <v>1407.2582957458496</v>
      </c>
      <c r="G208" s="1" t="s">
        <v>2551</v>
      </c>
      <c r="H208" s="95">
        <v>45437.0</v>
      </c>
      <c r="I208" s="95">
        <v>45445.0</v>
      </c>
      <c r="J208" s="4">
        <v>1384.651984062195</v>
      </c>
      <c r="K208" s="1"/>
      <c r="L208" s="1"/>
      <c r="M208" s="1" t="str">
        <f>VLOOKUP(B208,Bounties!A:D,3,FALSE)</f>
        <v>Outreach</v>
      </c>
      <c r="N208" s="1" t="str">
        <f>VLOOKUP(B208,Bounties!A:D,4,FALSE)</f>
        <v>Community Building</v>
      </c>
      <c r="O208" s="1" t="str">
        <f t="shared" ref="O208:P208" si="212">IF(ISBLANK(K208),M208,K208)</f>
        <v>Outreach</v>
      </c>
      <c r="P208" s="1" t="str">
        <f t="shared" si="212"/>
        <v>Community Building</v>
      </c>
      <c r="Q208" s="61" t="str">
        <f t="shared" si="3"/>
        <v>2024</v>
      </c>
      <c r="R208" s="62">
        <f t="shared" si="4"/>
        <v>6</v>
      </c>
      <c r="S208" s="61" t="str">
        <f t="shared" si="5"/>
        <v>2024-Q2</v>
      </c>
      <c r="T208" s="63" t="str">
        <f t="shared" si="6"/>
        <v>2024-06</v>
      </c>
      <c r="U208" s="64" t="str">
        <f t="shared" si="7"/>
        <v>2024-H1</v>
      </c>
      <c r="V208" s="9" t="str">
        <f>VLOOKUP(B208,Bounties!A:E,2,FALSE)</f>
        <v>Moderation Team Bounty</v>
      </c>
    </row>
    <row r="209" hidden="1">
      <c r="A209" s="67">
        <f>HYPERLINK("https://polkadot.subsquare.io/treasury/child-bounties/1194", 1194)</f>
        <v>1194</v>
      </c>
      <c r="B209" s="1">
        <v>24.0</v>
      </c>
      <c r="C209" s="1" t="s">
        <v>2414</v>
      </c>
      <c r="D209" s="1" t="s">
        <v>784</v>
      </c>
      <c r="E209" s="5">
        <v>18.42</v>
      </c>
      <c r="F209" s="4">
        <v>135.70148574829102</v>
      </c>
      <c r="G209" s="1" t="s">
        <v>2552</v>
      </c>
      <c r="H209" s="95">
        <v>45437.0</v>
      </c>
      <c r="I209" s="95">
        <v>45459.0</v>
      </c>
      <c r="J209" s="4">
        <v>106.72938254356386</v>
      </c>
      <c r="K209" s="1"/>
      <c r="L209" s="1"/>
      <c r="M209" s="1" t="str">
        <f>VLOOKUP(B209,Bounties!A:D,3,FALSE)</f>
        <v>Outreach</v>
      </c>
      <c r="N209" s="1" t="str">
        <f>VLOOKUP(B209,Bounties!A:D,4,FALSE)</f>
        <v>Community Building</v>
      </c>
      <c r="O209" s="1" t="str">
        <f t="shared" ref="O209:P209" si="213">IF(ISBLANK(K209),M209,K209)</f>
        <v>Outreach</v>
      </c>
      <c r="P209" s="1" t="str">
        <f t="shared" si="213"/>
        <v>Community Building</v>
      </c>
      <c r="Q209" s="61" t="str">
        <f t="shared" si="3"/>
        <v>2024</v>
      </c>
      <c r="R209" s="62">
        <f t="shared" si="4"/>
        <v>6</v>
      </c>
      <c r="S209" s="61" t="str">
        <f t="shared" si="5"/>
        <v>2024-Q2</v>
      </c>
      <c r="T209" s="63" t="str">
        <f t="shared" si="6"/>
        <v>2024-06</v>
      </c>
      <c r="U209" s="64" t="str">
        <f t="shared" si="7"/>
        <v>2024-H1</v>
      </c>
      <c r="V209" s="9" t="str">
        <f>VLOOKUP(B209,Bounties!A:E,2,FALSE)</f>
        <v>Moderation Team Bounty</v>
      </c>
    </row>
    <row r="210" hidden="1">
      <c r="A210" s="67">
        <f>HYPERLINK("https://polkadot.subsquare.io/treasury/child-bounties/1193", 1193)</f>
        <v>1193</v>
      </c>
      <c r="B210" s="1">
        <v>33.0</v>
      </c>
      <c r="C210" s="1" t="s">
        <v>2414</v>
      </c>
      <c r="D210" s="1" t="s">
        <v>783</v>
      </c>
      <c r="E210" s="5">
        <v>35354.0</v>
      </c>
      <c r="F210" s="4">
        <v>256114.6579580307</v>
      </c>
      <c r="G210" s="1" t="s">
        <v>2435</v>
      </c>
      <c r="H210" s="95">
        <v>45434.0</v>
      </c>
      <c r="I210" s="95">
        <v>45443.0</v>
      </c>
      <c r="J210" s="4">
        <v>247840.3480205536</v>
      </c>
      <c r="K210" s="1" t="s">
        <v>81</v>
      </c>
      <c r="L210" s="1" t="s">
        <v>87</v>
      </c>
      <c r="M210" s="1" t="str">
        <f>VLOOKUP(B210,Bounties!A:D,3,FALSE)</f>
        <v>Outreach</v>
      </c>
      <c r="N210" s="1" t="str">
        <f>VLOOKUP(B210,Bounties!A:D,4,FALSE)</f>
        <v>Advertising</v>
      </c>
      <c r="O210" s="1" t="str">
        <f t="shared" ref="O210:P210" si="214">IF(ISBLANK(K210),M210,K210)</f>
        <v>Outreach</v>
      </c>
      <c r="P210" s="1" t="str">
        <f t="shared" si="214"/>
        <v>Advertising/Digital Ads</v>
      </c>
      <c r="Q210" s="61" t="str">
        <f t="shared" si="3"/>
        <v>2024</v>
      </c>
      <c r="R210" s="62">
        <f t="shared" si="4"/>
        <v>5</v>
      </c>
      <c r="S210" s="61" t="str">
        <f t="shared" si="5"/>
        <v>2024-Q2</v>
      </c>
      <c r="T210" s="63" t="str">
        <f t="shared" si="6"/>
        <v>2024-05</v>
      </c>
      <c r="U210" s="64" t="str">
        <f t="shared" si="7"/>
        <v>2024-H1</v>
      </c>
      <c r="V210" s="9" t="str">
        <f>VLOOKUP(B210,Bounties!A:E,2,FALSE)</f>
        <v>Marketing Bounty</v>
      </c>
    </row>
    <row r="211" hidden="1">
      <c r="A211" s="67">
        <f>HYPERLINK("https://polkadot.subsquare.io/treasury/child-bounties/1192", 1192)</f>
        <v>1192</v>
      </c>
      <c r="B211" s="1">
        <v>33.0</v>
      </c>
      <c r="C211" s="1" t="s">
        <v>2414</v>
      </c>
      <c r="D211" s="1" t="s">
        <v>782</v>
      </c>
      <c r="E211" s="5">
        <v>625.86</v>
      </c>
      <c r="F211" s="4">
        <v>4533.911858053208</v>
      </c>
      <c r="G211" s="1" t="s">
        <v>2553</v>
      </c>
      <c r="H211" s="95">
        <v>45434.0</v>
      </c>
      <c r="I211" s="95">
        <v>45442.0</v>
      </c>
      <c r="J211" s="4">
        <v>4417.702824840546</v>
      </c>
      <c r="K211" s="1" t="s">
        <v>81</v>
      </c>
      <c r="L211" s="1" t="s">
        <v>87</v>
      </c>
      <c r="M211" s="1" t="str">
        <f>VLOOKUP(B211,Bounties!A:D,3,FALSE)</f>
        <v>Outreach</v>
      </c>
      <c r="N211" s="1" t="str">
        <f>VLOOKUP(B211,Bounties!A:D,4,FALSE)</f>
        <v>Advertising</v>
      </c>
      <c r="O211" s="1" t="str">
        <f t="shared" ref="O211:P211" si="215">IF(ISBLANK(K211),M211,K211)</f>
        <v>Outreach</v>
      </c>
      <c r="P211" s="1" t="str">
        <f t="shared" si="215"/>
        <v>Advertising/Digital Ads</v>
      </c>
      <c r="Q211" s="61" t="str">
        <f t="shared" si="3"/>
        <v>2024</v>
      </c>
      <c r="R211" s="62">
        <f t="shared" si="4"/>
        <v>5</v>
      </c>
      <c r="S211" s="61" t="str">
        <f t="shared" si="5"/>
        <v>2024-Q2</v>
      </c>
      <c r="T211" s="63" t="str">
        <f t="shared" si="6"/>
        <v>2024-05</v>
      </c>
      <c r="U211" s="64" t="str">
        <f t="shared" si="7"/>
        <v>2024-H1</v>
      </c>
      <c r="V211" s="9" t="str">
        <f>VLOOKUP(B211,Bounties!A:E,2,FALSE)</f>
        <v>Marketing Bounty</v>
      </c>
    </row>
    <row r="212" hidden="1">
      <c r="A212" s="67">
        <f>HYPERLINK("https://polkadot.subsquare.io/treasury/child-bounties/1191", 1191)</f>
        <v>1191</v>
      </c>
      <c r="B212" s="1">
        <v>33.0</v>
      </c>
      <c r="C212" s="1" t="s">
        <v>2414</v>
      </c>
      <c r="D212" s="1" t="s">
        <v>781</v>
      </c>
      <c r="E212" s="5">
        <v>15752.87</v>
      </c>
      <c r="F212" s="4">
        <v>114118.37166677952</v>
      </c>
      <c r="G212" s="1" t="s">
        <v>2554</v>
      </c>
      <c r="H212" s="95">
        <v>45434.0</v>
      </c>
      <c r="I212" s="95">
        <v>45442.0</v>
      </c>
      <c r="J212" s="4">
        <v>111193.39516560556</v>
      </c>
      <c r="K212" s="1" t="s">
        <v>81</v>
      </c>
      <c r="L212" s="1" t="s">
        <v>84</v>
      </c>
      <c r="M212" s="1" t="str">
        <f>VLOOKUP(B212,Bounties!A:D,3,FALSE)</f>
        <v>Outreach</v>
      </c>
      <c r="N212" s="1" t="str">
        <f>VLOOKUP(B212,Bounties!A:D,4,FALSE)</f>
        <v>Advertising</v>
      </c>
      <c r="O212" s="1" t="str">
        <f t="shared" ref="O212:P212" si="216">IF(ISBLANK(K212),M212,K212)</f>
        <v>Outreach</v>
      </c>
      <c r="P212" s="1" t="str">
        <f t="shared" si="216"/>
        <v>Advertising/Influencers</v>
      </c>
      <c r="Q212" s="61" t="str">
        <f t="shared" si="3"/>
        <v>2024</v>
      </c>
      <c r="R212" s="62">
        <f t="shared" si="4"/>
        <v>5</v>
      </c>
      <c r="S212" s="61" t="str">
        <f t="shared" si="5"/>
        <v>2024-Q2</v>
      </c>
      <c r="T212" s="63" t="str">
        <f t="shared" si="6"/>
        <v>2024-05</v>
      </c>
      <c r="U212" s="64" t="str">
        <f t="shared" si="7"/>
        <v>2024-H1</v>
      </c>
      <c r="V212" s="9" t="str">
        <f>VLOOKUP(B212,Bounties!A:E,2,FALSE)</f>
        <v>Marketing Bounty</v>
      </c>
    </row>
    <row r="213" hidden="1">
      <c r="A213" s="67">
        <f>HYPERLINK("https://polkadot.subsquare.io/treasury/child-bounties/1190", 1190)</f>
        <v>1190</v>
      </c>
      <c r="B213" s="1">
        <v>43.0</v>
      </c>
      <c r="C213" s="1" t="s">
        <v>2414</v>
      </c>
      <c r="D213" s="1" t="s">
        <v>780</v>
      </c>
      <c r="E213" s="5">
        <v>158.0</v>
      </c>
      <c r="F213" s="4">
        <v>1137.7223224639893</v>
      </c>
      <c r="G213" s="1" t="s">
        <v>2555</v>
      </c>
      <c r="H213" s="95">
        <v>45433.0</v>
      </c>
      <c r="I213" s="95">
        <v>45448.0</v>
      </c>
      <c r="J213" s="4">
        <v>1009.370979309082</v>
      </c>
      <c r="K213" s="1"/>
      <c r="L213" s="1"/>
      <c r="M213" s="1" t="str">
        <f>VLOOKUP(B213,Bounties!A:D,3,FALSE)</f>
        <v>Outreach</v>
      </c>
      <c r="N213" s="1" t="str">
        <f>VLOOKUP(B213,Bounties!A:D,4,FALSE)</f>
        <v>Events/Meetups</v>
      </c>
      <c r="O213" s="1" t="str">
        <f t="shared" ref="O213:P213" si="217">IF(ISBLANK(K213),M213,K213)</f>
        <v>Outreach</v>
      </c>
      <c r="P213" s="1" t="str">
        <f t="shared" si="217"/>
        <v>Events/Meetups</v>
      </c>
      <c r="Q213" s="61" t="str">
        <f t="shared" si="3"/>
        <v>2024</v>
      </c>
      <c r="R213" s="62">
        <f t="shared" si="4"/>
        <v>6</v>
      </c>
      <c r="S213" s="61" t="str">
        <f t="shared" si="5"/>
        <v>2024-Q2</v>
      </c>
      <c r="T213" s="63" t="str">
        <f t="shared" si="6"/>
        <v>2024-06</v>
      </c>
      <c r="U213" s="64" t="str">
        <f t="shared" si="7"/>
        <v>2024-H1</v>
      </c>
      <c r="V213" s="9" t="str">
        <f>VLOOKUP(B213,Bounties!A:E,2,FALSE)</f>
        <v>Meetups Bounty</v>
      </c>
    </row>
    <row r="214" hidden="1">
      <c r="A214" s="67">
        <f>HYPERLINK("https://polkadot.subsquare.io/treasury/child-bounties/1189", 1189)</f>
        <v>1189</v>
      </c>
      <c r="B214" s="1">
        <v>42.0</v>
      </c>
      <c r="C214" s="1" t="s">
        <v>2414</v>
      </c>
      <c r="D214" s="1" t="s">
        <v>779</v>
      </c>
      <c r="E214" s="5">
        <v>195.56</v>
      </c>
      <c r="F214" s="4">
        <v>1408.183401145935</v>
      </c>
      <c r="G214" s="1" t="s">
        <v>2454</v>
      </c>
      <c r="H214" s="95">
        <v>45432.0</v>
      </c>
      <c r="I214" s="95">
        <v>45440.0</v>
      </c>
      <c r="J214" s="4">
        <v>1366.4064388465881</v>
      </c>
      <c r="K214" s="1"/>
      <c r="L214" s="1"/>
      <c r="M214" s="1" t="str">
        <f>VLOOKUP(B214,Bounties!A:D,3,FALSE)</f>
        <v>Outreach</v>
      </c>
      <c r="N214" s="1" t="str">
        <f>VLOOKUP(B214,Bounties!A:D,4,FALSE)</f>
        <v>Media</v>
      </c>
      <c r="O214" s="1" t="str">
        <f t="shared" ref="O214:P214" si="218">IF(ISBLANK(K214),M214,K214)</f>
        <v>Outreach</v>
      </c>
      <c r="P214" s="1" t="str">
        <f t="shared" si="218"/>
        <v>Media</v>
      </c>
      <c r="Q214" s="61" t="str">
        <f t="shared" si="3"/>
        <v>2024</v>
      </c>
      <c r="R214" s="62">
        <f t="shared" si="4"/>
        <v>5</v>
      </c>
      <c r="S214" s="61" t="str">
        <f t="shared" si="5"/>
        <v>2024-Q2</v>
      </c>
      <c r="T214" s="63" t="str">
        <f t="shared" si="6"/>
        <v>2024-05</v>
      </c>
      <c r="U214" s="64" t="str">
        <f t="shared" si="7"/>
        <v>2024-H1</v>
      </c>
      <c r="V214" s="9" t="str">
        <f>VLOOKUP(B214,Bounties!A:E,2,FALSE)</f>
        <v>Spanish Bounty</v>
      </c>
    </row>
    <row r="215" hidden="1">
      <c r="A215" s="67">
        <f>HYPERLINK("https://polkadot.subsquare.io/treasury/child-bounties/1188", 1188)</f>
        <v>1188</v>
      </c>
      <c r="B215" s="1">
        <v>42.0</v>
      </c>
      <c r="C215" s="1" t="s">
        <v>2414</v>
      </c>
      <c r="D215" s="1" t="s">
        <v>778</v>
      </c>
      <c r="E215" s="5">
        <v>195.56</v>
      </c>
      <c r="F215" s="4">
        <v>1408.183401145935</v>
      </c>
      <c r="G215" s="1" t="s">
        <v>2556</v>
      </c>
      <c r="H215" s="95">
        <v>45432.0</v>
      </c>
      <c r="I215" s="95">
        <v>45440.0</v>
      </c>
      <c r="J215" s="4">
        <v>1366.4064388465881</v>
      </c>
      <c r="K215" s="1"/>
      <c r="L215" s="1"/>
      <c r="M215" s="1" t="str">
        <f>VLOOKUP(B215,Bounties!A:D,3,FALSE)</f>
        <v>Outreach</v>
      </c>
      <c r="N215" s="1" t="str">
        <f>VLOOKUP(B215,Bounties!A:D,4,FALSE)</f>
        <v>Media</v>
      </c>
      <c r="O215" s="1" t="str">
        <f t="shared" ref="O215:P215" si="219">IF(ISBLANK(K215),M215,K215)</f>
        <v>Outreach</v>
      </c>
      <c r="P215" s="1" t="str">
        <f t="shared" si="219"/>
        <v>Media</v>
      </c>
      <c r="Q215" s="61" t="str">
        <f t="shared" si="3"/>
        <v>2024</v>
      </c>
      <c r="R215" s="62">
        <f t="shared" si="4"/>
        <v>5</v>
      </c>
      <c r="S215" s="61" t="str">
        <f t="shared" si="5"/>
        <v>2024-Q2</v>
      </c>
      <c r="T215" s="63" t="str">
        <f t="shared" si="6"/>
        <v>2024-05</v>
      </c>
      <c r="U215" s="64" t="str">
        <f t="shared" si="7"/>
        <v>2024-H1</v>
      </c>
      <c r="V215" s="9" t="str">
        <f>VLOOKUP(B215,Bounties!A:E,2,FALSE)</f>
        <v>Spanish Bounty</v>
      </c>
    </row>
    <row r="216" hidden="1">
      <c r="A216" s="67">
        <f>HYPERLINK("https://polkadot.subsquare.io/treasury/child-bounties/1187", 1187)</f>
        <v>1187</v>
      </c>
      <c r="B216" s="1">
        <v>42.0</v>
      </c>
      <c r="C216" s="1" t="s">
        <v>2414</v>
      </c>
      <c r="D216" s="1" t="s">
        <v>777</v>
      </c>
      <c r="E216" s="5">
        <v>195.56</v>
      </c>
      <c r="F216" s="4">
        <v>1408.183401145935</v>
      </c>
      <c r="G216" s="1" t="s">
        <v>2557</v>
      </c>
      <c r="H216" s="95">
        <v>45432.0</v>
      </c>
      <c r="I216" s="95">
        <v>45440.0</v>
      </c>
      <c r="J216" s="4">
        <v>1366.4064388465881</v>
      </c>
      <c r="K216" s="1"/>
      <c r="L216" s="1"/>
      <c r="M216" s="1" t="str">
        <f>VLOOKUP(B216,Bounties!A:D,3,FALSE)</f>
        <v>Outreach</v>
      </c>
      <c r="N216" s="1" t="str">
        <f>VLOOKUP(B216,Bounties!A:D,4,FALSE)</f>
        <v>Media</v>
      </c>
      <c r="O216" s="1" t="str">
        <f t="shared" ref="O216:P216" si="220">IF(ISBLANK(K216),M216,K216)</f>
        <v>Outreach</v>
      </c>
      <c r="P216" s="1" t="str">
        <f t="shared" si="220"/>
        <v>Media</v>
      </c>
      <c r="Q216" s="61" t="str">
        <f t="shared" si="3"/>
        <v>2024</v>
      </c>
      <c r="R216" s="62">
        <f t="shared" si="4"/>
        <v>5</v>
      </c>
      <c r="S216" s="61" t="str">
        <f t="shared" si="5"/>
        <v>2024-Q2</v>
      </c>
      <c r="T216" s="63" t="str">
        <f t="shared" si="6"/>
        <v>2024-05</v>
      </c>
      <c r="U216" s="64" t="str">
        <f t="shared" si="7"/>
        <v>2024-H1</v>
      </c>
      <c r="V216" s="9" t="str">
        <f>VLOOKUP(B216,Bounties!A:E,2,FALSE)</f>
        <v>Spanish Bounty</v>
      </c>
    </row>
    <row r="217" hidden="1">
      <c r="A217" s="67">
        <f>HYPERLINK("https://polkadot.subsquare.io/treasury/child-bounties/1186", 1186)</f>
        <v>1186</v>
      </c>
      <c r="B217" s="1">
        <v>42.0</v>
      </c>
      <c r="C217" s="1" t="s">
        <v>2414</v>
      </c>
      <c r="D217" s="1" t="s">
        <v>776</v>
      </c>
      <c r="E217" s="5">
        <v>195.56</v>
      </c>
      <c r="F217" s="4">
        <v>1408.183401145935</v>
      </c>
      <c r="G217" s="1" t="s">
        <v>2537</v>
      </c>
      <c r="H217" s="95">
        <v>45432.0</v>
      </c>
      <c r="I217" s="95">
        <v>45440.0</v>
      </c>
      <c r="J217" s="4">
        <v>1366.4064388465881</v>
      </c>
      <c r="K217" s="1"/>
      <c r="L217" s="1"/>
      <c r="M217" s="1" t="str">
        <f>VLOOKUP(B217,Bounties!A:D,3,FALSE)</f>
        <v>Outreach</v>
      </c>
      <c r="N217" s="1" t="str">
        <f>VLOOKUP(B217,Bounties!A:D,4,FALSE)</f>
        <v>Media</v>
      </c>
      <c r="O217" s="1" t="str">
        <f t="shared" ref="O217:P217" si="221">IF(ISBLANK(K217),M217,K217)</f>
        <v>Outreach</v>
      </c>
      <c r="P217" s="1" t="str">
        <f t="shared" si="221"/>
        <v>Media</v>
      </c>
      <c r="Q217" s="61" t="str">
        <f t="shared" si="3"/>
        <v>2024</v>
      </c>
      <c r="R217" s="62">
        <f t="shared" si="4"/>
        <v>5</v>
      </c>
      <c r="S217" s="61" t="str">
        <f t="shared" si="5"/>
        <v>2024-Q2</v>
      </c>
      <c r="T217" s="63" t="str">
        <f t="shared" si="6"/>
        <v>2024-05</v>
      </c>
      <c r="U217" s="64" t="str">
        <f t="shared" si="7"/>
        <v>2024-H1</v>
      </c>
      <c r="V217" s="9" t="str">
        <f>VLOOKUP(B217,Bounties!A:E,2,FALSE)</f>
        <v>Spanish Bounty</v>
      </c>
    </row>
    <row r="218" hidden="1">
      <c r="A218" s="67">
        <f>HYPERLINK("https://polkadot.subsquare.io/treasury/child-bounties/1185", 1185)</f>
        <v>1185</v>
      </c>
      <c r="B218" s="1">
        <v>42.0</v>
      </c>
      <c r="C218" s="1" t="s">
        <v>2414</v>
      </c>
      <c r="D218" s="1" t="s">
        <v>775</v>
      </c>
      <c r="E218" s="5">
        <v>69.84</v>
      </c>
      <c r="F218" s="4">
        <v>502.9020696258545</v>
      </c>
      <c r="G218" s="1" t="s">
        <v>2446</v>
      </c>
      <c r="H218" s="95">
        <v>45432.0</v>
      </c>
      <c r="I218" s="95">
        <v>45440.0</v>
      </c>
      <c r="J218" s="4">
        <v>487.98233631134036</v>
      </c>
      <c r="K218" s="1"/>
      <c r="L218" s="1"/>
      <c r="M218" s="1" t="str">
        <f>VLOOKUP(B218,Bounties!A:D,3,FALSE)</f>
        <v>Outreach</v>
      </c>
      <c r="N218" s="1" t="str">
        <f>VLOOKUP(B218,Bounties!A:D,4,FALSE)</f>
        <v>Media</v>
      </c>
      <c r="O218" s="1" t="str">
        <f t="shared" ref="O218:P218" si="222">IF(ISBLANK(K218),M218,K218)</f>
        <v>Outreach</v>
      </c>
      <c r="P218" s="1" t="str">
        <f t="shared" si="222"/>
        <v>Media</v>
      </c>
      <c r="Q218" s="61" t="str">
        <f t="shared" si="3"/>
        <v>2024</v>
      </c>
      <c r="R218" s="62">
        <f t="shared" si="4"/>
        <v>5</v>
      </c>
      <c r="S218" s="61" t="str">
        <f t="shared" si="5"/>
        <v>2024-Q2</v>
      </c>
      <c r="T218" s="63" t="str">
        <f t="shared" si="6"/>
        <v>2024-05</v>
      </c>
      <c r="U218" s="64" t="str">
        <f t="shared" si="7"/>
        <v>2024-H1</v>
      </c>
      <c r="V218" s="9" t="str">
        <f>VLOOKUP(B218,Bounties!A:E,2,FALSE)</f>
        <v>Spanish Bounty</v>
      </c>
    </row>
    <row r="219" hidden="1">
      <c r="A219" s="67">
        <f>HYPERLINK("https://polkadot.subsquare.io/treasury/child-bounties/1184", 1184)</f>
        <v>1184</v>
      </c>
      <c r="B219" s="1">
        <v>42.0</v>
      </c>
      <c r="C219" s="1" t="s">
        <v>2414</v>
      </c>
      <c r="D219" s="1" t="s">
        <v>774</v>
      </c>
      <c r="E219" s="5">
        <v>195.56</v>
      </c>
      <c r="F219" s="4">
        <v>1408.183401145935</v>
      </c>
      <c r="G219" s="1" t="s">
        <v>2558</v>
      </c>
      <c r="H219" s="95">
        <v>45432.0</v>
      </c>
      <c r="I219" s="95">
        <v>45440.0</v>
      </c>
      <c r="J219" s="4">
        <v>1366.4064388465881</v>
      </c>
      <c r="K219" s="1"/>
      <c r="L219" s="1"/>
      <c r="M219" s="1" t="str">
        <f>VLOOKUP(B219,Bounties!A:D,3,FALSE)</f>
        <v>Outreach</v>
      </c>
      <c r="N219" s="1" t="str">
        <f>VLOOKUP(B219,Bounties!A:D,4,FALSE)</f>
        <v>Media</v>
      </c>
      <c r="O219" s="1" t="str">
        <f t="shared" ref="O219:P219" si="223">IF(ISBLANK(K219),M219,K219)</f>
        <v>Outreach</v>
      </c>
      <c r="P219" s="1" t="str">
        <f t="shared" si="223"/>
        <v>Media</v>
      </c>
      <c r="Q219" s="61" t="str">
        <f t="shared" si="3"/>
        <v>2024</v>
      </c>
      <c r="R219" s="62">
        <f t="shared" si="4"/>
        <v>5</v>
      </c>
      <c r="S219" s="61" t="str">
        <f t="shared" si="5"/>
        <v>2024-Q2</v>
      </c>
      <c r="T219" s="63" t="str">
        <f t="shared" si="6"/>
        <v>2024-05</v>
      </c>
      <c r="U219" s="64" t="str">
        <f t="shared" si="7"/>
        <v>2024-H1</v>
      </c>
      <c r="V219" s="9" t="str">
        <f>VLOOKUP(B219,Bounties!A:E,2,FALSE)</f>
        <v>Spanish Bounty</v>
      </c>
    </row>
    <row r="220" hidden="1">
      <c r="A220" s="67">
        <f>HYPERLINK("https://polkadot.subsquare.io/treasury/child-bounties/1183", 1183)</f>
        <v>1183</v>
      </c>
      <c r="B220" s="1">
        <v>42.0</v>
      </c>
      <c r="C220" s="1" t="s">
        <v>2414</v>
      </c>
      <c r="D220" s="1" t="s">
        <v>773</v>
      </c>
      <c r="E220" s="5">
        <v>195.56</v>
      </c>
      <c r="F220" s="4">
        <v>1408.183401145935</v>
      </c>
      <c r="G220" s="1" t="s">
        <v>2447</v>
      </c>
      <c r="H220" s="95">
        <v>45432.0</v>
      </c>
      <c r="I220" s="95">
        <v>45440.0</v>
      </c>
      <c r="J220" s="4">
        <v>1366.4064388465881</v>
      </c>
      <c r="K220" s="1"/>
      <c r="L220" s="1"/>
      <c r="M220" s="1" t="str">
        <f>VLOOKUP(B220,Bounties!A:D,3,FALSE)</f>
        <v>Outreach</v>
      </c>
      <c r="N220" s="1" t="str">
        <f>VLOOKUP(B220,Bounties!A:D,4,FALSE)</f>
        <v>Media</v>
      </c>
      <c r="O220" s="1" t="str">
        <f t="shared" ref="O220:P220" si="224">IF(ISBLANK(K220),M220,K220)</f>
        <v>Outreach</v>
      </c>
      <c r="P220" s="1" t="str">
        <f t="shared" si="224"/>
        <v>Media</v>
      </c>
      <c r="Q220" s="61" t="str">
        <f t="shared" si="3"/>
        <v>2024</v>
      </c>
      <c r="R220" s="62">
        <f t="shared" si="4"/>
        <v>5</v>
      </c>
      <c r="S220" s="61" t="str">
        <f t="shared" si="5"/>
        <v>2024-Q2</v>
      </c>
      <c r="T220" s="63" t="str">
        <f t="shared" si="6"/>
        <v>2024-05</v>
      </c>
      <c r="U220" s="64" t="str">
        <f t="shared" si="7"/>
        <v>2024-H1</v>
      </c>
      <c r="V220" s="9" t="str">
        <f>VLOOKUP(B220,Bounties!A:E,2,FALSE)</f>
        <v>Spanish Bounty</v>
      </c>
    </row>
    <row r="221" hidden="1">
      <c r="A221" s="67">
        <f>HYPERLINK("https://polkadot.subsquare.io/treasury/child-bounties/1182", 1182)</f>
        <v>1182</v>
      </c>
      <c r="B221" s="1">
        <v>42.0</v>
      </c>
      <c r="C221" s="1" t="s">
        <v>2414</v>
      </c>
      <c r="D221" s="1" t="s">
        <v>772</v>
      </c>
      <c r="E221" s="5">
        <v>195.56</v>
      </c>
      <c r="F221" s="4">
        <v>1408.183401145935</v>
      </c>
      <c r="G221" s="1" t="s">
        <v>2452</v>
      </c>
      <c r="H221" s="95">
        <v>45432.0</v>
      </c>
      <c r="I221" s="95">
        <v>45440.0</v>
      </c>
      <c r="J221" s="4">
        <v>1366.4064388465881</v>
      </c>
      <c r="K221" s="1"/>
      <c r="L221" s="1"/>
      <c r="M221" s="1" t="str">
        <f>VLOOKUP(B221,Bounties!A:D,3,FALSE)</f>
        <v>Outreach</v>
      </c>
      <c r="N221" s="1" t="str">
        <f>VLOOKUP(B221,Bounties!A:D,4,FALSE)</f>
        <v>Media</v>
      </c>
      <c r="O221" s="1" t="str">
        <f t="shared" ref="O221:P221" si="225">IF(ISBLANK(K221),M221,K221)</f>
        <v>Outreach</v>
      </c>
      <c r="P221" s="1" t="str">
        <f t="shared" si="225"/>
        <v>Media</v>
      </c>
      <c r="Q221" s="61" t="str">
        <f t="shared" si="3"/>
        <v>2024</v>
      </c>
      <c r="R221" s="62">
        <f t="shared" si="4"/>
        <v>5</v>
      </c>
      <c r="S221" s="61" t="str">
        <f t="shared" si="5"/>
        <v>2024-Q2</v>
      </c>
      <c r="T221" s="63" t="str">
        <f t="shared" si="6"/>
        <v>2024-05</v>
      </c>
      <c r="U221" s="64" t="str">
        <f t="shared" si="7"/>
        <v>2024-H1</v>
      </c>
      <c r="V221" s="9" t="str">
        <f>VLOOKUP(B221,Bounties!A:E,2,FALSE)</f>
        <v>Spanish Bounty</v>
      </c>
    </row>
    <row r="222" hidden="1">
      <c r="A222" s="67">
        <f>HYPERLINK("https://polkadot.subsquare.io/treasury/child-bounties/1181", 1181)</f>
        <v>1181</v>
      </c>
      <c r="B222" s="1">
        <v>42.0</v>
      </c>
      <c r="C222" s="1" t="s">
        <v>2414</v>
      </c>
      <c r="D222" s="1" t="s">
        <v>771</v>
      </c>
      <c r="E222" s="5">
        <v>4.13</v>
      </c>
      <c r="F222" s="4">
        <v>29.73919741630554</v>
      </c>
      <c r="G222" s="1" t="s">
        <v>2456</v>
      </c>
      <c r="H222" s="95">
        <v>45432.0</v>
      </c>
      <c r="I222" s="95">
        <v>45440.0</v>
      </c>
      <c r="J222" s="4">
        <v>28.856916508674622</v>
      </c>
      <c r="K222" s="1"/>
      <c r="L222" s="1"/>
      <c r="M222" s="1" t="str">
        <f>VLOOKUP(B222,Bounties!A:D,3,FALSE)</f>
        <v>Outreach</v>
      </c>
      <c r="N222" s="1" t="str">
        <f>VLOOKUP(B222,Bounties!A:D,4,FALSE)</f>
        <v>Media</v>
      </c>
      <c r="O222" s="1" t="str">
        <f t="shared" ref="O222:P222" si="226">IF(ISBLANK(K222),M222,K222)</f>
        <v>Outreach</v>
      </c>
      <c r="P222" s="1" t="str">
        <f t="shared" si="226"/>
        <v>Media</v>
      </c>
      <c r="Q222" s="61" t="str">
        <f t="shared" si="3"/>
        <v>2024</v>
      </c>
      <c r="R222" s="62">
        <f t="shared" si="4"/>
        <v>5</v>
      </c>
      <c r="S222" s="61" t="str">
        <f t="shared" si="5"/>
        <v>2024-Q2</v>
      </c>
      <c r="T222" s="63" t="str">
        <f t="shared" si="6"/>
        <v>2024-05</v>
      </c>
      <c r="U222" s="64" t="str">
        <f t="shared" si="7"/>
        <v>2024-H1</v>
      </c>
      <c r="V222" s="9" t="str">
        <f>VLOOKUP(B222,Bounties!A:E,2,FALSE)</f>
        <v>Spanish Bounty</v>
      </c>
    </row>
    <row r="223" hidden="1">
      <c r="A223" s="67">
        <f>HYPERLINK("https://polkadot.subsquare.io/treasury/child-bounties/1180", 1180)</f>
        <v>1180</v>
      </c>
      <c r="B223" s="1">
        <v>42.0</v>
      </c>
      <c r="C223" s="1" t="s">
        <v>2414</v>
      </c>
      <c r="D223" s="1" t="s">
        <v>770</v>
      </c>
      <c r="E223" s="5">
        <v>3.2</v>
      </c>
      <c r="F223" s="4">
        <v>23.042477416992188</v>
      </c>
      <c r="G223" s="1" t="s">
        <v>2450</v>
      </c>
      <c r="H223" s="95">
        <v>45432.0</v>
      </c>
      <c r="I223" s="95">
        <v>45440.0</v>
      </c>
      <c r="J223" s="4">
        <v>22.358869934082033</v>
      </c>
      <c r="K223" s="1"/>
      <c r="L223" s="1"/>
      <c r="M223" s="1" t="str">
        <f>VLOOKUP(B223,Bounties!A:D,3,FALSE)</f>
        <v>Outreach</v>
      </c>
      <c r="N223" s="1" t="str">
        <f>VLOOKUP(B223,Bounties!A:D,4,FALSE)</f>
        <v>Media</v>
      </c>
      <c r="O223" s="1" t="str">
        <f t="shared" ref="O223:P223" si="227">IF(ISBLANK(K223),M223,K223)</f>
        <v>Outreach</v>
      </c>
      <c r="P223" s="1" t="str">
        <f t="shared" si="227"/>
        <v>Media</v>
      </c>
      <c r="Q223" s="61" t="str">
        <f t="shared" si="3"/>
        <v>2024</v>
      </c>
      <c r="R223" s="62">
        <f t="shared" si="4"/>
        <v>5</v>
      </c>
      <c r="S223" s="61" t="str">
        <f t="shared" si="5"/>
        <v>2024-Q2</v>
      </c>
      <c r="T223" s="63" t="str">
        <f t="shared" si="6"/>
        <v>2024-05</v>
      </c>
      <c r="U223" s="64" t="str">
        <f t="shared" si="7"/>
        <v>2024-H1</v>
      </c>
      <c r="V223" s="9" t="str">
        <f>VLOOKUP(B223,Bounties!A:E,2,FALSE)</f>
        <v>Spanish Bounty</v>
      </c>
    </row>
    <row r="224" hidden="1">
      <c r="A224" s="67">
        <f>HYPERLINK("https://polkadot.subsquare.io/treasury/child-bounties/1179", 1179)</f>
        <v>1179</v>
      </c>
      <c r="B224" s="1">
        <v>42.0</v>
      </c>
      <c r="C224" s="1" t="s">
        <v>2414</v>
      </c>
      <c r="D224" s="1" t="s">
        <v>769</v>
      </c>
      <c r="E224" s="5">
        <v>3.8</v>
      </c>
      <c r="F224" s="4">
        <v>27.362941932678222</v>
      </c>
      <c r="G224" s="1" t="s">
        <v>2493</v>
      </c>
      <c r="H224" s="95">
        <v>45432.0</v>
      </c>
      <c r="I224" s="95">
        <v>45440.0</v>
      </c>
      <c r="J224" s="4">
        <v>26.55115804672241</v>
      </c>
      <c r="K224" s="1"/>
      <c r="L224" s="1"/>
      <c r="M224" s="1" t="str">
        <f>VLOOKUP(B224,Bounties!A:D,3,FALSE)</f>
        <v>Outreach</v>
      </c>
      <c r="N224" s="1" t="str">
        <f>VLOOKUP(B224,Bounties!A:D,4,FALSE)</f>
        <v>Media</v>
      </c>
      <c r="O224" s="1" t="str">
        <f t="shared" ref="O224:P224" si="228">IF(ISBLANK(K224),M224,K224)</f>
        <v>Outreach</v>
      </c>
      <c r="P224" s="1" t="str">
        <f t="shared" si="228"/>
        <v>Media</v>
      </c>
      <c r="Q224" s="61" t="str">
        <f t="shared" si="3"/>
        <v>2024</v>
      </c>
      <c r="R224" s="62">
        <f t="shared" si="4"/>
        <v>5</v>
      </c>
      <c r="S224" s="61" t="str">
        <f t="shared" si="5"/>
        <v>2024-Q2</v>
      </c>
      <c r="T224" s="63" t="str">
        <f t="shared" si="6"/>
        <v>2024-05</v>
      </c>
      <c r="U224" s="64" t="str">
        <f t="shared" si="7"/>
        <v>2024-H1</v>
      </c>
      <c r="V224" s="9" t="str">
        <f>VLOOKUP(B224,Bounties!A:E,2,FALSE)</f>
        <v>Spanish Bounty</v>
      </c>
    </row>
    <row r="225" hidden="1">
      <c r="A225" s="67">
        <f>HYPERLINK("https://polkadot.subsquare.io/treasury/child-bounties/1178", 1178)</f>
        <v>1178</v>
      </c>
      <c r="B225" s="1">
        <v>42.0</v>
      </c>
      <c r="C225" s="1" t="s">
        <v>2414</v>
      </c>
      <c r="D225" s="1" t="s">
        <v>768</v>
      </c>
      <c r="E225" s="5">
        <v>2.96</v>
      </c>
      <c r="F225" s="4">
        <v>21.314291610717774</v>
      </c>
      <c r="G225" s="1" t="s">
        <v>2559</v>
      </c>
      <c r="H225" s="95">
        <v>45432.0</v>
      </c>
      <c r="I225" s="95">
        <v>45440.0</v>
      </c>
      <c r="J225" s="4">
        <v>20.68195468902588</v>
      </c>
      <c r="K225" s="1"/>
      <c r="L225" s="1"/>
      <c r="M225" s="1" t="str">
        <f>VLOOKUP(B225,Bounties!A:D,3,FALSE)</f>
        <v>Outreach</v>
      </c>
      <c r="N225" s="1" t="str">
        <f>VLOOKUP(B225,Bounties!A:D,4,FALSE)</f>
        <v>Media</v>
      </c>
      <c r="O225" s="1" t="str">
        <f t="shared" ref="O225:P225" si="229">IF(ISBLANK(K225),M225,K225)</f>
        <v>Outreach</v>
      </c>
      <c r="P225" s="1" t="str">
        <f t="shared" si="229"/>
        <v>Media</v>
      </c>
      <c r="Q225" s="61" t="str">
        <f t="shared" si="3"/>
        <v>2024</v>
      </c>
      <c r="R225" s="62">
        <f t="shared" si="4"/>
        <v>5</v>
      </c>
      <c r="S225" s="61" t="str">
        <f t="shared" si="5"/>
        <v>2024-Q2</v>
      </c>
      <c r="T225" s="63" t="str">
        <f t="shared" si="6"/>
        <v>2024-05</v>
      </c>
      <c r="U225" s="64" t="str">
        <f t="shared" si="7"/>
        <v>2024-H1</v>
      </c>
      <c r="V225" s="9" t="str">
        <f>VLOOKUP(B225,Bounties!A:E,2,FALSE)</f>
        <v>Spanish Bounty</v>
      </c>
    </row>
    <row r="226" hidden="1">
      <c r="A226" s="67">
        <f>HYPERLINK("https://polkadot.subsquare.io/treasury/child-bounties/1177", 1177)</f>
        <v>1177</v>
      </c>
      <c r="B226" s="1">
        <v>42.0</v>
      </c>
      <c r="C226" s="1" t="s">
        <v>2414</v>
      </c>
      <c r="D226" s="1" t="s">
        <v>767</v>
      </c>
      <c r="E226" s="5">
        <v>15.42</v>
      </c>
      <c r="F226" s="4">
        <v>111.0359380531311</v>
      </c>
      <c r="G226" s="1" t="s">
        <v>2448</v>
      </c>
      <c r="H226" s="95">
        <v>45432.0</v>
      </c>
      <c r="I226" s="95">
        <v>45440.0</v>
      </c>
      <c r="J226" s="4">
        <v>107.74180449485779</v>
      </c>
      <c r="K226" s="1"/>
      <c r="L226" s="1"/>
      <c r="M226" s="1" t="str">
        <f>VLOOKUP(B226,Bounties!A:D,3,FALSE)</f>
        <v>Outreach</v>
      </c>
      <c r="N226" s="1" t="str">
        <f>VLOOKUP(B226,Bounties!A:D,4,FALSE)</f>
        <v>Media</v>
      </c>
      <c r="O226" s="1" t="str">
        <f t="shared" ref="O226:P226" si="230">IF(ISBLANK(K226),M226,K226)</f>
        <v>Outreach</v>
      </c>
      <c r="P226" s="1" t="str">
        <f t="shared" si="230"/>
        <v>Media</v>
      </c>
      <c r="Q226" s="61" t="str">
        <f t="shared" si="3"/>
        <v>2024</v>
      </c>
      <c r="R226" s="62">
        <f t="shared" si="4"/>
        <v>5</v>
      </c>
      <c r="S226" s="61" t="str">
        <f t="shared" si="5"/>
        <v>2024-Q2</v>
      </c>
      <c r="T226" s="63" t="str">
        <f t="shared" si="6"/>
        <v>2024-05</v>
      </c>
      <c r="U226" s="64" t="str">
        <f t="shared" si="7"/>
        <v>2024-H1</v>
      </c>
      <c r="V226" s="9" t="str">
        <f>VLOOKUP(B226,Bounties!A:E,2,FALSE)</f>
        <v>Spanish Bounty</v>
      </c>
    </row>
    <row r="227" hidden="1">
      <c r="A227" s="67">
        <f>HYPERLINK("https://polkadot.subsquare.io/treasury/child-bounties/1176", 1176)</f>
        <v>1176</v>
      </c>
      <c r="B227" s="1">
        <v>42.0</v>
      </c>
      <c r="C227" s="1" t="s">
        <v>2414</v>
      </c>
      <c r="D227" s="1" t="s">
        <v>766</v>
      </c>
      <c r="E227" s="5">
        <v>13.21</v>
      </c>
      <c r="F227" s="4">
        <v>95.12222708702087</v>
      </c>
      <c r="G227" s="1" t="s">
        <v>2452</v>
      </c>
      <c r="H227" s="95">
        <v>45432.0</v>
      </c>
      <c r="I227" s="95">
        <v>45440.0</v>
      </c>
      <c r="J227" s="4">
        <v>92.30020994663239</v>
      </c>
      <c r="K227" s="1"/>
      <c r="L227" s="1"/>
      <c r="M227" s="1" t="str">
        <f>VLOOKUP(B227,Bounties!A:D,3,FALSE)</f>
        <v>Outreach</v>
      </c>
      <c r="N227" s="1" t="str">
        <f>VLOOKUP(B227,Bounties!A:D,4,FALSE)</f>
        <v>Media</v>
      </c>
      <c r="O227" s="1" t="str">
        <f t="shared" ref="O227:P227" si="231">IF(ISBLANK(K227),M227,K227)</f>
        <v>Outreach</v>
      </c>
      <c r="P227" s="1" t="str">
        <f t="shared" si="231"/>
        <v>Media</v>
      </c>
      <c r="Q227" s="61" t="str">
        <f t="shared" si="3"/>
        <v>2024</v>
      </c>
      <c r="R227" s="62">
        <f t="shared" si="4"/>
        <v>5</v>
      </c>
      <c r="S227" s="61" t="str">
        <f t="shared" si="5"/>
        <v>2024-Q2</v>
      </c>
      <c r="T227" s="63" t="str">
        <f t="shared" si="6"/>
        <v>2024-05</v>
      </c>
      <c r="U227" s="64" t="str">
        <f t="shared" si="7"/>
        <v>2024-H1</v>
      </c>
      <c r="V227" s="9" t="str">
        <f>VLOOKUP(B227,Bounties!A:E,2,FALSE)</f>
        <v>Spanish Bounty</v>
      </c>
    </row>
    <row r="228" hidden="1">
      <c r="A228" s="67">
        <f>HYPERLINK("https://polkadot.subsquare.io/treasury/child-bounties/1175", 1175)</f>
        <v>1175</v>
      </c>
      <c r="B228" s="1">
        <v>42.0</v>
      </c>
      <c r="C228" s="1" t="s">
        <v>2414</v>
      </c>
      <c r="D228" s="1" t="s">
        <v>765</v>
      </c>
      <c r="E228" s="5">
        <v>2.024</v>
      </c>
      <c r="F228" s="4">
        <v>14.574366966247558</v>
      </c>
      <c r="G228" s="1" t="s">
        <v>2560</v>
      </c>
      <c r="H228" s="95">
        <v>45432.0</v>
      </c>
      <c r="I228" s="95">
        <v>45440.0</v>
      </c>
      <c r="J228" s="4">
        <v>14.141985233306885</v>
      </c>
      <c r="K228" s="1"/>
      <c r="L228" s="1"/>
      <c r="M228" s="1" t="str">
        <f>VLOOKUP(B228,Bounties!A:D,3,FALSE)</f>
        <v>Outreach</v>
      </c>
      <c r="N228" s="1" t="str">
        <f>VLOOKUP(B228,Bounties!A:D,4,FALSE)</f>
        <v>Media</v>
      </c>
      <c r="O228" s="1" t="str">
        <f t="shared" ref="O228:P228" si="232">IF(ISBLANK(K228),M228,K228)</f>
        <v>Outreach</v>
      </c>
      <c r="P228" s="1" t="str">
        <f t="shared" si="232"/>
        <v>Media</v>
      </c>
      <c r="Q228" s="61" t="str">
        <f t="shared" si="3"/>
        <v>2024</v>
      </c>
      <c r="R228" s="62">
        <f t="shared" si="4"/>
        <v>5</v>
      </c>
      <c r="S228" s="61" t="str">
        <f t="shared" si="5"/>
        <v>2024-Q2</v>
      </c>
      <c r="T228" s="63" t="str">
        <f t="shared" si="6"/>
        <v>2024-05</v>
      </c>
      <c r="U228" s="64" t="str">
        <f t="shared" si="7"/>
        <v>2024-H1</v>
      </c>
      <c r="V228" s="9" t="str">
        <f>VLOOKUP(B228,Bounties!A:E,2,FALSE)</f>
        <v>Spanish Bounty</v>
      </c>
    </row>
    <row r="229" hidden="1">
      <c r="A229" s="67">
        <f>HYPERLINK("https://polkadot.subsquare.io/treasury/child-bounties/1174", 1174)</f>
        <v>1174</v>
      </c>
      <c r="B229" s="1">
        <v>42.0</v>
      </c>
      <c r="C229" s="1" t="s">
        <v>2414</v>
      </c>
      <c r="D229" s="1" t="s">
        <v>764</v>
      </c>
      <c r="E229" s="5">
        <v>29.73</v>
      </c>
      <c r="F229" s="4">
        <v>214.07901675224304</v>
      </c>
      <c r="G229" s="1" t="s">
        <v>2453</v>
      </c>
      <c r="H229" s="95">
        <v>45432.0</v>
      </c>
      <c r="I229" s="95">
        <v>45440.0</v>
      </c>
      <c r="J229" s="4">
        <v>207.72787598133087</v>
      </c>
      <c r="K229" s="1"/>
      <c r="L229" s="1"/>
      <c r="M229" s="1" t="str">
        <f>VLOOKUP(B229,Bounties!A:D,3,FALSE)</f>
        <v>Outreach</v>
      </c>
      <c r="N229" s="1" t="str">
        <f>VLOOKUP(B229,Bounties!A:D,4,FALSE)</f>
        <v>Media</v>
      </c>
      <c r="O229" s="1" t="str">
        <f t="shared" ref="O229:P229" si="233">IF(ISBLANK(K229),M229,K229)</f>
        <v>Outreach</v>
      </c>
      <c r="P229" s="1" t="str">
        <f t="shared" si="233"/>
        <v>Media</v>
      </c>
      <c r="Q229" s="61" t="str">
        <f t="shared" si="3"/>
        <v>2024</v>
      </c>
      <c r="R229" s="62">
        <f t="shared" si="4"/>
        <v>5</v>
      </c>
      <c r="S229" s="61" t="str">
        <f t="shared" si="5"/>
        <v>2024-Q2</v>
      </c>
      <c r="T229" s="63" t="str">
        <f t="shared" si="6"/>
        <v>2024-05</v>
      </c>
      <c r="U229" s="64" t="str">
        <f t="shared" si="7"/>
        <v>2024-H1</v>
      </c>
      <c r="V229" s="9" t="str">
        <f>VLOOKUP(B229,Bounties!A:E,2,FALSE)</f>
        <v>Spanish Bounty</v>
      </c>
    </row>
    <row r="230" hidden="1">
      <c r="A230" s="67">
        <f>HYPERLINK("https://polkadot.subsquare.io/treasury/child-bounties/1173", 1173)</f>
        <v>1173</v>
      </c>
      <c r="B230" s="1">
        <v>42.0</v>
      </c>
      <c r="C230" s="1" t="s">
        <v>2414</v>
      </c>
      <c r="D230" s="1" t="s">
        <v>764</v>
      </c>
      <c r="E230" s="5">
        <v>17.56</v>
      </c>
      <c r="F230" s="4">
        <v>126.44559482574462</v>
      </c>
      <c r="G230" s="1" t="s">
        <v>2491</v>
      </c>
      <c r="H230" s="95">
        <v>45432.0</v>
      </c>
      <c r="I230" s="95">
        <v>45440.0</v>
      </c>
      <c r="J230" s="4">
        <v>122.69429876327514</v>
      </c>
      <c r="K230" s="1"/>
      <c r="L230" s="1"/>
      <c r="M230" s="1" t="str">
        <f>VLOOKUP(B230,Bounties!A:D,3,FALSE)</f>
        <v>Outreach</v>
      </c>
      <c r="N230" s="1" t="str">
        <f>VLOOKUP(B230,Bounties!A:D,4,FALSE)</f>
        <v>Media</v>
      </c>
      <c r="O230" s="1" t="str">
        <f t="shared" ref="O230:P230" si="234">IF(ISBLANK(K230),M230,K230)</f>
        <v>Outreach</v>
      </c>
      <c r="P230" s="1" t="str">
        <f t="shared" si="234"/>
        <v>Media</v>
      </c>
      <c r="Q230" s="61" t="str">
        <f t="shared" si="3"/>
        <v>2024</v>
      </c>
      <c r="R230" s="62">
        <f t="shared" si="4"/>
        <v>5</v>
      </c>
      <c r="S230" s="61" t="str">
        <f t="shared" si="5"/>
        <v>2024-Q2</v>
      </c>
      <c r="T230" s="63" t="str">
        <f t="shared" si="6"/>
        <v>2024-05</v>
      </c>
      <c r="U230" s="64" t="str">
        <f t="shared" si="7"/>
        <v>2024-H1</v>
      </c>
      <c r="V230" s="9" t="str">
        <f>VLOOKUP(B230,Bounties!A:E,2,FALSE)</f>
        <v>Spanish Bounty</v>
      </c>
    </row>
    <row r="231" hidden="1">
      <c r="A231" s="67">
        <f>HYPERLINK("https://polkadot.subsquare.io/treasury/child-bounties/1172", 1172)</f>
        <v>1172</v>
      </c>
      <c r="B231" s="1">
        <v>42.0</v>
      </c>
      <c r="C231" s="1" t="s">
        <v>2414</v>
      </c>
      <c r="D231" s="1" t="s">
        <v>764</v>
      </c>
      <c r="E231" s="5">
        <v>20.48</v>
      </c>
      <c r="F231" s="4">
        <v>147.47185546875</v>
      </c>
      <c r="G231" s="1" t="s">
        <v>2493</v>
      </c>
      <c r="H231" s="95">
        <v>45432.0</v>
      </c>
      <c r="I231" s="95">
        <v>45440.0</v>
      </c>
      <c r="J231" s="4">
        <v>143.096767578125</v>
      </c>
      <c r="K231" s="1"/>
      <c r="L231" s="1"/>
      <c r="M231" s="1" t="str">
        <f>VLOOKUP(B231,Bounties!A:D,3,FALSE)</f>
        <v>Outreach</v>
      </c>
      <c r="N231" s="1" t="str">
        <f>VLOOKUP(B231,Bounties!A:D,4,FALSE)</f>
        <v>Media</v>
      </c>
      <c r="O231" s="1" t="str">
        <f t="shared" ref="O231:P231" si="235">IF(ISBLANK(K231),M231,K231)</f>
        <v>Outreach</v>
      </c>
      <c r="P231" s="1" t="str">
        <f t="shared" si="235"/>
        <v>Media</v>
      </c>
      <c r="Q231" s="61" t="str">
        <f t="shared" si="3"/>
        <v>2024</v>
      </c>
      <c r="R231" s="62">
        <f t="shared" si="4"/>
        <v>5</v>
      </c>
      <c r="S231" s="61" t="str">
        <f t="shared" si="5"/>
        <v>2024-Q2</v>
      </c>
      <c r="T231" s="63" t="str">
        <f t="shared" si="6"/>
        <v>2024-05</v>
      </c>
      <c r="U231" s="64" t="str">
        <f t="shared" si="7"/>
        <v>2024-H1</v>
      </c>
      <c r="V231" s="9" t="str">
        <f>VLOOKUP(B231,Bounties!A:E,2,FALSE)</f>
        <v>Spanish Bounty</v>
      </c>
    </row>
    <row r="232" hidden="1">
      <c r="A232" s="67">
        <f>HYPERLINK("https://polkadot.subsquare.io/treasury/child-bounties/1171", 1171)</f>
        <v>1171</v>
      </c>
      <c r="B232" s="1">
        <v>17.0</v>
      </c>
      <c r="C232" s="1" t="s">
        <v>2460</v>
      </c>
      <c r="D232" s="1" t="s">
        <v>2561</v>
      </c>
      <c r="E232" s="5">
        <v>715.4</v>
      </c>
      <c r="F232" s="4">
        <v>5332.9286330223085</v>
      </c>
      <c r="G232" s="1" t="s">
        <v>2562</v>
      </c>
      <c r="H232" s="95">
        <v>45431.0</v>
      </c>
      <c r="I232" s="95">
        <v>45439.0</v>
      </c>
      <c r="J232" s="4">
        <v>5131.1506503105165</v>
      </c>
      <c r="K232" s="1"/>
      <c r="L232" s="1"/>
      <c r="M232" s="1" t="str">
        <f>VLOOKUP(B232,Bounties!A:D,3,FALSE)</f>
        <v>Outreach</v>
      </c>
      <c r="N232" s="1" t="str">
        <f>VLOOKUP(B232,Bounties!A:D,4,FALSE)</f>
        <v>Events/Meetups</v>
      </c>
      <c r="O232" s="1" t="str">
        <f t="shared" ref="O232:P232" si="236">IF(ISBLANK(K232),M232,K232)</f>
        <v>Outreach</v>
      </c>
      <c r="P232" s="1" t="str">
        <f t="shared" si="236"/>
        <v>Events/Meetups</v>
      </c>
      <c r="Q232" s="61" t="str">
        <f t="shared" si="3"/>
        <v>2024</v>
      </c>
      <c r="R232" s="62">
        <f t="shared" si="4"/>
        <v>5</v>
      </c>
      <c r="S232" s="61" t="str">
        <f t="shared" si="5"/>
        <v>2024-Q2</v>
      </c>
      <c r="T232" s="63" t="str">
        <f t="shared" si="6"/>
        <v>2024-05</v>
      </c>
      <c r="U232" s="64" t="str">
        <f t="shared" si="7"/>
        <v>2024-H1</v>
      </c>
      <c r="V232" s="9" t="str">
        <f>VLOOKUP(B232,Bounties!A:E,2,FALSE)</f>
        <v>Events Bounty</v>
      </c>
    </row>
    <row r="233" hidden="1">
      <c r="A233" s="67">
        <f>HYPERLINK("https://polkadot.subsquare.io/treasury/child-bounties/1170", 1170)</f>
        <v>1170</v>
      </c>
      <c r="B233" s="1">
        <v>17.0</v>
      </c>
      <c r="C233" s="1" t="s">
        <v>2508</v>
      </c>
      <c r="D233" s="1" t="s">
        <v>798</v>
      </c>
      <c r="E233" s="5">
        <v>11464.0</v>
      </c>
      <c r="F233" s="4">
        <v>85458.05681991577</v>
      </c>
      <c r="G233" s="1"/>
      <c r="H233" s="95">
        <v>45431.0</v>
      </c>
      <c r="I233" s="95">
        <v>45439.0</v>
      </c>
      <c r="J233" s="4">
        <v>82224.64503097534</v>
      </c>
      <c r="K233" s="1"/>
      <c r="L233" s="1"/>
      <c r="M233" s="1" t="str">
        <f>VLOOKUP(B233,Bounties!A:D,3,FALSE)</f>
        <v>Outreach</v>
      </c>
      <c r="N233" s="1" t="str">
        <f>VLOOKUP(B233,Bounties!A:D,4,FALSE)</f>
        <v>Events/Meetups</v>
      </c>
      <c r="O233" s="1" t="str">
        <f t="shared" ref="O233:P233" si="237">IF(ISBLANK(K233),M233,K233)</f>
        <v>Outreach</v>
      </c>
      <c r="P233" s="1" t="str">
        <f t="shared" si="237"/>
        <v>Events/Meetups</v>
      </c>
      <c r="Q233" s="61" t="str">
        <f t="shared" si="3"/>
        <v>2024</v>
      </c>
      <c r="R233" s="62">
        <f t="shared" si="4"/>
        <v>5</v>
      </c>
      <c r="S233" s="61" t="str">
        <f t="shared" si="5"/>
        <v>2024-Q2</v>
      </c>
      <c r="T233" s="63" t="str">
        <f t="shared" si="6"/>
        <v>2024-05</v>
      </c>
      <c r="U233" s="64" t="str">
        <f t="shared" si="7"/>
        <v>2024-H1</v>
      </c>
      <c r="V233" s="9" t="str">
        <f>VLOOKUP(B233,Bounties!A:E,2,FALSE)</f>
        <v>Events Bounty</v>
      </c>
    </row>
    <row r="234" hidden="1">
      <c r="A234" s="67">
        <f>HYPERLINK("https://polkadot.subsquare.io/treasury/child-bounties/1169", 1169)</f>
        <v>1169</v>
      </c>
      <c r="B234" s="1">
        <v>19.0</v>
      </c>
      <c r="C234" s="1" t="s">
        <v>2460</v>
      </c>
      <c r="D234" s="1" t="s">
        <v>2563</v>
      </c>
      <c r="E234" s="5">
        <v>1409.0</v>
      </c>
      <c r="F234" s="4">
        <v>10727.649428367615</v>
      </c>
      <c r="G234" s="1" t="s">
        <v>2564</v>
      </c>
      <c r="H234" s="95">
        <v>45431.0</v>
      </c>
      <c r="I234" s="95">
        <v>45431.0</v>
      </c>
      <c r="J234" s="4">
        <v>10727.649428367615</v>
      </c>
      <c r="K234" s="1"/>
      <c r="L234" s="1"/>
      <c r="M234" s="1" t="str">
        <f>VLOOKUP(B234,Bounties!A:D,3,FALSE)</f>
        <v>Development</v>
      </c>
      <c r="N234" s="1" t="str">
        <f>VLOOKUP(B234,Bounties!A:D,4,FALSE)</f>
        <v>Smart Contracts</v>
      </c>
      <c r="O234" s="1" t="str">
        <f t="shared" ref="O234:P234" si="238">IF(ISBLANK(K234),M234,K234)</f>
        <v>Development</v>
      </c>
      <c r="P234" s="1" t="str">
        <f t="shared" si="238"/>
        <v>Smart Contracts</v>
      </c>
      <c r="Q234" s="61" t="str">
        <f t="shared" si="3"/>
        <v>2024</v>
      </c>
      <c r="R234" s="62">
        <f t="shared" si="4"/>
        <v>5</v>
      </c>
      <c r="S234" s="61" t="str">
        <f t="shared" si="5"/>
        <v>2024-Q2</v>
      </c>
      <c r="T234" s="63" t="str">
        <f t="shared" si="6"/>
        <v>2024-05</v>
      </c>
      <c r="U234" s="64" t="str">
        <f t="shared" si="7"/>
        <v>2024-H1</v>
      </c>
      <c r="V234" s="9" t="str">
        <f>VLOOKUP(B234,Bounties!A:E,2,FALSE)</f>
        <v>Wasm Smart Contracts Bounty</v>
      </c>
    </row>
    <row r="235" hidden="1">
      <c r="A235" s="67">
        <f>HYPERLINK("https://polkadot.subsquare.io/treasury/child-bounties/1168", 1168)</f>
        <v>1168</v>
      </c>
      <c r="B235" s="1">
        <v>46.0</v>
      </c>
      <c r="C235" s="1" t="s">
        <v>2414</v>
      </c>
      <c r="D235" s="1" t="s">
        <v>763</v>
      </c>
      <c r="E235" s="5">
        <v>97605.0</v>
      </c>
      <c r="F235" s="4">
        <v>699042.4198722839</v>
      </c>
      <c r="G235" s="1" t="s">
        <v>2565</v>
      </c>
      <c r="H235" s="95">
        <v>45428.0</v>
      </c>
      <c r="I235" s="95">
        <v>45438.0</v>
      </c>
      <c r="J235" s="4">
        <v>700064.2426943779</v>
      </c>
      <c r="K235" s="1"/>
      <c r="L235" s="1"/>
      <c r="M235" s="1" t="str">
        <f>VLOOKUP(B235,Bounties!A:D,3,FALSE)</f>
        <v>Outreach</v>
      </c>
      <c r="N235" s="1" t="str">
        <f>VLOOKUP(B235,Bounties!A:D,4,FALSE)</f>
        <v>Advertising</v>
      </c>
      <c r="O235" s="1" t="str">
        <f t="shared" ref="O235:P235" si="239">IF(ISBLANK(K235),M235,K235)</f>
        <v>Outreach</v>
      </c>
      <c r="P235" s="1" t="str">
        <f t="shared" si="239"/>
        <v>Advertising</v>
      </c>
      <c r="Q235" s="61" t="str">
        <f t="shared" si="3"/>
        <v>2024</v>
      </c>
      <c r="R235" s="62">
        <f t="shared" si="4"/>
        <v>5</v>
      </c>
      <c r="S235" s="61" t="str">
        <f t="shared" si="5"/>
        <v>2024-Q2</v>
      </c>
      <c r="T235" s="63" t="str">
        <f t="shared" si="6"/>
        <v>2024-05</v>
      </c>
      <c r="U235" s="64" t="str">
        <f t="shared" si="7"/>
        <v>2024-H1</v>
      </c>
      <c r="V235" s="9" t="str">
        <f>VLOOKUP(B235,Bounties!A:E,2,FALSE)</f>
        <v>AMI Bounty</v>
      </c>
    </row>
    <row r="236" hidden="1">
      <c r="A236" s="67">
        <f>HYPERLINK("https://polkadot.subsquare.io/treasury/child-bounties/1167", 1167)</f>
        <v>1167</v>
      </c>
      <c r="B236" s="1">
        <v>17.0</v>
      </c>
      <c r="C236" s="1" t="s">
        <v>2414</v>
      </c>
      <c r="D236" s="1" t="s">
        <v>762</v>
      </c>
      <c r="E236" s="5">
        <v>369.8</v>
      </c>
      <c r="F236" s="4">
        <v>2648.490209197998</v>
      </c>
      <c r="G236" s="1" t="s">
        <v>2566</v>
      </c>
      <c r="H236" s="95">
        <v>45427.0</v>
      </c>
      <c r="I236" s="95">
        <v>45452.0</v>
      </c>
      <c r="J236" s="4">
        <v>2493.086895465851</v>
      </c>
      <c r="K236" s="1"/>
      <c r="L236" s="1"/>
      <c r="M236" s="1" t="str">
        <f>VLOOKUP(B236,Bounties!A:D,3,FALSE)</f>
        <v>Outreach</v>
      </c>
      <c r="N236" s="1" t="str">
        <f>VLOOKUP(B236,Bounties!A:D,4,FALSE)</f>
        <v>Events/Meetups</v>
      </c>
      <c r="O236" s="1" t="str">
        <f t="shared" ref="O236:P236" si="240">IF(ISBLANK(K236),M236,K236)</f>
        <v>Outreach</v>
      </c>
      <c r="P236" s="1" t="str">
        <f t="shared" si="240"/>
        <v>Events/Meetups</v>
      </c>
      <c r="Q236" s="61" t="str">
        <f t="shared" si="3"/>
        <v>2024</v>
      </c>
      <c r="R236" s="62">
        <f t="shared" si="4"/>
        <v>6</v>
      </c>
      <c r="S236" s="61" t="str">
        <f t="shared" si="5"/>
        <v>2024-Q2</v>
      </c>
      <c r="T236" s="63" t="str">
        <f t="shared" si="6"/>
        <v>2024-06</v>
      </c>
      <c r="U236" s="64" t="str">
        <f t="shared" si="7"/>
        <v>2024-H1</v>
      </c>
      <c r="V236" s="9" t="str">
        <f>VLOOKUP(B236,Bounties!A:E,2,FALSE)</f>
        <v>Events Bounty</v>
      </c>
    </row>
    <row r="237" hidden="1">
      <c r="A237" s="67">
        <f>HYPERLINK("https://polkadot.subsquare.io/treasury/child-bounties/1166", 1166)</f>
        <v>1166</v>
      </c>
      <c r="B237" s="1">
        <v>17.0</v>
      </c>
      <c r="C237" s="1" t="s">
        <v>2414</v>
      </c>
      <c r="D237" s="1" t="s">
        <v>761</v>
      </c>
      <c r="E237" s="5">
        <v>2281.5</v>
      </c>
      <c r="F237" s="4">
        <v>16339.995706558228</v>
      </c>
      <c r="G237" s="1" t="s">
        <v>2567</v>
      </c>
      <c r="H237" s="95">
        <v>45427.0</v>
      </c>
      <c r="I237" s="95">
        <v>45440.0</v>
      </c>
      <c r="J237" s="4">
        <v>15965.617486953735</v>
      </c>
      <c r="K237" s="1"/>
      <c r="L237" s="1"/>
      <c r="M237" s="1" t="str">
        <f>VLOOKUP(B237,Bounties!A:D,3,FALSE)</f>
        <v>Outreach</v>
      </c>
      <c r="N237" s="1" t="str">
        <f>VLOOKUP(B237,Bounties!A:D,4,FALSE)</f>
        <v>Events/Meetups</v>
      </c>
      <c r="O237" s="1" t="str">
        <f t="shared" ref="O237:P237" si="241">IF(ISBLANK(K237),M237,K237)</f>
        <v>Outreach</v>
      </c>
      <c r="P237" s="1" t="str">
        <f t="shared" si="241"/>
        <v>Events/Meetups</v>
      </c>
      <c r="Q237" s="61" t="str">
        <f t="shared" si="3"/>
        <v>2024</v>
      </c>
      <c r="R237" s="62">
        <f t="shared" si="4"/>
        <v>5</v>
      </c>
      <c r="S237" s="61" t="str">
        <f t="shared" si="5"/>
        <v>2024-Q2</v>
      </c>
      <c r="T237" s="63" t="str">
        <f t="shared" si="6"/>
        <v>2024-05</v>
      </c>
      <c r="U237" s="64" t="str">
        <f t="shared" si="7"/>
        <v>2024-H1</v>
      </c>
      <c r="V237" s="9" t="str">
        <f>VLOOKUP(B237,Bounties!A:E,2,FALSE)</f>
        <v>Events Bounty</v>
      </c>
    </row>
    <row r="238" hidden="1">
      <c r="A238" s="67">
        <f>HYPERLINK("https://polkadot.subsquare.io/treasury/child-bounties/1165", 1165)</f>
        <v>1165</v>
      </c>
      <c r="B238" s="1">
        <v>42.0</v>
      </c>
      <c r="C238" s="1" t="s">
        <v>2414</v>
      </c>
      <c r="D238" s="1" t="s">
        <v>760</v>
      </c>
      <c r="E238" s="5">
        <v>23.78</v>
      </c>
      <c r="F238" s="4">
        <v>170.31124168395996</v>
      </c>
      <c r="G238" s="1" t="s">
        <v>2560</v>
      </c>
      <c r="H238" s="95">
        <v>45427.0</v>
      </c>
      <c r="I238" s="95">
        <v>45438.0</v>
      </c>
      <c r="J238" s="4">
        <v>175.18899734497072</v>
      </c>
      <c r="K238" s="1"/>
      <c r="L238" s="1"/>
      <c r="M238" s="1" t="str">
        <f>VLOOKUP(B238,Bounties!A:D,3,FALSE)</f>
        <v>Outreach</v>
      </c>
      <c r="N238" s="1" t="str">
        <f>VLOOKUP(B238,Bounties!A:D,4,FALSE)</f>
        <v>Media</v>
      </c>
      <c r="O238" s="1" t="str">
        <f t="shared" ref="O238:P238" si="242">IF(ISBLANK(K238),M238,K238)</f>
        <v>Outreach</v>
      </c>
      <c r="P238" s="1" t="str">
        <f t="shared" si="242"/>
        <v>Media</v>
      </c>
      <c r="Q238" s="61" t="str">
        <f t="shared" si="3"/>
        <v>2024</v>
      </c>
      <c r="R238" s="62">
        <f t="shared" si="4"/>
        <v>5</v>
      </c>
      <c r="S238" s="61" t="str">
        <f t="shared" si="5"/>
        <v>2024-Q2</v>
      </c>
      <c r="T238" s="63" t="str">
        <f t="shared" si="6"/>
        <v>2024-05</v>
      </c>
      <c r="U238" s="64" t="str">
        <f t="shared" si="7"/>
        <v>2024-H1</v>
      </c>
      <c r="V238" s="9" t="str">
        <f>VLOOKUP(B238,Bounties!A:E,2,FALSE)</f>
        <v>Spanish Bounty</v>
      </c>
    </row>
    <row r="239" hidden="1">
      <c r="A239" s="67">
        <f>HYPERLINK("https://polkadot.subsquare.io/treasury/child-bounties/1164", 1164)</f>
        <v>1164</v>
      </c>
      <c r="B239" s="1">
        <v>43.0</v>
      </c>
      <c r="C239" s="1" t="s">
        <v>2414</v>
      </c>
      <c r="D239" s="1" t="s">
        <v>759</v>
      </c>
      <c r="E239" s="5">
        <v>36.4</v>
      </c>
      <c r="F239" s="4">
        <v>261.96191425323485</v>
      </c>
      <c r="G239" s="1" t="s">
        <v>2568</v>
      </c>
      <c r="H239" s="95">
        <v>45426.0</v>
      </c>
      <c r="I239" s="95">
        <v>45438.0</v>
      </c>
      <c r="J239" s="4">
        <v>261.0761583328247</v>
      </c>
      <c r="K239" s="1"/>
      <c r="L239" s="1"/>
      <c r="M239" s="1" t="str">
        <f>VLOOKUP(B239,Bounties!A:D,3,FALSE)</f>
        <v>Outreach</v>
      </c>
      <c r="N239" s="1" t="str">
        <f>VLOOKUP(B239,Bounties!A:D,4,FALSE)</f>
        <v>Events/Meetups</v>
      </c>
      <c r="O239" s="1" t="str">
        <f t="shared" ref="O239:P239" si="243">IF(ISBLANK(K239),M239,K239)</f>
        <v>Outreach</v>
      </c>
      <c r="P239" s="1" t="str">
        <f t="shared" si="243"/>
        <v>Events/Meetups</v>
      </c>
      <c r="Q239" s="61" t="str">
        <f t="shared" si="3"/>
        <v>2024</v>
      </c>
      <c r="R239" s="62">
        <f t="shared" si="4"/>
        <v>5</v>
      </c>
      <c r="S239" s="61" t="str">
        <f t="shared" si="5"/>
        <v>2024-Q2</v>
      </c>
      <c r="T239" s="63" t="str">
        <f t="shared" si="6"/>
        <v>2024-05</v>
      </c>
      <c r="U239" s="64" t="str">
        <f t="shared" si="7"/>
        <v>2024-H1</v>
      </c>
      <c r="V239" s="9" t="str">
        <f>VLOOKUP(B239,Bounties!A:E,2,FALSE)</f>
        <v>Meetups Bounty</v>
      </c>
    </row>
    <row r="240" hidden="1">
      <c r="A240" s="67">
        <f>HYPERLINK("https://polkadot.subsquare.io/treasury/child-bounties/1163", 1163)</f>
        <v>1163</v>
      </c>
      <c r="B240" s="1">
        <v>42.0</v>
      </c>
      <c r="C240" s="1" t="s">
        <v>2414</v>
      </c>
      <c r="D240" s="1" t="s">
        <v>758</v>
      </c>
      <c r="E240" s="5">
        <v>8.03</v>
      </c>
      <c r="F240" s="4">
        <v>57.78994976520538</v>
      </c>
      <c r="G240" s="1" t="s">
        <v>2455</v>
      </c>
      <c r="H240" s="95">
        <v>45426.0</v>
      </c>
      <c r="I240" s="95">
        <v>45434.0</v>
      </c>
      <c r="J240" s="4">
        <v>59.64794636726379</v>
      </c>
      <c r="K240" s="1"/>
      <c r="L240" s="1"/>
      <c r="M240" s="1" t="str">
        <f>VLOOKUP(B240,Bounties!A:D,3,FALSE)</f>
        <v>Outreach</v>
      </c>
      <c r="N240" s="1" t="str">
        <f>VLOOKUP(B240,Bounties!A:D,4,FALSE)</f>
        <v>Media</v>
      </c>
      <c r="O240" s="1" t="str">
        <f t="shared" ref="O240:P240" si="244">IF(ISBLANK(K240),M240,K240)</f>
        <v>Outreach</v>
      </c>
      <c r="P240" s="1" t="str">
        <f t="shared" si="244"/>
        <v>Media</v>
      </c>
      <c r="Q240" s="61" t="str">
        <f t="shared" si="3"/>
        <v>2024</v>
      </c>
      <c r="R240" s="62">
        <f t="shared" si="4"/>
        <v>5</v>
      </c>
      <c r="S240" s="61" t="str">
        <f t="shared" si="5"/>
        <v>2024-Q2</v>
      </c>
      <c r="T240" s="63" t="str">
        <f t="shared" si="6"/>
        <v>2024-05</v>
      </c>
      <c r="U240" s="64" t="str">
        <f t="shared" si="7"/>
        <v>2024-H1</v>
      </c>
      <c r="V240" s="9" t="str">
        <f>VLOOKUP(B240,Bounties!A:E,2,FALSE)</f>
        <v>Spanish Bounty</v>
      </c>
    </row>
    <row r="241" hidden="1">
      <c r="A241" s="67">
        <f>HYPERLINK("https://polkadot.subsquare.io/treasury/child-bounties/1162", 1162)</f>
        <v>1162</v>
      </c>
      <c r="B241" s="1">
        <v>42.0</v>
      </c>
      <c r="C241" s="1" t="s">
        <v>2414</v>
      </c>
      <c r="D241" s="1" t="s">
        <v>757</v>
      </c>
      <c r="E241" s="5">
        <v>25.04</v>
      </c>
      <c r="F241" s="4">
        <v>180.20676738739013</v>
      </c>
      <c r="G241" s="1" t="s">
        <v>2450</v>
      </c>
      <c r="H241" s="95">
        <v>45426.0</v>
      </c>
      <c r="I241" s="95">
        <v>45434.0</v>
      </c>
      <c r="J241" s="4">
        <v>186.00056999206544</v>
      </c>
      <c r="K241" s="1"/>
      <c r="L241" s="1"/>
      <c r="M241" s="1" t="str">
        <f>VLOOKUP(B241,Bounties!A:D,3,FALSE)</f>
        <v>Outreach</v>
      </c>
      <c r="N241" s="1" t="str">
        <f>VLOOKUP(B241,Bounties!A:D,4,FALSE)</f>
        <v>Media</v>
      </c>
      <c r="O241" s="1" t="str">
        <f t="shared" ref="O241:P241" si="245">IF(ISBLANK(K241),M241,K241)</f>
        <v>Outreach</v>
      </c>
      <c r="P241" s="1" t="str">
        <f t="shared" si="245"/>
        <v>Media</v>
      </c>
      <c r="Q241" s="61" t="str">
        <f t="shared" si="3"/>
        <v>2024</v>
      </c>
      <c r="R241" s="62">
        <f t="shared" si="4"/>
        <v>5</v>
      </c>
      <c r="S241" s="61" t="str">
        <f t="shared" si="5"/>
        <v>2024-Q2</v>
      </c>
      <c r="T241" s="63" t="str">
        <f t="shared" si="6"/>
        <v>2024-05</v>
      </c>
      <c r="U241" s="64" t="str">
        <f t="shared" si="7"/>
        <v>2024-H1</v>
      </c>
      <c r="V241" s="9" t="str">
        <f>VLOOKUP(B241,Bounties!A:E,2,FALSE)</f>
        <v>Spanish Bounty</v>
      </c>
    </row>
    <row r="242" hidden="1">
      <c r="A242" s="67">
        <f>HYPERLINK("https://polkadot.subsquare.io/treasury/child-bounties/1161", 1161)</f>
        <v>1161</v>
      </c>
      <c r="B242" s="1">
        <v>42.0</v>
      </c>
      <c r="C242" s="1" t="s">
        <v>2414</v>
      </c>
      <c r="D242" s="1" t="s">
        <v>756</v>
      </c>
      <c r="E242" s="5">
        <v>16.07</v>
      </c>
      <c r="F242" s="4">
        <v>115.65186708927155</v>
      </c>
      <c r="G242" s="1" t="s">
        <v>2452</v>
      </c>
      <c r="H242" s="95">
        <v>45426.0</v>
      </c>
      <c r="I242" s="95">
        <v>45434.0</v>
      </c>
      <c r="J242" s="4">
        <v>119.37017411231994</v>
      </c>
      <c r="K242" s="1"/>
      <c r="L242" s="1"/>
      <c r="M242" s="1" t="str">
        <f>VLOOKUP(B242,Bounties!A:D,3,FALSE)</f>
        <v>Outreach</v>
      </c>
      <c r="N242" s="1" t="str">
        <f>VLOOKUP(B242,Bounties!A:D,4,FALSE)</f>
        <v>Media</v>
      </c>
      <c r="O242" s="1" t="str">
        <f t="shared" ref="O242:P242" si="246">IF(ISBLANK(K242),M242,K242)</f>
        <v>Outreach</v>
      </c>
      <c r="P242" s="1" t="str">
        <f t="shared" si="246"/>
        <v>Media</v>
      </c>
      <c r="Q242" s="61" t="str">
        <f t="shared" si="3"/>
        <v>2024</v>
      </c>
      <c r="R242" s="62">
        <f t="shared" si="4"/>
        <v>5</v>
      </c>
      <c r="S242" s="61" t="str">
        <f t="shared" si="5"/>
        <v>2024-Q2</v>
      </c>
      <c r="T242" s="63" t="str">
        <f t="shared" si="6"/>
        <v>2024-05</v>
      </c>
      <c r="U242" s="64" t="str">
        <f t="shared" si="7"/>
        <v>2024-H1</v>
      </c>
      <c r="V242" s="9" t="str">
        <f>VLOOKUP(B242,Bounties!A:E,2,FALSE)</f>
        <v>Spanish Bounty</v>
      </c>
    </row>
    <row r="243" hidden="1">
      <c r="A243" s="67">
        <f>HYPERLINK("https://polkadot.subsquare.io/treasury/child-bounties/1160", 1160)</f>
        <v>1160</v>
      </c>
      <c r="B243" s="1">
        <v>31.0</v>
      </c>
      <c r="C243" s="1" t="s">
        <v>2414</v>
      </c>
      <c r="D243" s="1" t="s">
        <v>755</v>
      </c>
      <c r="E243" s="5">
        <v>586.92</v>
      </c>
      <c r="F243" s="4">
        <v>4125.534170379638</v>
      </c>
      <c r="G243" s="1" t="s">
        <v>2569</v>
      </c>
      <c r="H243" s="95">
        <v>45426.0</v>
      </c>
      <c r="I243" s="95">
        <v>45438.0</v>
      </c>
      <c r="J243" s="4">
        <v>4209.637880458831</v>
      </c>
      <c r="K243" s="1"/>
      <c r="L243" s="1"/>
      <c r="M243" s="1" t="str">
        <f>VLOOKUP(B243,Bounties!A:D,3,FALSE)</f>
        <v>Operations</v>
      </c>
      <c r="N243" s="1" t="str">
        <f>VLOOKUP(B243,Bounties!A:D,4,FALSE)</f>
        <v>RPCs and Nodes</v>
      </c>
      <c r="O243" s="1" t="str">
        <f t="shared" ref="O243:P243" si="247">IF(ISBLANK(K243),M243,K243)</f>
        <v>Operations</v>
      </c>
      <c r="P243" s="1" t="str">
        <f t="shared" si="247"/>
        <v>RPCs and Nodes</v>
      </c>
      <c r="Q243" s="61" t="str">
        <f t="shared" si="3"/>
        <v>2024</v>
      </c>
      <c r="R243" s="62">
        <f t="shared" si="4"/>
        <v>5</v>
      </c>
      <c r="S243" s="61" t="str">
        <f t="shared" si="5"/>
        <v>2024-Q2</v>
      </c>
      <c r="T243" s="63" t="str">
        <f t="shared" si="6"/>
        <v>2024-05</v>
      </c>
      <c r="U243" s="64" t="str">
        <f t="shared" si="7"/>
        <v>2024-H1</v>
      </c>
      <c r="V243" s="9" t="str">
        <f>VLOOKUP(B243,Bounties!A:E,2,FALSE)</f>
        <v>Public RPCs for Relay and System Chains</v>
      </c>
    </row>
    <row r="244" hidden="1">
      <c r="A244" s="67">
        <f>HYPERLINK("https://polkadot.subsquare.io/treasury/child-bounties/1159", 1159)</f>
        <v>1159</v>
      </c>
      <c r="B244" s="1">
        <v>31.0</v>
      </c>
      <c r="C244" s="1" t="s">
        <v>2414</v>
      </c>
      <c r="D244" s="1" t="s">
        <v>754</v>
      </c>
      <c r="E244" s="5">
        <v>520.06</v>
      </c>
      <c r="F244" s="4">
        <v>3655.5668585968015</v>
      </c>
      <c r="G244" s="1" t="s">
        <v>2570</v>
      </c>
      <c r="H244" s="95">
        <v>45426.0</v>
      </c>
      <c r="I244" s="95">
        <v>45438.0</v>
      </c>
      <c r="J244" s="4">
        <v>3730.0897500705714</v>
      </c>
      <c r="K244" s="1"/>
      <c r="L244" s="1"/>
      <c r="M244" s="1" t="str">
        <f>VLOOKUP(B244,Bounties!A:D,3,FALSE)</f>
        <v>Operations</v>
      </c>
      <c r="N244" s="1" t="str">
        <f>VLOOKUP(B244,Bounties!A:D,4,FALSE)</f>
        <v>RPCs and Nodes</v>
      </c>
      <c r="O244" s="1" t="str">
        <f t="shared" ref="O244:P244" si="248">IF(ISBLANK(K244),M244,K244)</f>
        <v>Operations</v>
      </c>
      <c r="P244" s="1" t="str">
        <f t="shared" si="248"/>
        <v>RPCs and Nodes</v>
      </c>
      <c r="Q244" s="61" t="str">
        <f t="shared" si="3"/>
        <v>2024</v>
      </c>
      <c r="R244" s="62">
        <f t="shared" si="4"/>
        <v>5</v>
      </c>
      <c r="S244" s="61" t="str">
        <f t="shared" si="5"/>
        <v>2024-Q2</v>
      </c>
      <c r="T244" s="63" t="str">
        <f t="shared" si="6"/>
        <v>2024-05</v>
      </c>
      <c r="U244" s="64" t="str">
        <f t="shared" si="7"/>
        <v>2024-H1</v>
      </c>
      <c r="V244" s="9" t="str">
        <f>VLOOKUP(B244,Bounties!A:E,2,FALSE)</f>
        <v>Public RPCs for Relay and System Chains</v>
      </c>
    </row>
    <row r="245" hidden="1">
      <c r="A245" s="67">
        <f>HYPERLINK("https://polkadot.subsquare.io/treasury/child-bounties/1158", 1158)</f>
        <v>1158</v>
      </c>
      <c r="B245" s="1">
        <v>31.0</v>
      </c>
      <c r="C245" s="1" t="s">
        <v>2460</v>
      </c>
      <c r="D245" s="1" t="s">
        <v>2571</v>
      </c>
      <c r="E245" s="5">
        <v>267.46</v>
      </c>
      <c r="F245" s="4">
        <v>1880.00982963562</v>
      </c>
      <c r="G245" s="1" t="s">
        <v>2572</v>
      </c>
      <c r="H245" s="95">
        <v>45426.0</v>
      </c>
      <c r="I245" s="95">
        <v>45430.0</v>
      </c>
      <c r="J245" s="4">
        <v>2026.0174836826322</v>
      </c>
      <c r="K245" s="1"/>
      <c r="L245" s="1"/>
      <c r="M245" s="1" t="str">
        <f>VLOOKUP(B245,Bounties!A:D,3,FALSE)</f>
        <v>Operations</v>
      </c>
      <c r="N245" s="1" t="str">
        <f>VLOOKUP(B245,Bounties!A:D,4,FALSE)</f>
        <v>RPCs and Nodes</v>
      </c>
      <c r="O245" s="1" t="str">
        <f t="shared" ref="O245:P245" si="249">IF(ISBLANK(K245),M245,K245)</f>
        <v>Operations</v>
      </c>
      <c r="P245" s="1" t="str">
        <f t="shared" si="249"/>
        <v>RPCs and Nodes</v>
      </c>
      <c r="Q245" s="61" t="str">
        <f t="shared" si="3"/>
        <v>2024</v>
      </c>
      <c r="R245" s="62">
        <f t="shared" si="4"/>
        <v>5</v>
      </c>
      <c r="S245" s="61" t="str">
        <f t="shared" si="5"/>
        <v>2024-Q2</v>
      </c>
      <c r="T245" s="63" t="str">
        <f t="shared" si="6"/>
        <v>2024-05</v>
      </c>
      <c r="U245" s="64" t="str">
        <f t="shared" si="7"/>
        <v>2024-H1</v>
      </c>
      <c r="V245" s="9" t="str">
        <f>VLOOKUP(B245,Bounties!A:E,2,FALSE)</f>
        <v>Public RPCs for Relay and System Chains</v>
      </c>
    </row>
    <row r="246" hidden="1">
      <c r="A246" s="67">
        <f>HYPERLINK("https://polkadot.subsquare.io/treasury/child-bounties/1157", 1157)</f>
        <v>1157</v>
      </c>
      <c r="B246" s="1">
        <v>31.0</v>
      </c>
      <c r="C246" s="1" t="s">
        <v>2414</v>
      </c>
      <c r="D246" s="1" t="s">
        <v>753</v>
      </c>
      <c r="E246" s="5">
        <v>742.94</v>
      </c>
      <c r="F246" s="4">
        <v>5222.218286209107</v>
      </c>
      <c r="G246" s="1" t="s">
        <v>2441</v>
      </c>
      <c r="H246" s="95">
        <v>45426.0</v>
      </c>
      <c r="I246" s="95">
        <v>45448.0</v>
      </c>
      <c r="J246" s="4">
        <v>4746.215666885377</v>
      </c>
      <c r="K246" s="1"/>
      <c r="L246" s="1"/>
      <c r="M246" s="1" t="str">
        <f>VLOOKUP(B246,Bounties!A:D,3,FALSE)</f>
        <v>Operations</v>
      </c>
      <c r="N246" s="1" t="str">
        <f>VLOOKUP(B246,Bounties!A:D,4,FALSE)</f>
        <v>RPCs and Nodes</v>
      </c>
      <c r="O246" s="1" t="str">
        <f t="shared" ref="O246:P246" si="250">IF(ISBLANK(K246),M246,K246)</f>
        <v>Operations</v>
      </c>
      <c r="P246" s="1" t="str">
        <f t="shared" si="250"/>
        <v>RPCs and Nodes</v>
      </c>
      <c r="Q246" s="61" t="str">
        <f t="shared" si="3"/>
        <v>2024</v>
      </c>
      <c r="R246" s="62">
        <f t="shared" si="4"/>
        <v>6</v>
      </c>
      <c r="S246" s="61" t="str">
        <f t="shared" si="5"/>
        <v>2024-Q2</v>
      </c>
      <c r="T246" s="63" t="str">
        <f t="shared" si="6"/>
        <v>2024-06</v>
      </c>
      <c r="U246" s="64" t="str">
        <f t="shared" si="7"/>
        <v>2024-H1</v>
      </c>
      <c r="V246" s="9" t="str">
        <f>VLOOKUP(B246,Bounties!A:E,2,FALSE)</f>
        <v>Public RPCs for Relay and System Chains</v>
      </c>
    </row>
    <row r="247" hidden="1">
      <c r="A247" s="67">
        <f>HYPERLINK("https://polkadot.subsquare.io/treasury/child-bounties/1156", 1156)</f>
        <v>1156</v>
      </c>
      <c r="B247" s="1">
        <v>31.0</v>
      </c>
      <c r="C247" s="1" t="s">
        <v>2414</v>
      </c>
      <c r="D247" s="1" t="s">
        <v>752</v>
      </c>
      <c r="E247" s="5">
        <v>564.64</v>
      </c>
      <c r="F247" s="4">
        <v>3968.925260620117</v>
      </c>
      <c r="G247" s="1" t="s">
        <v>2573</v>
      </c>
      <c r="H247" s="95">
        <v>45426.0</v>
      </c>
      <c r="I247" s="95">
        <v>45439.0</v>
      </c>
      <c r="J247" s="4">
        <v>4049.83631980896</v>
      </c>
      <c r="K247" s="1"/>
      <c r="L247" s="1"/>
      <c r="M247" s="1" t="str">
        <f>VLOOKUP(B247,Bounties!A:D,3,FALSE)</f>
        <v>Operations</v>
      </c>
      <c r="N247" s="1" t="str">
        <f>VLOOKUP(B247,Bounties!A:D,4,FALSE)</f>
        <v>RPCs and Nodes</v>
      </c>
      <c r="O247" s="1" t="str">
        <f t="shared" ref="O247:P247" si="251">IF(ISBLANK(K247),M247,K247)</f>
        <v>Operations</v>
      </c>
      <c r="P247" s="1" t="str">
        <f t="shared" si="251"/>
        <v>RPCs and Nodes</v>
      </c>
      <c r="Q247" s="61" t="str">
        <f t="shared" si="3"/>
        <v>2024</v>
      </c>
      <c r="R247" s="62">
        <f t="shared" si="4"/>
        <v>5</v>
      </c>
      <c r="S247" s="61" t="str">
        <f t="shared" si="5"/>
        <v>2024-Q2</v>
      </c>
      <c r="T247" s="63" t="str">
        <f t="shared" si="6"/>
        <v>2024-05</v>
      </c>
      <c r="U247" s="64" t="str">
        <f t="shared" si="7"/>
        <v>2024-H1</v>
      </c>
      <c r="V247" s="9" t="str">
        <f>VLOOKUP(B247,Bounties!A:E,2,FALSE)</f>
        <v>Public RPCs for Relay and System Chains</v>
      </c>
    </row>
    <row r="248" hidden="1">
      <c r="A248" s="67">
        <f>HYPERLINK("https://polkadot.subsquare.io/treasury/child-bounties/1155", 1155)</f>
        <v>1155</v>
      </c>
      <c r="B248" s="1">
        <v>31.0</v>
      </c>
      <c r="C248" s="1" t="s">
        <v>2460</v>
      </c>
      <c r="D248" s="1" t="s">
        <v>2574</v>
      </c>
      <c r="E248" s="5">
        <v>327.01</v>
      </c>
      <c r="F248" s="4">
        <v>2298.5942361068724</v>
      </c>
      <c r="G248" s="1" t="s">
        <v>2480</v>
      </c>
      <c r="H248" s="95">
        <v>45426.0</v>
      </c>
      <c r="I248" s="95">
        <v>45430.0</v>
      </c>
      <c r="J248" s="4">
        <v>2477.1105112504956</v>
      </c>
      <c r="K248" s="1"/>
      <c r="L248" s="1"/>
      <c r="M248" s="1" t="str">
        <f>VLOOKUP(B248,Bounties!A:D,3,FALSE)</f>
        <v>Operations</v>
      </c>
      <c r="N248" s="1" t="str">
        <f>VLOOKUP(B248,Bounties!A:D,4,FALSE)</f>
        <v>RPCs and Nodes</v>
      </c>
      <c r="O248" s="1" t="str">
        <f t="shared" ref="O248:P248" si="252">IF(ISBLANK(K248),M248,K248)</f>
        <v>Operations</v>
      </c>
      <c r="P248" s="1" t="str">
        <f t="shared" si="252"/>
        <v>RPCs and Nodes</v>
      </c>
      <c r="Q248" s="61" t="str">
        <f t="shared" si="3"/>
        <v>2024</v>
      </c>
      <c r="R248" s="62">
        <f t="shared" si="4"/>
        <v>5</v>
      </c>
      <c r="S248" s="61" t="str">
        <f t="shared" si="5"/>
        <v>2024-Q2</v>
      </c>
      <c r="T248" s="63" t="str">
        <f t="shared" si="6"/>
        <v>2024-05</v>
      </c>
      <c r="U248" s="64" t="str">
        <f t="shared" si="7"/>
        <v>2024-H1</v>
      </c>
      <c r="V248" s="9" t="str">
        <f>VLOOKUP(B248,Bounties!A:E,2,FALSE)</f>
        <v>Public RPCs for Relay and System Chains</v>
      </c>
    </row>
    <row r="249" hidden="1">
      <c r="A249" s="67">
        <f>HYPERLINK("https://polkadot.subsquare.io/treasury/child-bounties/1154", 1154)</f>
        <v>1154</v>
      </c>
      <c r="B249" s="1">
        <v>31.0</v>
      </c>
      <c r="C249" s="1" t="s">
        <v>2414</v>
      </c>
      <c r="D249" s="1" t="s">
        <v>751</v>
      </c>
      <c r="E249" s="5">
        <v>103.54</v>
      </c>
      <c r="F249" s="4">
        <v>727.7956246185303</v>
      </c>
      <c r="G249" s="1" t="s">
        <v>2575</v>
      </c>
      <c r="H249" s="95">
        <v>45426.0</v>
      </c>
      <c r="I249" s="95">
        <v>45440.0</v>
      </c>
      <c r="J249" s="4">
        <v>724.5584197235108</v>
      </c>
      <c r="K249" s="1"/>
      <c r="L249" s="1"/>
      <c r="M249" s="1" t="str">
        <f>VLOOKUP(B249,Bounties!A:D,3,FALSE)</f>
        <v>Operations</v>
      </c>
      <c r="N249" s="1" t="str">
        <f>VLOOKUP(B249,Bounties!A:D,4,FALSE)</f>
        <v>RPCs and Nodes</v>
      </c>
      <c r="O249" s="1" t="str">
        <f t="shared" ref="O249:P249" si="253">IF(ISBLANK(K249),M249,K249)</f>
        <v>Operations</v>
      </c>
      <c r="P249" s="1" t="str">
        <f t="shared" si="253"/>
        <v>RPCs and Nodes</v>
      </c>
      <c r="Q249" s="61" t="str">
        <f t="shared" si="3"/>
        <v>2024</v>
      </c>
      <c r="R249" s="62">
        <f t="shared" si="4"/>
        <v>5</v>
      </c>
      <c r="S249" s="61" t="str">
        <f t="shared" si="5"/>
        <v>2024-Q2</v>
      </c>
      <c r="T249" s="63" t="str">
        <f t="shared" si="6"/>
        <v>2024-05</v>
      </c>
      <c r="U249" s="64" t="str">
        <f t="shared" si="7"/>
        <v>2024-H1</v>
      </c>
      <c r="V249" s="9" t="str">
        <f>VLOOKUP(B249,Bounties!A:E,2,FALSE)</f>
        <v>Public RPCs for Relay and System Chains</v>
      </c>
    </row>
    <row r="250" hidden="1">
      <c r="A250" s="67">
        <f>HYPERLINK("https://polkadot.subsquare.io/treasury/child-bounties/1153", 1153)</f>
        <v>1153</v>
      </c>
      <c r="B250" s="1">
        <v>42.0</v>
      </c>
      <c r="C250" s="1" t="s">
        <v>2414</v>
      </c>
      <c r="D250" s="1" t="s">
        <v>750</v>
      </c>
      <c r="E250" s="5">
        <v>3413.26</v>
      </c>
      <c r="F250" s="4">
        <v>23992.231926651002</v>
      </c>
      <c r="G250" s="1" t="s">
        <v>2576</v>
      </c>
      <c r="H250" s="95">
        <v>45425.0</v>
      </c>
      <c r="I250" s="95">
        <v>45434.0</v>
      </c>
      <c r="J250" s="4">
        <v>24726.648113985062</v>
      </c>
      <c r="K250" s="1"/>
      <c r="L250" s="1"/>
      <c r="M250" s="1" t="str">
        <f>VLOOKUP(B250,Bounties!A:D,3,FALSE)</f>
        <v>Outreach</v>
      </c>
      <c r="N250" s="1" t="str">
        <f>VLOOKUP(B250,Bounties!A:D,4,FALSE)</f>
        <v>Media</v>
      </c>
      <c r="O250" s="1" t="str">
        <f t="shared" ref="O250:P250" si="254">IF(ISBLANK(K250),M250,K250)</f>
        <v>Outreach</v>
      </c>
      <c r="P250" s="1" t="str">
        <f t="shared" si="254"/>
        <v>Media</v>
      </c>
      <c r="Q250" s="61" t="str">
        <f t="shared" si="3"/>
        <v>2024</v>
      </c>
      <c r="R250" s="62">
        <f t="shared" si="4"/>
        <v>5</v>
      </c>
      <c r="S250" s="61" t="str">
        <f t="shared" si="5"/>
        <v>2024-Q2</v>
      </c>
      <c r="T250" s="63" t="str">
        <f t="shared" si="6"/>
        <v>2024-05</v>
      </c>
      <c r="U250" s="64" t="str">
        <f t="shared" si="7"/>
        <v>2024-H1</v>
      </c>
      <c r="V250" s="9" t="str">
        <f>VLOOKUP(B250,Bounties!A:E,2,FALSE)</f>
        <v>Spanish Bounty</v>
      </c>
    </row>
    <row r="251" hidden="1">
      <c r="A251" s="67">
        <f>HYPERLINK("https://polkadot.subsquare.io/treasury/child-bounties/1152", 1152)</f>
        <v>1152</v>
      </c>
      <c r="B251" s="1">
        <v>42.0</v>
      </c>
      <c r="C251" s="1" t="s">
        <v>2414</v>
      </c>
      <c r="D251" s="1" t="s">
        <v>749</v>
      </c>
      <c r="E251" s="5">
        <v>202.94</v>
      </c>
      <c r="F251" s="4">
        <v>1426.4906708526612</v>
      </c>
      <c r="G251" s="1" t="s">
        <v>2452</v>
      </c>
      <c r="H251" s="95">
        <v>45425.0</v>
      </c>
      <c r="I251" s="95">
        <v>45433.0</v>
      </c>
      <c r="J251" s="4">
        <v>1470.156380777359</v>
      </c>
      <c r="K251" s="1"/>
      <c r="L251" s="1"/>
      <c r="M251" s="1" t="str">
        <f>VLOOKUP(B251,Bounties!A:D,3,FALSE)</f>
        <v>Outreach</v>
      </c>
      <c r="N251" s="1" t="str">
        <f>VLOOKUP(B251,Bounties!A:D,4,FALSE)</f>
        <v>Media</v>
      </c>
      <c r="O251" s="1" t="str">
        <f t="shared" ref="O251:P251" si="255">IF(ISBLANK(K251),M251,K251)</f>
        <v>Outreach</v>
      </c>
      <c r="P251" s="1" t="str">
        <f t="shared" si="255"/>
        <v>Media</v>
      </c>
      <c r="Q251" s="61" t="str">
        <f t="shared" si="3"/>
        <v>2024</v>
      </c>
      <c r="R251" s="62">
        <f t="shared" si="4"/>
        <v>5</v>
      </c>
      <c r="S251" s="61" t="str">
        <f t="shared" si="5"/>
        <v>2024-Q2</v>
      </c>
      <c r="T251" s="63" t="str">
        <f t="shared" si="6"/>
        <v>2024-05</v>
      </c>
      <c r="U251" s="64" t="str">
        <f t="shared" si="7"/>
        <v>2024-H1</v>
      </c>
      <c r="V251" s="9" t="str">
        <f>VLOOKUP(B251,Bounties!A:E,2,FALSE)</f>
        <v>Spanish Bounty</v>
      </c>
    </row>
    <row r="252" hidden="1">
      <c r="A252" s="67">
        <f>HYPERLINK("https://polkadot.subsquare.io/treasury/child-bounties/1151", 1151)</f>
        <v>1151</v>
      </c>
      <c r="B252" s="1">
        <v>42.0</v>
      </c>
      <c r="C252" s="1" t="s">
        <v>2414</v>
      </c>
      <c r="D252" s="1" t="s">
        <v>748</v>
      </c>
      <c r="E252" s="5">
        <v>31.33</v>
      </c>
      <c r="F252" s="4">
        <v>220.22249294281005</v>
      </c>
      <c r="G252" s="1" t="s">
        <v>2453</v>
      </c>
      <c r="H252" s="95">
        <v>45425.0</v>
      </c>
      <c r="I252" s="95">
        <v>45433.0</v>
      </c>
      <c r="J252" s="4">
        <v>226.96363166332245</v>
      </c>
      <c r="K252" s="1"/>
      <c r="L252" s="1"/>
      <c r="M252" s="1" t="str">
        <f>VLOOKUP(B252,Bounties!A:D,3,FALSE)</f>
        <v>Outreach</v>
      </c>
      <c r="N252" s="1" t="str">
        <f>VLOOKUP(B252,Bounties!A:D,4,FALSE)</f>
        <v>Media</v>
      </c>
      <c r="O252" s="1" t="str">
        <f t="shared" ref="O252:P252" si="256">IF(ISBLANK(K252),M252,K252)</f>
        <v>Outreach</v>
      </c>
      <c r="P252" s="1" t="str">
        <f t="shared" si="256"/>
        <v>Media</v>
      </c>
      <c r="Q252" s="61" t="str">
        <f t="shared" si="3"/>
        <v>2024</v>
      </c>
      <c r="R252" s="62">
        <f t="shared" si="4"/>
        <v>5</v>
      </c>
      <c r="S252" s="61" t="str">
        <f t="shared" si="5"/>
        <v>2024-Q2</v>
      </c>
      <c r="T252" s="63" t="str">
        <f t="shared" si="6"/>
        <v>2024-05</v>
      </c>
      <c r="U252" s="64" t="str">
        <f t="shared" si="7"/>
        <v>2024-H1</v>
      </c>
      <c r="V252" s="9" t="str">
        <f>VLOOKUP(B252,Bounties!A:E,2,FALSE)</f>
        <v>Spanish Bounty</v>
      </c>
    </row>
    <row r="253" hidden="1">
      <c r="A253" s="67">
        <f>HYPERLINK("https://polkadot.subsquare.io/treasury/child-bounties/1150", 1150)</f>
        <v>1150</v>
      </c>
      <c r="B253" s="1">
        <v>42.0</v>
      </c>
      <c r="C253" s="1" t="s">
        <v>2414</v>
      </c>
      <c r="D253" s="1" t="s">
        <v>748</v>
      </c>
      <c r="E253" s="5">
        <v>3.37</v>
      </c>
      <c r="F253" s="4">
        <v>23.68815196990967</v>
      </c>
      <c r="G253" s="1" t="s">
        <v>2493</v>
      </c>
      <c r="H253" s="95">
        <v>45425.0</v>
      </c>
      <c r="I253" s="95">
        <v>45433.0</v>
      </c>
      <c r="J253" s="4">
        <v>24.413260092735293</v>
      </c>
      <c r="K253" s="1"/>
      <c r="L253" s="1"/>
      <c r="M253" s="1" t="str">
        <f>VLOOKUP(B253,Bounties!A:D,3,FALSE)</f>
        <v>Outreach</v>
      </c>
      <c r="N253" s="1" t="str">
        <f>VLOOKUP(B253,Bounties!A:D,4,FALSE)</f>
        <v>Media</v>
      </c>
      <c r="O253" s="1" t="str">
        <f t="shared" ref="O253:P253" si="257">IF(ISBLANK(K253),M253,K253)</f>
        <v>Outreach</v>
      </c>
      <c r="P253" s="1" t="str">
        <f t="shared" si="257"/>
        <v>Media</v>
      </c>
      <c r="Q253" s="61" t="str">
        <f t="shared" si="3"/>
        <v>2024</v>
      </c>
      <c r="R253" s="62">
        <f t="shared" si="4"/>
        <v>5</v>
      </c>
      <c r="S253" s="61" t="str">
        <f t="shared" si="5"/>
        <v>2024-Q2</v>
      </c>
      <c r="T253" s="63" t="str">
        <f t="shared" si="6"/>
        <v>2024-05</v>
      </c>
      <c r="U253" s="64" t="str">
        <f t="shared" si="7"/>
        <v>2024-H1</v>
      </c>
      <c r="V253" s="9" t="str">
        <f>VLOOKUP(B253,Bounties!A:E,2,FALSE)</f>
        <v>Spanish Bounty</v>
      </c>
    </row>
    <row r="254" hidden="1">
      <c r="A254" s="67">
        <f>HYPERLINK("https://polkadot.subsquare.io/treasury/child-bounties/1149", 1149)</f>
        <v>1149</v>
      </c>
      <c r="B254" s="1">
        <v>42.0</v>
      </c>
      <c r="C254" s="1" t="s">
        <v>2414</v>
      </c>
      <c r="D254" s="1" t="s">
        <v>748</v>
      </c>
      <c r="E254" s="5">
        <v>3.44</v>
      </c>
      <c r="F254" s="4">
        <v>24.18019073486328</v>
      </c>
      <c r="G254" s="1" t="s">
        <v>2493</v>
      </c>
      <c r="H254" s="95">
        <v>45425.0</v>
      </c>
      <c r="I254" s="95">
        <v>45433.0</v>
      </c>
      <c r="J254" s="4">
        <v>24.920360450744628</v>
      </c>
      <c r="K254" s="1"/>
      <c r="L254" s="1"/>
      <c r="M254" s="1" t="str">
        <f>VLOOKUP(B254,Bounties!A:D,3,FALSE)</f>
        <v>Outreach</v>
      </c>
      <c r="N254" s="1" t="str">
        <f>VLOOKUP(B254,Bounties!A:D,4,FALSE)</f>
        <v>Media</v>
      </c>
      <c r="O254" s="1" t="str">
        <f t="shared" ref="O254:P254" si="258">IF(ISBLANK(K254),M254,K254)</f>
        <v>Outreach</v>
      </c>
      <c r="P254" s="1" t="str">
        <f t="shared" si="258"/>
        <v>Media</v>
      </c>
      <c r="Q254" s="61" t="str">
        <f t="shared" si="3"/>
        <v>2024</v>
      </c>
      <c r="R254" s="62">
        <f t="shared" si="4"/>
        <v>5</v>
      </c>
      <c r="S254" s="61" t="str">
        <f t="shared" si="5"/>
        <v>2024-Q2</v>
      </c>
      <c r="T254" s="63" t="str">
        <f t="shared" si="6"/>
        <v>2024-05</v>
      </c>
      <c r="U254" s="64" t="str">
        <f t="shared" si="7"/>
        <v>2024-H1</v>
      </c>
      <c r="V254" s="9" t="str">
        <f>VLOOKUP(B254,Bounties!A:E,2,FALSE)</f>
        <v>Spanish Bounty</v>
      </c>
    </row>
    <row r="255" hidden="1">
      <c r="A255" s="67">
        <f>HYPERLINK("https://polkadot.subsquare.io/treasury/child-bounties/1148", 1148)</f>
        <v>1148</v>
      </c>
      <c r="B255" s="1">
        <v>42.0</v>
      </c>
      <c r="C255" s="1" t="s">
        <v>2414</v>
      </c>
      <c r="D255" s="1" t="s">
        <v>748</v>
      </c>
      <c r="E255" s="5">
        <v>31.48</v>
      </c>
      <c r="F255" s="4">
        <v>221.27686172485352</v>
      </c>
      <c r="G255" s="1" t="s">
        <v>2491</v>
      </c>
      <c r="H255" s="95">
        <v>45425.0</v>
      </c>
      <c r="I255" s="95">
        <v>45434.0</v>
      </c>
      <c r="J255" s="4">
        <v>233.83777729034423</v>
      </c>
      <c r="K255" s="1"/>
      <c r="L255" s="1"/>
      <c r="M255" s="1" t="str">
        <f>VLOOKUP(B255,Bounties!A:D,3,FALSE)</f>
        <v>Outreach</v>
      </c>
      <c r="N255" s="1" t="str">
        <f>VLOOKUP(B255,Bounties!A:D,4,FALSE)</f>
        <v>Media</v>
      </c>
      <c r="O255" s="1" t="str">
        <f t="shared" ref="O255:P255" si="259">IF(ISBLANK(K255),M255,K255)</f>
        <v>Outreach</v>
      </c>
      <c r="P255" s="1" t="str">
        <f t="shared" si="259"/>
        <v>Media</v>
      </c>
      <c r="Q255" s="61" t="str">
        <f t="shared" si="3"/>
        <v>2024</v>
      </c>
      <c r="R255" s="62">
        <f t="shared" si="4"/>
        <v>5</v>
      </c>
      <c r="S255" s="61" t="str">
        <f t="shared" si="5"/>
        <v>2024-Q2</v>
      </c>
      <c r="T255" s="63" t="str">
        <f t="shared" si="6"/>
        <v>2024-05</v>
      </c>
      <c r="U255" s="64" t="str">
        <f t="shared" si="7"/>
        <v>2024-H1</v>
      </c>
      <c r="V255" s="9" t="str">
        <f>VLOOKUP(B255,Bounties!A:E,2,FALSE)</f>
        <v>Spanish Bounty</v>
      </c>
    </row>
    <row r="256" hidden="1">
      <c r="A256" s="67">
        <f>HYPERLINK("https://polkadot.subsquare.io/treasury/child-bounties/1147", 1147)</f>
        <v>1147</v>
      </c>
      <c r="B256" s="1">
        <v>33.0</v>
      </c>
      <c r="C256" s="1" t="s">
        <v>2414</v>
      </c>
      <c r="D256" s="1" t="s">
        <v>747</v>
      </c>
      <c r="E256" s="5">
        <v>127711.0</v>
      </c>
      <c r="F256" s="4">
        <v>889312.9937343597</v>
      </c>
      <c r="G256" s="1" t="s">
        <v>2554</v>
      </c>
      <c r="H256" s="95">
        <v>45425.0</v>
      </c>
      <c r="I256" s="95">
        <v>45433.0</v>
      </c>
      <c r="J256" s="4">
        <v>919618.0729379654</v>
      </c>
      <c r="K256" s="1" t="s">
        <v>81</v>
      </c>
      <c r="L256" s="1" t="s">
        <v>84</v>
      </c>
      <c r="M256" s="1" t="str">
        <f>VLOOKUP(B256,Bounties!A:D,3,FALSE)</f>
        <v>Outreach</v>
      </c>
      <c r="N256" s="1" t="str">
        <f>VLOOKUP(B256,Bounties!A:D,4,FALSE)</f>
        <v>Advertising</v>
      </c>
      <c r="O256" s="1" t="str">
        <f t="shared" ref="O256:P256" si="260">IF(ISBLANK(K256),M256,K256)</f>
        <v>Outreach</v>
      </c>
      <c r="P256" s="1" t="str">
        <f t="shared" si="260"/>
        <v>Advertising/Influencers</v>
      </c>
      <c r="Q256" s="61" t="str">
        <f t="shared" si="3"/>
        <v>2024</v>
      </c>
      <c r="R256" s="62">
        <f t="shared" si="4"/>
        <v>5</v>
      </c>
      <c r="S256" s="61" t="str">
        <f t="shared" si="5"/>
        <v>2024-Q2</v>
      </c>
      <c r="T256" s="63" t="str">
        <f t="shared" si="6"/>
        <v>2024-05</v>
      </c>
      <c r="U256" s="64" t="str">
        <f t="shared" si="7"/>
        <v>2024-H1</v>
      </c>
      <c r="V256" s="9" t="str">
        <f>VLOOKUP(B256,Bounties!A:E,2,FALSE)</f>
        <v>Marketing Bounty</v>
      </c>
    </row>
    <row r="257" hidden="1">
      <c r="A257" s="67">
        <f>HYPERLINK("https://polkadot.subsquare.io/treasury/child-bounties/1146", 1146)</f>
        <v>1146</v>
      </c>
      <c r="B257" s="1">
        <v>33.0</v>
      </c>
      <c r="C257" s="1" t="s">
        <v>2414</v>
      </c>
      <c r="D257" s="1" t="s">
        <v>746</v>
      </c>
      <c r="E257" s="5">
        <v>17832.0</v>
      </c>
      <c r="F257" s="4">
        <v>124172.77528381348</v>
      </c>
      <c r="G257" s="1" t="s">
        <v>2435</v>
      </c>
      <c r="H257" s="95">
        <v>45425.0</v>
      </c>
      <c r="I257" s="95">
        <v>45433.0</v>
      </c>
      <c r="J257" s="4">
        <v>129180.1940574646</v>
      </c>
      <c r="K257" s="1" t="s">
        <v>81</v>
      </c>
      <c r="L257" s="1" t="s">
        <v>84</v>
      </c>
      <c r="M257" s="1" t="str">
        <f>VLOOKUP(B257,Bounties!A:D,3,FALSE)</f>
        <v>Outreach</v>
      </c>
      <c r="N257" s="1" t="str">
        <f>VLOOKUP(B257,Bounties!A:D,4,FALSE)</f>
        <v>Advertising</v>
      </c>
      <c r="O257" s="1" t="str">
        <f t="shared" ref="O257:P257" si="261">IF(ISBLANK(K257),M257,K257)</f>
        <v>Outreach</v>
      </c>
      <c r="P257" s="1" t="str">
        <f t="shared" si="261"/>
        <v>Advertising/Influencers</v>
      </c>
      <c r="Q257" s="61" t="str">
        <f t="shared" si="3"/>
        <v>2024</v>
      </c>
      <c r="R257" s="62">
        <f t="shared" si="4"/>
        <v>5</v>
      </c>
      <c r="S257" s="61" t="str">
        <f t="shared" si="5"/>
        <v>2024-Q2</v>
      </c>
      <c r="T257" s="63" t="str">
        <f t="shared" si="6"/>
        <v>2024-05</v>
      </c>
      <c r="U257" s="64" t="str">
        <f t="shared" si="7"/>
        <v>2024-H1</v>
      </c>
      <c r="V257" s="9" t="str">
        <f>VLOOKUP(B257,Bounties!A:E,2,FALSE)</f>
        <v>Marketing Bounty</v>
      </c>
    </row>
    <row r="258" hidden="1">
      <c r="A258" s="67">
        <f>HYPERLINK("https://polkadot.subsquare.io/treasury/child-bounties/1145", 1145)</f>
        <v>1145</v>
      </c>
      <c r="B258" s="1">
        <v>33.0</v>
      </c>
      <c r="C258" s="1" t="s">
        <v>2414</v>
      </c>
      <c r="D258" s="1" t="s">
        <v>745</v>
      </c>
      <c r="E258" s="5">
        <v>78251.0</v>
      </c>
      <c r="F258" s="4">
        <v>544899.2731456757</v>
      </c>
      <c r="G258" s="1" t="s">
        <v>2577</v>
      </c>
      <c r="H258" s="95">
        <v>45425.0</v>
      </c>
      <c r="I258" s="95">
        <v>45433.0</v>
      </c>
      <c r="J258" s="4">
        <v>566873.001636982</v>
      </c>
      <c r="K258" s="1" t="s">
        <v>81</v>
      </c>
      <c r="L258" s="1" t="s">
        <v>84</v>
      </c>
      <c r="M258" s="1" t="str">
        <f>VLOOKUP(B258,Bounties!A:D,3,FALSE)</f>
        <v>Outreach</v>
      </c>
      <c r="N258" s="1" t="str">
        <f>VLOOKUP(B258,Bounties!A:D,4,FALSE)</f>
        <v>Advertising</v>
      </c>
      <c r="O258" s="1" t="str">
        <f t="shared" ref="O258:P258" si="262">IF(ISBLANK(K258),M258,K258)</f>
        <v>Outreach</v>
      </c>
      <c r="P258" s="1" t="str">
        <f t="shared" si="262"/>
        <v>Advertising/Influencers</v>
      </c>
      <c r="Q258" s="61" t="str">
        <f t="shared" si="3"/>
        <v>2024</v>
      </c>
      <c r="R258" s="62">
        <f t="shared" si="4"/>
        <v>5</v>
      </c>
      <c r="S258" s="61" t="str">
        <f t="shared" si="5"/>
        <v>2024-Q2</v>
      </c>
      <c r="T258" s="63" t="str">
        <f t="shared" si="6"/>
        <v>2024-05</v>
      </c>
      <c r="U258" s="64" t="str">
        <f t="shared" si="7"/>
        <v>2024-H1</v>
      </c>
      <c r="V258" s="9" t="str">
        <f>VLOOKUP(B258,Bounties!A:E,2,FALSE)</f>
        <v>Marketing Bounty</v>
      </c>
    </row>
    <row r="259" hidden="1">
      <c r="A259" s="67">
        <f>HYPERLINK("https://polkadot.subsquare.io/treasury/child-bounties/1144", 1144)</f>
        <v>1144</v>
      </c>
      <c r="B259" s="1">
        <v>33.0</v>
      </c>
      <c r="C259" s="1" t="s">
        <v>2414</v>
      </c>
      <c r="D259" s="1" t="s">
        <v>744</v>
      </c>
      <c r="E259" s="5">
        <v>24233.0</v>
      </c>
      <c r="F259" s="4">
        <v>168746.01073646545</v>
      </c>
      <c r="G259" s="1" t="s">
        <v>2435</v>
      </c>
      <c r="H259" s="95">
        <v>45425.0</v>
      </c>
      <c r="I259" s="95">
        <v>45433.0</v>
      </c>
      <c r="J259" s="4">
        <v>175550.89965200424</v>
      </c>
      <c r="K259" s="1" t="s">
        <v>81</v>
      </c>
      <c r="L259" s="1" t="s">
        <v>84</v>
      </c>
      <c r="M259" s="1" t="str">
        <f>VLOOKUP(B259,Bounties!A:D,3,FALSE)</f>
        <v>Outreach</v>
      </c>
      <c r="N259" s="1" t="str">
        <f>VLOOKUP(B259,Bounties!A:D,4,FALSE)</f>
        <v>Advertising</v>
      </c>
      <c r="O259" s="1" t="str">
        <f t="shared" ref="O259:P259" si="263">IF(ISBLANK(K259),M259,K259)</f>
        <v>Outreach</v>
      </c>
      <c r="P259" s="1" t="str">
        <f t="shared" si="263"/>
        <v>Advertising/Influencers</v>
      </c>
      <c r="Q259" s="61" t="str">
        <f t="shared" si="3"/>
        <v>2024</v>
      </c>
      <c r="R259" s="62">
        <f t="shared" si="4"/>
        <v>5</v>
      </c>
      <c r="S259" s="61" t="str">
        <f t="shared" si="5"/>
        <v>2024-Q2</v>
      </c>
      <c r="T259" s="63" t="str">
        <f t="shared" si="6"/>
        <v>2024-05</v>
      </c>
      <c r="U259" s="64" t="str">
        <f t="shared" si="7"/>
        <v>2024-H1</v>
      </c>
      <c r="V259" s="9" t="str">
        <f>VLOOKUP(B259,Bounties!A:E,2,FALSE)</f>
        <v>Marketing Bounty</v>
      </c>
    </row>
    <row r="260" hidden="1">
      <c r="A260" s="67">
        <f>HYPERLINK("https://polkadot.subsquare.io/treasury/child-bounties/1143", 1143)</f>
        <v>1143</v>
      </c>
      <c r="B260" s="1">
        <v>33.0</v>
      </c>
      <c r="C260" s="1" t="s">
        <v>2414</v>
      </c>
      <c r="D260" s="1" t="s">
        <v>743</v>
      </c>
      <c r="E260" s="5">
        <v>22214.0</v>
      </c>
      <c r="F260" s="4">
        <v>154686.74462509155</v>
      </c>
      <c r="G260" s="1" t="s">
        <v>2435</v>
      </c>
      <c r="H260" s="95">
        <v>45425.0</v>
      </c>
      <c r="I260" s="95">
        <v>45433.0</v>
      </c>
      <c r="J260" s="4">
        <v>160924.67646884918</v>
      </c>
      <c r="K260" s="1" t="s">
        <v>81</v>
      </c>
      <c r="L260" s="1" t="s">
        <v>84</v>
      </c>
      <c r="M260" s="1" t="str">
        <f>VLOOKUP(B260,Bounties!A:D,3,FALSE)</f>
        <v>Outreach</v>
      </c>
      <c r="N260" s="1" t="str">
        <f>VLOOKUP(B260,Bounties!A:D,4,FALSE)</f>
        <v>Advertising</v>
      </c>
      <c r="O260" s="1" t="str">
        <f t="shared" ref="O260:P260" si="264">IF(ISBLANK(K260),M260,K260)</f>
        <v>Outreach</v>
      </c>
      <c r="P260" s="1" t="str">
        <f t="shared" si="264"/>
        <v>Advertising/Influencers</v>
      </c>
      <c r="Q260" s="61" t="str">
        <f t="shared" si="3"/>
        <v>2024</v>
      </c>
      <c r="R260" s="62">
        <f t="shared" si="4"/>
        <v>5</v>
      </c>
      <c r="S260" s="61" t="str">
        <f t="shared" si="5"/>
        <v>2024-Q2</v>
      </c>
      <c r="T260" s="63" t="str">
        <f t="shared" si="6"/>
        <v>2024-05</v>
      </c>
      <c r="U260" s="64" t="str">
        <f t="shared" si="7"/>
        <v>2024-H1</v>
      </c>
      <c r="V260" s="9" t="str">
        <f>VLOOKUP(B260,Bounties!A:E,2,FALSE)</f>
        <v>Marketing Bounty</v>
      </c>
    </row>
    <row r="261" hidden="1">
      <c r="A261" s="67">
        <f>HYPERLINK("https://polkadot.subsquare.io/treasury/child-bounties/1142", 1142)</f>
        <v>1142</v>
      </c>
      <c r="B261" s="1">
        <v>32.0</v>
      </c>
      <c r="C261" s="1" t="s">
        <v>2414</v>
      </c>
      <c r="D261" s="1" t="s">
        <v>742</v>
      </c>
      <c r="E261" s="5">
        <v>9.0893449352</v>
      </c>
      <c r="F261" s="4">
        <v>63.29347163053262</v>
      </c>
      <c r="G261" s="1" t="s">
        <v>2437</v>
      </c>
      <c r="H261" s="95">
        <v>45424.0</v>
      </c>
      <c r="I261" s="95">
        <v>45432.0</v>
      </c>
      <c r="J261" s="4">
        <v>65.45032043893697</v>
      </c>
      <c r="K261" s="1"/>
      <c r="L261" s="1"/>
      <c r="M261" s="1" t="str">
        <f>VLOOKUP(B261,Bounties!A:D,3,FALSE)</f>
        <v>Operations</v>
      </c>
      <c r="N261" s="1" t="str">
        <f>VLOOKUP(B261,Bounties!A:D,4,FALSE)</f>
        <v>RPCs and Nodes</v>
      </c>
      <c r="O261" s="1" t="str">
        <f t="shared" ref="O261:P261" si="265">IF(ISBLANK(K261),M261,K261)</f>
        <v>Operations</v>
      </c>
      <c r="P261" s="1" t="str">
        <f t="shared" si="265"/>
        <v>RPCs and Nodes</v>
      </c>
      <c r="Q261" s="61" t="str">
        <f t="shared" si="3"/>
        <v>2024</v>
      </c>
      <c r="R261" s="62">
        <f t="shared" si="4"/>
        <v>5</v>
      </c>
      <c r="S261" s="61" t="str">
        <f t="shared" si="5"/>
        <v>2024-Q2</v>
      </c>
      <c r="T261" s="63" t="str">
        <f t="shared" si="6"/>
        <v>2024-05</v>
      </c>
      <c r="U261" s="64" t="str">
        <f t="shared" si="7"/>
        <v>2024-H1</v>
      </c>
      <c r="V261" s="9" t="str">
        <f>VLOOKUP(B261,Bounties!A:E,2,FALSE)</f>
        <v>System Parachains Collator Bounty</v>
      </c>
    </row>
    <row r="262" hidden="1">
      <c r="A262" s="67">
        <f>HYPERLINK("https://polkadot.subsquare.io/treasury/child-bounties/1141", 1141)</f>
        <v>1141</v>
      </c>
      <c r="B262" s="1">
        <v>32.0</v>
      </c>
      <c r="C262" s="1" t="s">
        <v>2414</v>
      </c>
      <c r="D262" s="1" t="s">
        <v>741</v>
      </c>
      <c r="E262" s="5">
        <v>9.0893449352</v>
      </c>
      <c r="F262" s="4">
        <v>63.29347163053262</v>
      </c>
      <c r="G262" s="1" t="s">
        <v>2463</v>
      </c>
      <c r="H262" s="95">
        <v>45424.0</v>
      </c>
      <c r="I262" s="95">
        <v>45432.0</v>
      </c>
      <c r="J262" s="4">
        <v>65.45032043893697</v>
      </c>
      <c r="K262" s="1"/>
      <c r="L262" s="1"/>
      <c r="M262" s="1" t="str">
        <f>VLOOKUP(B262,Bounties!A:D,3,FALSE)</f>
        <v>Operations</v>
      </c>
      <c r="N262" s="1" t="str">
        <f>VLOOKUP(B262,Bounties!A:D,4,FALSE)</f>
        <v>RPCs and Nodes</v>
      </c>
      <c r="O262" s="1" t="str">
        <f t="shared" ref="O262:P262" si="266">IF(ISBLANK(K262),M262,K262)</f>
        <v>Operations</v>
      </c>
      <c r="P262" s="1" t="str">
        <f t="shared" si="266"/>
        <v>RPCs and Nodes</v>
      </c>
      <c r="Q262" s="61" t="str">
        <f t="shared" si="3"/>
        <v>2024</v>
      </c>
      <c r="R262" s="62">
        <f t="shared" si="4"/>
        <v>5</v>
      </c>
      <c r="S262" s="61" t="str">
        <f t="shared" si="5"/>
        <v>2024-Q2</v>
      </c>
      <c r="T262" s="63" t="str">
        <f t="shared" si="6"/>
        <v>2024-05</v>
      </c>
      <c r="U262" s="64" t="str">
        <f t="shared" si="7"/>
        <v>2024-H1</v>
      </c>
      <c r="V262" s="9" t="str">
        <f>VLOOKUP(B262,Bounties!A:E,2,FALSE)</f>
        <v>System Parachains Collator Bounty</v>
      </c>
    </row>
    <row r="263" hidden="1">
      <c r="A263" s="67">
        <f>HYPERLINK("https://polkadot.subsquare.io/treasury/child-bounties/1140", 1140)</f>
        <v>1140</v>
      </c>
      <c r="B263" s="1">
        <v>32.0</v>
      </c>
      <c r="C263" s="1" t="s">
        <v>2414</v>
      </c>
      <c r="D263" s="1" t="s">
        <v>740</v>
      </c>
      <c r="E263" s="5">
        <v>9.0893449352</v>
      </c>
      <c r="F263" s="4">
        <v>63.29347163053262</v>
      </c>
      <c r="G263" s="1" t="s">
        <v>2438</v>
      </c>
      <c r="H263" s="95">
        <v>45424.0</v>
      </c>
      <c r="I263" s="95">
        <v>45432.0</v>
      </c>
      <c r="J263" s="4">
        <v>65.45032043893697</v>
      </c>
      <c r="K263" s="1"/>
      <c r="L263" s="1"/>
      <c r="M263" s="1" t="str">
        <f>VLOOKUP(B263,Bounties!A:D,3,FALSE)</f>
        <v>Operations</v>
      </c>
      <c r="N263" s="1" t="str">
        <f>VLOOKUP(B263,Bounties!A:D,4,FALSE)</f>
        <v>RPCs and Nodes</v>
      </c>
      <c r="O263" s="1" t="str">
        <f t="shared" ref="O263:P263" si="267">IF(ISBLANK(K263),M263,K263)</f>
        <v>Operations</v>
      </c>
      <c r="P263" s="1" t="str">
        <f t="shared" si="267"/>
        <v>RPCs and Nodes</v>
      </c>
      <c r="Q263" s="61" t="str">
        <f t="shared" si="3"/>
        <v>2024</v>
      </c>
      <c r="R263" s="62">
        <f t="shared" si="4"/>
        <v>5</v>
      </c>
      <c r="S263" s="61" t="str">
        <f t="shared" si="5"/>
        <v>2024-Q2</v>
      </c>
      <c r="T263" s="63" t="str">
        <f t="shared" si="6"/>
        <v>2024-05</v>
      </c>
      <c r="U263" s="64" t="str">
        <f t="shared" si="7"/>
        <v>2024-H1</v>
      </c>
      <c r="V263" s="9" t="str">
        <f>VLOOKUP(B263,Bounties!A:E,2,FALSE)</f>
        <v>System Parachains Collator Bounty</v>
      </c>
    </row>
    <row r="264" hidden="1">
      <c r="A264" s="67">
        <f>HYPERLINK("https://polkadot.subsquare.io/treasury/child-bounties/1139", 1139)</f>
        <v>1139</v>
      </c>
      <c r="B264" s="1">
        <v>32.0</v>
      </c>
      <c r="C264" s="1" t="s">
        <v>2414</v>
      </c>
      <c r="D264" s="1" t="s">
        <v>739</v>
      </c>
      <c r="E264" s="5">
        <v>35.1030809152</v>
      </c>
      <c r="F264" s="4">
        <v>244.43960174140037</v>
      </c>
      <c r="G264" s="1" t="s">
        <v>2443</v>
      </c>
      <c r="H264" s="95">
        <v>45424.0</v>
      </c>
      <c r="I264" s="95">
        <v>45432.0</v>
      </c>
      <c r="J264" s="4">
        <v>252.76935914229549</v>
      </c>
      <c r="K264" s="1"/>
      <c r="L264" s="1"/>
      <c r="M264" s="1" t="str">
        <f>VLOOKUP(B264,Bounties!A:D,3,FALSE)</f>
        <v>Operations</v>
      </c>
      <c r="N264" s="1" t="str">
        <f>VLOOKUP(B264,Bounties!A:D,4,FALSE)</f>
        <v>RPCs and Nodes</v>
      </c>
      <c r="O264" s="1" t="str">
        <f t="shared" ref="O264:P264" si="268">IF(ISBLANK(K264),M264,K264)</f>
        <v>Operations</v>
      </c>
      <c r="P264" s="1" t="str">
        <f t="shared" si="268"/>
        <v>RPCs and Nodes</v>
      </c>
      <c r="Q264" s="61" t="str">
        <f t="shared" si="3"/>
        <v>2024</v>
      </c>
      <c r="R264" s="62">
        <f t="shared" si="4"/>
        <v>5</v>
      </c>
      <c r="S264" s="61" t="str">
        <f t="shared" si="5"/>
        <v>2024-Q2</v>
      </c>
      <c r="T264" s="63" t="str">
        <f t="shared" si="6"/>
        <v>2024-05</v>
      </c>
      <c r="U264" s="64" t="str">
        <f t="shared" si="7"/>
        <v>2024-H1</v>
      </c>
      <c r="V264" s="9" t="str">
        <f>VLOOKUP(B264,Bounties!A:E,2,FALSE)</f>
        <v>System Parachains Collator Bounty</v>
      </c>
    </row>
    <row r="265" hidden="1">
      <c r="A265" s="67">
        <f>HYPERLINK("https://polkadot.subsquare.io/treasury/child-bounties/1138", 1138)</f>
        <v>1138</v>
      </c>
      <c r="B265" s="1">
        <v>32.0</v>
      </c>
      <c r="C265" s="1" t="s">
        <v>2414</v>
      </c>
      <c r="D265" s="1" t="s">
        <v>738</v>
      </c>
      <c r="E265" s="5">
        <v>50.2168583865</v>
      </c>
      <c r="F265" s="4">
        <v>349.68408882267545</v>
      </c>
      <c r="G265" s="1" t="s">
        <v>2441</v>
      </c>
      <c r="H265" s="95">
        <v>45424.0</v>
      </c>
      <c r="I265" s="95">
        <v>45432.0</v>
      </c>
      <c r="J265" s="4">
        <v>361.60025791350654</v>
      </c>
      <c r="K265" s="1"/>
      <c r="L265" s="1"/>
      <c r="M265" s="1" t="str">
        <f>VLOOKUP(B265,Bounties!A:D,3,FALSE)</f>
        <v>Operations</v>
      </c>
      <c r="N265" s="1" t="str">
        <f>VLOOKUP(B265,Bounties!A:D,4,FALSE)</f>
        <v>RPCs and Nodes</v>
      </c>
      <c r="O265" s="1" t="str">
        <f t="shared" ref="O265:P265" si="269">IF(ISBLANK(K265),M265,K265)</f>
        <v>Operations</v>
      </c>
      <c r="P265" s="1" t="str">
        <f t="shared" si="269"/>
        <v>RPCs and Nodes</v>
      </c>
      <c r="Q265" s="61" t="str">
        <f t="shared" si="3"/>
        <v>2024</v>
      </c>
      <c r="R265" s="62">
        <f t="shared" si="4"/>
        <v>5</v>
      </c>
      <c r="S265" s="61" t="str">
        <f t="shared" si="5"/>
        <v>2024-Q2</v>
      </c>
      <c r="T265" s="63" t="str">
        <f t="shared" si="6"/>
        <v>2024-05</v>
      </c>
      <c r="U265" s="64" t="str">
        <f t="shared" si="7"/>
        <v>2024-H1</v>
      </c>
      <c r="V265" s="9" t="str">
        <f>VLOOKUP(B265,Bounties!A:E,2,FALSE)</f>
        <v>System Parachains Collator Bounty</v>
      </c>
    </row>
    <row r="266" hidden="1">
      <c r="A266" s="67">
        <f>HYPERLINK("https://polkadot.subsquare.io/treasury/child-bounties/1137", 1137)</f>
        <v>1137</v>
      </c>
      <c r="B266" s="1">
        <v>32.0</v>
      </c>
      <c r="C266" s="1" t="s">
        <v>2414</v>
      </c>
      <c r="D266" s="1" t="s">
        <v>737</v>
      </c>
      <c r="E266" s="5">
        <v>49.4860590554</v>
      </c>
      <c r="F266" s="4">
        <v>344.59518229966955</v>
      </c>
      <c r="G266" s="1" t="s">
        <v>2440</v>
      </c>
      <c r="H266" s="95">
        <v>45424.0</v>
      </c>
      <c r="I266" s="95">
        <v>45432.0</v>
      </c>
      <c r="J266" s="4">
        <v>356.33793694999883</v>
      </c>
      <c r="K266" s="1"/>
      <c r="L266" s="1"/>
      <c r="M266" s="1" t="str">
        <f>VLOOKUP(B266,Bounties!A:D,3,FALSE)</f>
        <v>Operations</v>
      </c>
      <c r="N266" s="1" t="str">
        <f>VLOOKUP(B266,Bounties!A:D,4,FALSE)</f>
        <v>RPCs and Nodes</v>
      </c>
      <c r="O266" s="1" t="str">
        <f t="shared" ref="O266:P266" si="270">IF(ISBLANK(K266),M266,K266)</f>
        <v>Operations</v>
      </c>
      <c r="P266" s="1" t="str">
        <f t="shared" si="270"/>
        <v>RPCs and Nodes</v>
      </c>
      <c r="Q266" s="61" t="str">
        <f t="shared" si="3"/>
        <v>2024</v>
      </c>
      <c r="R266" s="62">
        <f t="shared" si="4"/>
        <v>5</v>
      </c>
      <c r="S266" s="61" t="str">
        <f t="shared" si="5"/>
        <v>2024-Q2</v>
      </c>
      <c r="T266" s="63" t="str">
        <f t="shared" si="6"/>
        <v>2024-05</v>
      </c>
      <c r="U266" s="64" t="str">
        <f t="shared" si="7"/>
        <v>2024-H1</v>
      </c>
      <c r="V266" s="9" t="str">
        <f>VLOOKUP(B266,Bounties!A:E,2,FALSE)</f>
        <v>System Parachains Collator Bounty</v>
      </c>
    </row>
    <row r="267" hidden="1">
      <c r="A267" s="67">
        <f>HYPERLINK("https://polkadot.subsquare.io/treasury/child-bounties/1136", 1136)</f>
        <v>1136</v>
      </c>
      <c r="B267" s="1">
        <v>32.0</v>
      </c>
      <c r="C267" s="1" t="s">
        <v>2414</v>
      </c>
      <c r="D267" s="1" t="s">
        <v>736</v>
      </c>
      <c r="E267" s="5">
        <v>50.4710494582</v>
      </c>
      <c r="F267" s="4">
        <v>351.45414326555095</v>
      </c>
      <c r="G267" s="1" t="s">
        <v>2465</v>
      </c>
      <c r="H267" s="95">
        <v>45424.0</v>
      </c>
      <c r="I267" s="95">
        <v>45432.0</v>
      </c>
      <c r="J267" s="4">
        <v>363.43063042264663</v>
      </c>
      <c r="K267" s="1"/>
      <c r="L267" s="1"/>
      <c r="M267" s="1" t="str">
        <f>VLOOKUP(B267,Bounties!A:D,3,FALSE)</f>
        <v>Operations</v>
      </c>
      <c r="N267" s="1" t="str">
        <f>VLOOKUP(B267,Bounties!A:D,4,FALSE)</f>
        <v>RPCs and Nodes</v>
      </c>
      <c r="O267" s="1" t="str">
        <f t="shared" ref="O267:P267" si="271">IF(ISBLANK(K267),M267,K267)</f>
        <v>Operations</v>
      </c>
      <c r="P267" s="1" t="str">
        <f t="shared" si="271"/>
        <v>RPCs and Nodes</v>
      </c>
      <c r="Q267" s="61" t="str">
        <f t="shared" si="3"/>
        <v>2024</v>
      </c>
      <c r="R267" s="62">
        <f t="shared" si="4"/>
        <v>5</v>
      </c>
      <c r="S267" s="61" t="str">
        <f t="shared" si="5"/>
        <v>2024-Q2</v>
      </c>
      <c r="T267" s="63" t="str">
        <f t="shared" si="6"/>
        <v>2024-05</v>
      </c>
      <c r="U267" s="64" t="str">
        <f t="shared" si="7"/>
        <v>2024-H1</v>
      </c>
      <c r="V267" s="9" t="str">
        <f>VLOOKUP(B267,Bounties!A:E,2,FALSE)</f>
        <v>System Parachains Collator Bounty</v>
      </c>
    </row>
    <row r="268" hidden="1">
      <c r="A268" s="67">
        <f>HYPERLINK("https://polkadot.subsquare.io/treasury/child-bounties/1135", 1135)</f>
        <v>1135</v>
      </c>
      <c r="B268" s="1">
        <v>32.0</v>
      </c>
      <c r="C268" s="1" t="s">
        <v>2414</v>
      </c>
      <c r="D268" s="1" t="s">
        <v>735</v>
      </c>
      <c r="E268" s="5">
        <v>37.4427615727</v>
      </c>
      <c r="F268" s="4">
        <v>260.73192119629226</v>
      </c>
      <c r="G268" s="1" t="s">
        <v>2578</v>
      </c>
      <c r="H268" s="95">
        <v>45424.0</v>
      </c>
      <c r="I268" s="95">
        <v>45432.0</v>
      </c>
      <c r="J268" s="4">
        <v>269.6168712402383</v>
      </c>
      <c r="K268" s="1"/>
      <c r="L268" s="1"/>
      <c r="M268" s="1" t="str">
        <f>VLOOKUP(B268,Bounties!A:D,3,FALSE)</f>
        <v>Operations</v>
      </c>
      <c r="N268" s="1" t="str">
        <f>VLOOKUP(B268,Bounties!A:D,4,FALSE)</f>
        <v>RPCs and Nodes</v>
      </c>
      <c r="O268" s="1" t="str">
        <f t="shared" ref="O268:P268" si="272">IF(ISBLANK(K268),M268,K268)</f>
        <v>Operations</v>
      </c>
      <c r="P268" s="1" t="str">
        <f t="shared" si="272"/>
        <v>RPCs and Nodes</v>
      </c>
      <c r="Q268" s="61" t="str">
        <f t="shared" si="3"/>
        <v>2024</v>
      </c>
      <c r="R268" s="62">
        <f t="shared" si="4"/>
        <v>5</v>
      </c>
      <c r="S268" s="61" t="str">
        <f t="shared" si="5"/>
        <v>2024-Q2</v>
      </c>
      <c r="T268" s="63" t="str">
        <f t="shared" si="6"/>
        <v>2024-05</v>
      </c>
      <c r="U268" s="64" t="str">
        <f t="shared" si="7"/>
        <v>2024-H1</v>
      </c>
      <c r="V268" s="9" t="str">
        <f>VLOOKUP(B268,Bounties!A:E,2,FALSE)</f>
        <v>System Parachains Collator Bounty</v>
      </c>
    </row>
    <row r="269" hidden="1">
      <c r="A269" s="67">
        <f>HYPERLINK("https://polkadot.subsquare.io/treasury/child-bounties/1134", 1134)</f>
        <v>1134</v>
      </c>
      <c r="B269" s="1">
        <v>32.0</v>
      </c>
      <c r="C269" s="1" t="s">
        <v>2414</v>
      </c>
      <c r="D269" s="1" t="s">
        <v>734</v>
      </c>
      <c r="E269" s="5">
        <v>39.2937031666</v>
      </c>
      <c r="F269" s="4">
        <v>273.6209159586749</v>
      </c>
      <c r="G269" s="1" t="s">
        <v>2439</v>
      </c>
      <c r="H269" s="95">
        <v>45424.0</v>
      </c>
      <c r="I269" s="95">
        <v>45432.0</v>
      </c>
      <c r="J269" s="4">
        <v>282.94508370199213</v>
      </c>
      <c r="K269" s="1"/>
      <c r="L269" s="1"/>
      <c r="M269" s="1" t="str">
        <f>VLOOKUP(B269,Bounties!A:D,3,FALSE)</f>
        <v>Operations</v>
      </c>
      <c r="N269" s="1" t="str">
        <f>VLOOKUP(B269,Bounties!A:D,4,FALSE)</f>
        <v>RPCs and Nodes</v>
      </c>
      <c r="O269" s="1" t="str">
        <f t="shared" ref="O269:P269" si="273">IF(ISBLANK(K269),M269,K269)</f>
        <v>Operations</v>
      </c>
      <c r="P269" s="1" t="str">
        <f t="shared" si="273"/>
        <v>RPCs and Nodes</v>
      </c>
      <c r="Q269" s="61" t="str">
        <f t="shared" si="3"/>
        <v>2024</v>
      </c>
      <c r="R269" s="62">
        <f t="shared" si="4"/>
        <v>5</v>
      </c>
      <c r="S269" s="61" t="str">
        <f t="shared" si="5"/>
        <v>2024-Q2</v>
      </c>
      <c r="T269" s="63" t="str">
        <f t="shared" si="6"/>
        <v>2024-05</v>
      </c>
      <c r="U269" s="64" t="str">
        <f t="shared" si="7"/>
        <v>2024-H1</v>
      </c>
      <c r="V269" s="9" t="str">
        <f>VLOOKUP(B269,Bounties!A:E,2,FALSE)</f>
        <v>System Parachains Collator Bounty</v>
      </c>
    </row>
    <row r="270" hidden="1">
      <c r="A270" s="67">
        <f>HYPERLINK("https://polkadot.subsquare.io/treasury/child-bounties/1133", 1133)</f>
        <v>1133</v>
      </c>
      <c r="B270" s="1">
        <v>32.0</v>
      </c>
      <c r="C270" s="1" t="s">
        <v>2414</v>
      </c>
      <c r="D270" s="1" t="s">
        <v>733</v>
      </c>
      <c r="E270" s="5">
        <v>57.3518605518</v>
      </c>
      <c r="F270" s="4">
        <v>399.3685336702147</v>
      </c>
      <c r="G270" s="1" t="s">
        <v>2579</v>
      </c>
      <c r="H270" s="95">
        <v>45424.0</v>
      </c>
      <c r="I270" s="95">
        <v>45432.0</v>
      </c>
      <c r="J270" s="4">
        <v>412.9777973710427</v>
      </c>
      <c r="K270" s="1"/>
      <c r="L270" s="1"/>
      <c r="M270" s="1" t="str">
        <f>VLOOKUP(B270,Bounties!A:D,3,FALSE)</f>
        <v>Operations</v>
      </c>
      <c r="N270" s="1" t="str">
        <f>VLOOKUP(B270,Bounties!A:D,4,FALSE)</f>
        <v>RPCs and Nodes</v>
      </c>
      <c r="O270" s="1" t="str">
        <f t="shared" ref="O270:P270" si="274">IF(ISBLANK(K270),M270,K270)</f>
        <v>Operations</v>
      </c>
      <c r="P270" s="1" t="str">
        <f t="shared" si="274"/>
        <v>RPCs and Nodes</v>
      </c>
      <c r="Q270" s="61" t="str">
        <f t="shared" si="3"/>
        <v>2024</v>
      </c>
      <c r="R270" s="62">
        <f t="shared" si="4"/>
        <v>5</v>
      </c>
      <c r="S270" s="61" t="str">
        <f t="shared" si="5"/>
        <v>2024-Q2</v>
      </c>
      <c r="T270" s="63" t="str">
        <f t="shared" si="6"/>
        <v>2024-05</v>
      </c>
      <c r="U270" s="64" t="str">
        <f t="shared" si="7"/>
        <v>2024-H1</v>
      </c>
      <c r="V270" s="9" t="str">
        <f>VLOOKUP(B270,Bounties!A:E,2,FALSE)</f>
        <v>System Parachains Collator Bounty</v>
      </c>
    </row>
    <row r="271" hidden="1">
      <c r="A271" s="67">
        <f>HYPERLINK("https://polkadot.subsquare.io/treasury/child-bounties/1132", 1132)</f>
        <v>1132</v>
      </c>
      <c r="B271" s="1">
        <v>32.0</v>
      </c>
      <c r="C271" s="1" t="s">
        <v>2414</v>
      </c>
      <c r="D271" s="1" t="s">
        <v>732</v>
      </c>
      <c r="E271" s="5">
        <v>13.6663005353</v>
      </c>
      <c r="F271" s="4">
        <v>95.1650103931621</v>
      </c>
      <c r="G271" s="1" t="s">
        <v>2580</v>
      </c>
      <c r="H271" s="95">
        <v>45424.0</v>
      </c>
      <c r="I271" s="95">
        <v>45432.0</v>
      </c>
      <c r="J271" s="4">
        <v>98.40794420577453</v>
      </c>
      <c r="K271" s="1"/>
      <c r="L271" s="1"/>
      <c r="M271" s="1" t="str">
        <f>VLOOKUP(B271,Bounties!A:D,3,FALSE)</f>
        <v>Operations</v>
      </c>
      <c r="N271" s="1" t="str">
        <f>VLOOKUP(B271,Bounties!A:D,4,FALSE)</f>
        <v>RPCs and Nodes</v>
      </c>
      <c r="O271" s="1" t="str">
        <f t="shared" ref="O271:P271" si="275">IF(ISBLANK(K271),M271,K271)</f>
        <v>Operations</v>
      </c>
      <c r="P271" s="1" t="str">
        <f t="shared" si="275"/>
        <v>RPCs and Nodes</v>
      </c>
      <c r="Q271" s="61" t="str">
        <f t="shared" si="3"/>
        <v>2024</v>
      </c>
      <c r="R271" s="62">
        <f t="shared" si="4"/>
        <v>5</v>
      </c>
      <c r="S271" s="61" t="str">
        <f t="shared" si="5"/>
        <v>2024-Q2</v>
      </c>
      <c r="T271" s="63" t="str">
        <f t="shared" si="6"/>
        <v>2024-05</v>
      </c>
      <c r="U271" s="64" t="str">
        <f t="shared" si="7"/>
        <v>2024-H1</v>
      </c>
      <c r="V271" s="9" t="str">
        <f>VLOOKUP(B271,Bounties!A:E,2,FALSE)</f>
        <v>System Parachains Collator Bounty</v>
      </c>
    </row>
    <row r="272" hidden="1">
      <c r="A272" s="67">
        <f>HYPERLINK("https://polkadot.subsquare.io/treasury/child-bounties/1131", 1131)</f>
        <v>1131</v>
      </c>
      <c r="B272" s="1">
        <v>32.0</v>
      </c>
      <c r="C272" s="1" t="s">
        <v>2414</v>
      </c>
      <c r="D272" s="1" t="s">
        <v>731</v>
      </c>
      <c r="E272" s="5">
        <v>51.5301789237</v>
      </c>
      <c r="F272" s="4">
        <v>358.82937011144577</v>
      </c>
      <c r="G272" s="1" t="s">
        <v>2442</v>
      </c>
      <c r="H272" s="95">
        <v>45424.0</v>
      </c>
      <c r="I272" s="95">
        <v>45432.0</v>
      </c>
      <c r="J272" s="4">
        <v>371.05718254466376</v>
      </c>
      <c r="K272" s="1"/>
      <c r="L272" s="1"/>
      <c r="M272" s="1" t="str">
        <f>VLOOKUP(B272,Bounties!A:D,3,FALSE)</f>
        <v>Operations</v>
      </c>
      <c r="N272" s="1" t="str">
        <f>VLOOKUP(B272,Bounties!A:D,4,FALSE)</f>
        <v>RPCs and Nodes</v>
      </c>
      <c r="O272" s="1" t="str">
        <f t="shared" ref="O272:P272" si="276">IF(ISBLANK(K272),M272,K272)</f>
        <v>Operations</v>
      </c>
      <c r="P272" s="1" t="str">
        <f t="shared" si="276"/>
        <v>RPCs and Nodes</v>
      </c>
      <c r="Q272" s="61" t="str">
        <f t="shared" si="3"/>
        <v>2024</v>
      </c>
      <c r="R272" s="62">
        <f t="shared" si="4"/>
        <v>5</v>
      </c>
      <c r="S272" s="61" t="str">
        <f t="shared" si="5"/>
        <v>2024-Q2</v>
      </c>
      <c r="T272" s="63" t="str">
        <f t="shared" si="6"/>
        <v>2024-05</v>
      </c>
      <c r="U272" s="64" t="str">
        <f t="shared" si="7"/>
        <v>2024-H1</v>
      </c>
      <c r="V272" s="9" t="str">
        <f>VLOOKUP(B272,Bounties!A:E,2,FALSE)</f>
        <v>System Parachains Collator Bounty</v>
      </c>
    </row>
    <row r="273" hidden="1">
      <c r="A273" s="67">
        <f>HYPERLINK("https://polkadot.subsquare.io/treasury/child-bounties/1130", 1130)</f>
        <v>1130</v>
      </c>
      <c r="B273" s="1">
        <v>32.0</v>
      </c>
      <c r="C273" s="1" t="s">
        <v>2414</v>
      </c>
      <c r="D273" s="1" t="s">
        <v>730</v>
      </c>
      <c r="E273" s="5">
        <v>36.5125879997</v>
      </c>
      <c r="F273" s="4">
        <v>254.25467612815237</v>
      </c>
      <c r="G273" s="1" t="s">
        <v>2581</v>
      </c>
      <c r="H273" s="95">
        <v>45424.0</v>
      </c>
      <c r="I273" s="95">
        <v>45432.0</v>
      </c>
      <c r="J273" s="4">
        <v>262.918901380946</v>
      </c>
      <c r="K273" s="1"/>
      <c r="L273" s="1"/>
      <c r="M273" s="1" t="str">
        <f>VLOOKUP(B273,Bounties!A:D,3,FALSE)</f>
        <v>Operations</v>
      </c>
      <c r="N273" s="1" t="str">
        <f>VLOOKUP(B273,Bounties!A:D,4,FALSE)</f>
        <v>RPCs and Nodes</v>
      </c>
      <c r="O273" s="1" t="str">
        <f t="shared" ref="O273:P273" si="277">IF(ISBLANK(K273),M273,K273)</f>
        <v>Operations</v>
      </c>
      <c r="P273" s="1" t="str">
        <f t="shared" si="277"/>
        <v>RPCs and Nodes</v>
      </c>
      <c r="Q273" s="61" t="str">
        <f t="shared" si="3"/>
        <v>2024</v>
      </c>
      <c r="R273" s="62">
        <f t="shared" si="4"/>
        <v>5</v>
      </c>
      <c r="S273" s="61" t="str">
        <f t="shared" si="5"/>
        <v>2024-Q2</v>
      </c>
      <c r="T273" s="63" t="str">
        <f t="shared" si="6"/>
        <v>2024-05</v>
      </c>
      <c r="U273" s="64" t="str">
        <f t="shared" si="7"/>
        <v>2024-H1</v>
      </c>
      <c r="V273" s="9" t="str">
        <f>VLOOKUP(B273,Bounties!A:E,2,FALSE)</f>
        <v>System Parachains Collator Bounty</v>
      </c>
    </row>
    <row r="274" hidden="1">
      <c r="A274" s="67">
        <f>HYPERLINK("https://polkadot.subsquare.io/treasury/child-bounties/1129", 1129)</f>
        <v>1129</v>
      </c>
      <c r="B274" s="1">
        <v>32.0</v>
      </c>
      <c r="C274" s="1" t="s">
        <v>2414</v>
      </c>
      <c r="D274" s="1" t="s">
        <v>729</v>
      </c>
      <c r="E274" s="5">
        <v>39.7302025001</v>
      </c>
      <c r="F274" s="4">
        <v>276.6604703356506</v>
      </c>
      <c r="G274" s="1" t="s">
        <v>2444</v>
      </c>
      <c r="H274" s="95">
        <v>45424.0</v>
      </c>
      <c r="I274" s="95">
        <v>45432.0</v>
      </c>
      <c r="J274" s="4">
        <v>286.08821683783776</v>
      </c>
      <c r="K274" s="1"/>
      <c r="L274" s="1"/>
      <c r="M274" s="1" t="str">
        <f>VLOOKUP(B274,Bounties!A:D,3,FALSE)</f>
        <v>Operations</v>
      </c>
      <c r="N274" s="1" t="str">
        <f>VLOOKUP(B274,Bounties!A:D,4,FALSE)</f>
        <v>RPCs and Nodes</v>
      </c>
      <c r="O274" s="1" t="str">
        <f t="shared" ref="O274:P274" si="278">IF(ISBLANK(K274),M274,K274)</f>
        <v>Operations</v>
      </c>
      <c r="P274" s="1" t="str">
        <f t="shared" si="278"/>
        <v>RPCs and Nodes</v>
      </c>
      <c r="Q274" s="61" t="str">
        <f t="shared" si="3"/>
        <v>2024</v>
      </c>
      <c r="R274" s="62">
        <f t="shared" si="4"/>
        <v>5</v>
      </c>
      <c r="S274" s="61" t="str">
        <f t="shared" si="5"/>
        <v>2024-Q2</v>
      </c>
      <c r="T274" s="63" t="str">
        <f t="shared" si="6"/>
        <v>2024-05</v>
      </c>
      <c r="U274" s="64" t="str">
        <f t="shared" si="7"/>
        <v>2024-H1</v>
      </c>
      <c r="V274" s="9" t="str">
        <f>VLOOKUP(B274,Bounties!A:E,2,FALSE)</f>
        <v>System Parachains Collator Bounty</v>
      </c>
    </row>
    <row r="275" hidden="1">
      <c r="A275" s="67">
        <f>HYPERLINK("https://polkadot.subsquare.io/treasury/child-bounties/1128", 1128)</f>
        <v>1128</v>
      </c>
      <c r="B275" s="1">
        <v>32.0</v>
      </c>
      <c r="C275" s="1" t="s">
        <v>2414</v>
      </c>
      <c r="D275" s="1" t="s">
        <v>728</v>
      </c>
      <c r="E275" s="5">
        <v>36.8401139056</v>
      </c>
      <c r="F275" s="4">
        <v>256.5353962219695</v>
      </c>
      <c r="G275" s="1" t="s">
        <v>2582</v>
      </c>
      <c r="H275" s="95">
        <v>45424.0</v>
      </c>
      <c r="I275" s="95">
        <v>45432.0</v>
      </c>
      <c r="J275" s="4">
        <v>265.27734147162744</v>
      </c>
      <c r="K275" s="1"/>
      <c r="L275" s="1"/>
      <c r="M275" s="1" t="str">
        <f>VLOOKUP(B275,Bounties!A:D,3,FALSE)</f>
        <v>Operations</v>
      </c>
      <c r="N275" s="1" t="str">
        <f>VLOOKUP(B275,Bounties!A:D,4,FALSE)</f>
        <v>RPCs and Nodes</v>
      </c>
      <c r="O275" s="1" t="str">
        <f t="shared" ref="O275:P275" si="279">IF(ISBLANK(K275),M275,K275)</f>
        <v>Operations</v>
      </c>
      <c r="P275" s="1" t="str">
        <f t="shared" si="279"/>
        <v>RPCs and Nodes</v>
      </c>
      <c r="Q275" s="61" t="str">
        <f t="shared" si="3"/>
        <v>2024</v>
      </c>
      <c r="R275" s="62">
        <f t="shared" si="4"/>
        <v>5</v>
      </c>
      <c r="S275" s="61" t="str">
        <f t="shared" si="5"/>
        <v>2024-Q2</v>
      </c>
      <c r="T275" s="63" t="str">
        <f t="shared" si="6"/>
        <v>2024-05</v>
      </c>
      <c r="U275" s="64" t="str">
        <f t="shared" si="7"/>
        <v>2024-H1</v>
      </c>
      <c r="V275" s="9" t="str">
        <f>VLOOKUP(B275,Bounties!A:E,2,FALSE)</f>
        <v>System Parachains Collator Bounty</v>
      </c>
    </row>
    <row r="276" hidden="1">
      <c r="A276" s="67">
        <f>HYPERLINK("https://polkadot.subsquare.io/treasury/child-bounties/1127", 1127)</f>
        <v>1127</v>
      </c>
      <c r="B276" s="1">
        <v>32.0</v>
      </c>
      <c r="C276" s="1" t="s">
        <v>2414</v>
      </c>
      <c r="D276" s="1" t="s">
        <v>727</v>
      </c>
      <c r="E276" s="5">
        <v>41.3311491286</v>
      </c>
      <c r="F276" s="4">
        <v>287.80863015743785</v>
      </c>
      <c r="G276" s="1" t="s">
        <v>2445</v>
      </c>
      <c r="H276" s="95">
        <v>45424.0</v>
      </c>
      <c r="I276" s="95">
        <v>45432.0</v>
      </c>
      <c r="J276" s="4">
        <v>297.6162720044068</v>
      </c>
      <c r="K276" s="1"/>
      <c r="L276" s="1"/>
      <c r="M276" s="1" t="str">
        <f>VLOOKUP(B276,Bounties!A:D,3,FALSE)</f>
        <v>Operations</v>
      </c>
      <c r="N276" s="1" t="str">
        <f>VLOOKUP(B276,Bounties!A:D,4,FALSE)</f>
        <v>RPCs and Nodes</v>
      </c>
      <c r="O276" s="1" t="str">
        <f t="shared" ref="O276:P276" si="280">IF(ISBLANK(K276),M276,K276)</f>
        <v>Operations</v>
      </c>
      <c r="P276" s="1" t="str">
        <f t="shared" si="280"/>
        <v>RPCs and Nodes</v>
      </c>
      <c r="Q276" s="61" t="str">
        <f t="shared" si="3"/>
        <v>2024</v>
      </c>
      <c r="R276" s="62">
        <f t="shared" si="4"/>
        <v>5</v>
      </c>
      <c r="S276" s="61" t="str">
        <f t="shared" si="5"/>
        <v>2024-Q2</v>
      </c>
      <c r="T276" s="63" t="str">
        <f t="shared" si="6"/>
        <v>2024-05</v>
      </c>
      <c r="U276" s="64" t="str">
        <f t="shared" si="7"/>
        <v>2024-H1</v>
      </c>
      <c r="V276" s="9" t="str">
        <f>VLOOKUP(B276,Bounties!A:E,2,FALSE)</f>
        <v>System Parachains Collator Bounty</v>
      </c>
    </row>
    <row r="277" hidden="1">
      <c r="A277" s="67">
        <f>HYPERLINK("https://polkadot.subsquare.io/treasury/child-bounties/1126", 1126)</f>
        <v>1126</v>
      </c>
      <c r="B277" s="1">
        <v>32.0</v>
      </c>
      <c r="C277" s="1" t="s">
        <v>2414</v>
      </c>
      <c r="D277" s="1" t="s">
        <v>693</v>
      </c>
      <c r="E277" s="5">
        <v>6.3847900114</v>
      </c>
      <c r="F277" s="4">
        <v>44.46035752130491</v>
      </c>
      <c r="G277" s="1" t="s">
        <v>2442</v>
      </c>
      <c r="H277" s="95">
        <v>45424.0</v>
      </c>
      <c r="I277" s="95">
        <v>45432.0</v>
      </c>
      <c r="J277" s="4">
        <v>45.975431140600556</v>
      </c>
      <c r="K277" s="1"/>
      <c r="L277" s="1"/>
      <c r="M277" s="1" t="str">
        <f>VLOOKUP(B277,Bounties!A:D,3,FALSE)</f>
        <v>Operations</v>
      </c>
      <c r="N277" s="1" t="str">
        <f>VLOOKUP(B277,Bounties!A:D,4,FALSE)</f>
        <v>RPCs and Nodes</v>
      </c>
      <c r="O277" s="1" t="str">
        <f t="shared" ref="O277:P277" si="281">IF(ISBLANK(K277),M277,K277)</f>
        <v>Operations</v>
      </c>
      <c r="P277" s="1" t="str">
        <f t="shared" si="281"/>
        <v>RPCs and Nodes</v>
      </c>
      <c r="Q277" s="61" t="str">
        <f t="shared" si="3"/>
        <v>2024</v>
      </c>
      <c r="R277" s="62">
        <f t="shared" si="4"/>
        <v>5</v>
      </c>
      <c r="S277" s="61" t="str">
        <f t="shared" si="5"/>
        <v>2024-Q2</v>
      </c>
      <c r="T277" s="63" t="str">
        <f t="shared" si="6"/>
        <v>2024-05</v>
      </c>
      <c r="U277" s="64" t="str">
        <f t="shared" si="7"/>
        <v>2024-H1</v>
      </c>
      <c r="V277" s="9" t="str">
        <f>VLOOKUP(B277,Bounties!A:E,2,FALSE)</f>
        <v>System Parachains Collator Bounty</v>
      </c>
    </row>
    <row r="278" hidden="1">
      <c r="A278" s="67">
        <f>HYPERLINK("https://polkadot.subsquare.io/treasury/child-bounties/1125", 1125)</f>
        <v>1125</v>
      </c>
      <c r="B278" s="1">
        <v>32.0</v>
      </c>
      <c r="C278" s="1" t="s">
        <v>2414</v>
      </c>
      <c r="D278" s="1" t="s">
        <v>726</v>
      </c>
      <c r="E278" s="5">
        <v>9.4685008826</v>
      </c>
      <c r="F278" s="4">
        <v>65.93371648551366</v>
      </c>
      <c r="G278" s="1" t="s">
        <v>2437</v>
      </c>
      <c r="H278" s="95">
        <v>45424.0</v>
      </c>
      <c r="I278" s="95">
        <v>45432.0</v>
      </c>
      <c r="J278" s="4">
        <v>68.18053680002535</v>
      </c>
      <c r="K278" s="1"/>
      <c r="L278" s="1"/>
      <c r="M278" s="1" t="str">
        <f>VLOOKUP(B278,Bounties!A:D,3,FALSE)</f>
        <v>Operations</v>
      </c>
      <c r="N278" s="1" t="str">
        <f>VLOOKUP(B278,Bounties!A:D,4,FALSE)</f>
        <v>RPCs and Nodes</v>
      </c>
      <c r="O278" s="1" t="str">
        <f t="shared" ref="O278:P278" si="282">IF(ISBLANK(K278),M278,K278)</f>
        <v>Operations</v>
      </c>
      <c r="P278" s="1" t="str">
        <f t="shared" si="282"/>
        <v>RPCs and Nodes</v>
      </c>
      <c r="Q278" s="61" t="str">
        <f t="shared" si="3"/>
        <v>2024</v>
      </c>
      <c r="R278" s="62">
        <f t="shared" si="4"/>
        <v>5</v>
      </c>
      <c r="S278" s="61" t="str">
        <f t="shared" si="5"/>
        <v>2024-Q2</v>
      </c>
      <c r="T278" s="63" t="str">
        <f t="shared" si="6"/>
        <v>2024-05</v>
      </c>
      <c r="U278" s="64" t="str">
        <f t="shared" si="7"/>
        <v>2024-H1</v>
      </c>
      <c r="V278" s="9" t="str">
        <f>VLOOKUP(B278,Bounties!A:E,2,FALSE)</f>
        <v>System Parachains Collator Bounty</v>
      </c>
    </row>
    <row r="279" hidden="1">
      <c r="A279" s="67">
        <f>HYPERLINK("https://polkadot.subsquare.io/treasury/child-bounties/1124", 1124)</f>
        <v>1124</v>
      </c>
      <c r="B279" s="1">
        <v>32.0</v>
      </c>
      <c r="C279" s="1" t="s">
        <v>2414</v>
      </c>
      <c r="D279" s="1" t="s">
        <v>725</v>
      </c>
      <c r="E279" s="5">
        <v>9.4685008826</v>
      </c>
      <c r="F279" s="4">
        <v>65.93371648551366</v>
      </c>
      <c r="G279" s="1" t="s">
        <v>2463</v>
      </c>
      <c r="H279" s="95">
        <v>45424.0</v>
      </c>
      <c r="I279" s="95">
        <v>45432.0</v>
      </c>
      <c r="J279" s="4">
        <v>68.18053680002535</v>
      </c>
      <c r="K279" s="1"/>
      <c r="L279" s="1"/>
      <c r="M279" s="1" t="str">
        <f>VLOOKUP(B279,Bounties!A:D,3,FALSE)</f>
        <v>Operations</v>
      </c>
      <c r="N279" s="1" t="str">
        <f>VLOOKUP(B279,Bounties!A:D,4,FALSE)</f>
        <v>RPCs and Nodes</v>
      </c>
      <c r="O279" s="1" t="str">
        <f t="shared" ref="O279:P279" si="283">IF(ISBLANK(K279),M279,K279)</f>
        <v>Operations</v>
      </c>
      <c r="P279" s="1" t="str">
        <f t="shared" si="283"/>
        <v>RPCs and Nodes</v>
      </c>
      <c r="Q279" s="61" t="str">
        <f t="shared" si="3"/>
        <v>2024</v>
      </c>
      <c r="R279" s="62">
        <f t="shared" si="4"/>
        <v>5</v>
      </c>
      <c r="S279" s="61" t="str">
        <f t="shared" si="5"/>
        <v>2024-Q2</v>
      </c>
      <c r="T279" s="63" t="str">
        <f t="shared" si="6"/>
        <v>2024-05</v>
      </c>
      <c r="U279" s="64" t="str">
        <f t="shared" si="7"/>
        <v>2024-H1</v>
      </c>
      <c r="V279" s="9" t="str">
        <f>VLOOKUP(B279,Bounties!A:E,2,FALSE)</f>
        <v>System Parachains Collator Bounty</v>
      </c>
    </row>
    <row r="280" hidden="1">
      <c r="A280" s="67">
        <f>HYPERLINK("https://polkadot.subsquare.io/treasury/child-bounties/1123", 1123)</f>
        <v>1123</v>
      </c>
      <c r="B280" s="1">
        <v>32.0</v>
      </c>
      <c r="C280" s="1" t="s">
        <v>2414</v>
      </c>
      <c r="D280" s="1" t="s">
        <v>724</v>
      </c>
      <c r="E280" s="5">
        <v>9.4685008826</v>
      </c>
      <c r="F280" s="4">
        <v>65.93371648551366</v>
      </c>
      <c r="G280" s="1" t="s">
        <v>2438</v>
      </c>
      <c r="H280" s="95">
        <v>45424.0</v>
      </c>
      <c r="I280" s="95">
        <v>45432.0</v>
      </c>
      <c r="J280" s="4">
        <v>68.18053680002535</v>
      </c>
      <c r="K280" s="1"/>
      <c r="L280" s="1"/>
      <c r="M280" s="1" t="str">
        <f>VLOOKUP(B280,Bounties!A:D,3,FALSE)</f>
        <v>Operations</v>
      </c>
      <c r="N280" s="1" t="str">
        <f>VLOOKUP(B280,Bounties!A:D,4,FALSE)</f>
        <v>RPCs and Nodes</v>
      </c>
      <c r="O280" s="1" t="str">
        <f t="shared" ref="O280:P280" si="284">IF(ISBLANK(K280),M280,K280)</f>
        <v>Operations</v>
      </c>
      <c r="P280" s="1" t="str">
        <f t="shared" si="284"/>
        <v>RPCs and Nodes</v>
      </c>
      <c r="Q280" s="61" t="str">
        <f t="shared" si="3"/>
        <v>2024</v>
      </c>
      <c r="R280" s="62">
        <f t="shared" si="4"/>
        <v>5</v>
      </c>
      <c r="S280" s="61" t="str">
        <f t="shared" si="5"/>
        <v>2024-Q2</v>
      </c>
      <c r="T280" s="63" t="str">
        <f t="shared" si="6"/>
        <v>2024-05</v>
      </c>
      <c r="U280" s="64" t="str">
        <f t="shared" si="7"/>
        <v>2024-H1</v>
      </c>
      <c r="V280" s="9" t="str">
        <f>VLOOKUP(B280,Bounties!A:E,2,FALSE)</f>
        <v>System Parachains Collator Bounty</v>
      </c>
    </row>
    <row r="281" hidden="1">
      <c r="A281" s="67">
        <f>HYPERLINK("https://polkadot.subsquare.io/treasury/child-bounties/1122", 1122)</f>
        <v>1122</v>
      </c>
      <c r="B281" s="1">
        <v>32.0</v>
      </c>
      <c r="C281" s="1" t="s">
        <v>2414</v>
      </c>
      <c r="D281" s="1" t="s">
        <v>723</v>
      </c>
      <c r="E281" s="5">
        <v>17.6022491867</v>
      </c>
      <c r="F281" s="4">
        <v>122.57291009139679</v>
      </c>
      <c r="G281" s="1" t="s">
        <v>2547</v>
      </c>
      <c r="H281" s="95">
        <v>45424.0</v>
      </c>
      <c r="I281" s="95">
        <v>45432.0</v>
      </c>
      <c r="J281" s="4">
        <v>126.7498216790012</v>
      </c>
      <c r="K281" s="1"/>
      <c r="L281" s="1"/>
      <c r="M281" s="1" t="str">
        <f>VLOOKUP(B281,Bounties!A:D,3,FALSE)</f>
        <v>Operations</v>
      </c>
      <c r="N281" s="1" t="str">
        <f>VLOOKUP(B281,Bounties!A:D,4,FALSE)</f>
        <v>RPCs and Nodes</v>
      </c>
      <c r="O281" s="1" t="str">
        <f t="shared" ref="O281:P281" si="285">IF(ISBLANK(K281),M281,K281)</f>
        <v>Operations</v>
      </c>
      <c r="P281" s="1" t="str">
        <f t="shared" si="285"/>
        <v>RPCs and Nodes</v>
      </c>
      <c r="Q281" s="61" t="str">
        <f t="shared" si="3"/>
        <v>2024</v>
      </c>
      <c r="R281" s="62">
        <f t="shared" si="4"/>
        <v>5</v>
      </c>
      <c r="S281" s="61" t="str">
        <f t="shared" si="5"/>
        <v>2024-Q2</v>
      </c>
      <c r="T281" s="63" t="str">
        <f t="shared" si="6"/>
        <v>2024-05</v>
      </c>
      <c r="U281" s="64" t="str">
        <f t="shared" si="7"/>
        <v>2024-H1</v>
      </c>
      <c r="V281" s="9" t="str">
        <f>VLOOKUP(B281,Bounties!A:E,2,FALSE)</f>
        <v>System Parachains Collator Bounty</v>
      </c>
    </row>
    <row r="282" hidden="1">
      <c r="A282" s="67">
        <f>HYPERLINK("https://polkadot.subsquare.io/treasury/child-bounties/1121", 1121)</f>
        <v>1121</v>
      </c>
      <c r="B282" s="1">
        <v>32.0</v>
      </c>
      <c r="C282" s="1" t="s">
        <v>2414</v>
      </c>
      <c r="D282" s="1" t="s">
        <v>722</v>
      </c>
      <c r="E282" s="5">
        <v>35.3801549142</v>
      </c>
      <c r="F282" s="4">
        <v>246.3690009907731</v>
      </c>
      <c r="G282" s="1" t="s">
        <v>2458</v>
      </c>
      <c r="H282" s="95">
        <v>45424.0</v>
      </c>
      <c r="I282" s="95">
        <v>45432.0</v>
      </c>
      <c r="J282" s="4">
        <v>254.76450644379332</v>
      </c>
      <c r="K282" s="1"/>
      <c r="L282" s="1"/>
      <c r="M282" s="1" t="str">
        <f>VLOOKUP(B282,Bounties!A:D,3,FALSE)</f>
        <v>Operations</v>
      </c>
      <c r="N282" s="1" t="str">
        <f>VLOOKUP(B282,Bounties!A:D,4,FALSE)</f>
        <v>RPCs and Nodes</v>
      </c>
      <c r="O282" s="1" t="str">
        <f t="shared" ref="O282:P282" si="286">IF(ISBLANK(K282),M282,K282)</f>
        <v>Operations</v>
      </c>
      <c r="P282" s="1" t="str">
        <f t="shared" si="286"/>
        <v>RPCs and Nodes</v>
      </c>
      <c r="Q282" s="61" t="str">
        <f t="shared" si="3"/>
        <v>2024</v>
      </c>
      <c r="R282" s="62">
        <f t="shared" si="4"/>
        <v>5</v>
      </c>
      <c r="S282" s="61" t="str">
        <f t="shared" si="5"/>
        <v>2024-Q2</v>
      </c>
      <c r="T282" s="63" t="str">
        <f t="shared" si="6"/>
        <v>2024-05</v>
      </c>
      <c r="U282" s="64" t="str">
        <f t="shared" si="7"/>
        <v>2024-H1</v>
      </c>
      <c r="V282" s="9" t="str">
        <f>VLOOKUP(B282,Bounties!A:E,2,FALSE)</f>
        <v>System Parachains Collator Bounty</v>
      </c>
    </row>
    <row r="283" hidden="1">
      <c r="A283" s="67">
        <f>HYPERLINK("https://polkadot.subsquare.io/treasury/child-bounties/1120", 1120)</f>
        <v>1120</v>
      </c>
      <c r="B283" s="1">
        <v>32.0</v>
      </c>
      <c r="C283" s="1" t="s">
        <v>2414</v>
      </c>
      <c r="D283" s="1" t="s">
        <v>721</v>
      </c>
      <c r="E283" s="5">
        <v>39.0045811439</v>
      </c>
      <c r="F283" s="4">
        <v>271.6076205372792</v>
      </c>
      <c r="G283" s="1" t="s">
        <v>2439</v>
      </c>
      <c r="H283" s="95">
        <v>45424.0</v>
      </c>
      <c r="I283" s="95">
        <v>45432.0</v>
      </c>
      <c r="J283" s="4">
        <v>280.86318130236094</v>
      </c>
      <c r="K283" s="1"/>
      <c r="L283" s="1"/>
      <c r="M283" s="1" t="str">
        <f>VLOOKUP(B283,Bounties!A:D,3,FALSE)</f>
        <v>Operations</v>
      </c>
      <c r="N283" s="1" t="str">
        <f>VLOOKUP(B283,Bounties!A:D,4,FALSE)</f>
        <v>RPCs and Nodes</v>
      </c>
      <c r="O283" s="1" t="str">
        <f t="shared" ref="O283:P283" si="287">IF(ISBLANK(K283),M283,K283)</f>
        <v>Operations</v>
      </c>
      <c r="P283" s="1" t="str">
        <f t="shared" si="287"/>
        <v>RPCs and Nodes</v>
      </c>
      <c r="Q283" s="61" t="str">
        <f t="shared" si="3"/>
        <v>2024</v>
      </c>
      <c r="R283" s="62">
        <f t="shared" si="4"/>
        <v>5</v>
      </c>
      <c r="S283" s="61" t="str">
        <f t="shared" si="5"/>
        <v>2024-Q2</v>
      </c>
      <c r="T283" s="63" t="str">
        <f t="shared" si="6"/>
        <v>2024-05</v>
      </c>
      <c r="U283" s="64" t="str">
        <f t="shared" si="7"/>
        <v>2024-H1</v>
      </c>
      <c r="V283" s="9" t="str">
        <f>VLOOKUP(B283,Bounties!A:E,2,FALSE)</f>
        <v>System Parachains Collator Bounty</v>
      </c>
    </row>
    <row r="284" hidden="1">
      <c r="A284" s="67">
        <f>HYPERLINK("https://polkadot.subsquare.io/treasury/child-bounties/1119", 1119)</f>
        <v>1119</v>
      </c>
      <c r="B284" s="1">
        <v>32.0</v>
      </c>
      <c r="C284" s="1" t="s">
        <v>2414</v>
      </c>
      <c r="D284" s="1" t="s">
        <v>720</v>
      </c>
      <c r="E284" s="5">
        <v>15.1833122403</v>
      </c>
      <c r="F284" s="4">
        <v>105.72869105421412</v>
      </c>
      <c r="G284" s="1" t="s">
        <v>2473</v>
      </c>
      <c r="H284" s="95">
        <v>45424.0</v>
      </c>
      <c r="I284" s="95">
        <v>45432.0</v>
      </c>
      <c r="J284" s="4">
        <v>109.33160294132931</v>
      </c>
      <c r="K284" s="1"/>
      <c r="L284" s="1"/>
      <c r="M284" s="1" t="str">
        <f>VLOOKUP(B284,Bounties!A:D,3,FALSE)</f>
        <v>Operations</v>
      </c>
      <c r="N284" s="1" t="str">
        <f>VLOOKUP(B284,Bounties!A:D,4,FALSE)</f>
        <v>RPCs and Nodes</v>
      </c>
      <c r="O284" s="1" t="str">
        <f t="shared" ref="O284:P284" si="288">IF(ISBLANK(K284),M284,K284)</f>
        <v>Operations</v>
      </c>
      <c r="P284" s="1" t="str">
        <f t="shared" si="288"/>
        <v>RPCs and Nodes</v>
      </c>
      <c r="Q284" s="61" t="str">
        <f t="shared" si="3"/>
        <v>2024</v>
      </c>
      <c r="R284" s="62">
        <f t="shared" si="4"/>
        <v>5</v>
      </c>
      <c r="S284" s="61" t="str">
        <f t="shared" si="5"/>
        <v>2024-Q2</v>
      </c>
      <c r="T284" s="63" t="str">
        <f t="shared" si="6"/>
        <v>2024-05</v>
      </c>
      <c r="U284" s="64" t="str">
        <f t="shared" si="7"/>
        <v>2024-H1</v>
      </c>
      <c r="V284" s="9" t="str">
        <f>VLOOKUP(B284,Bounties!A:E,2,FALSE)</f>
        <v>System Parachains Collator Bounty</v>
      </c>
    </row>
    <row r="285" hidden="1">
      <c r="A285" s="67">
        <f>HYPERLINK("https://polkadot.subsquare.io/treasury/child-bounties/1118", 1118)</f>
        <v>1118</v>
      </c>
      <c r="B285" s="1">
        <v>32.0</v>
      </c>
      <c r="C285" s="1" t="s">
        <v>2414</v>
      </c>
      <c r="D285" s="1" t="s">
        <v>719</v>
      </c>
      <c r="E285" s="5">
        <v>52.6713456434</v>
      </c>
      <c r="F285" s="4">
        <v>366.7758617358668</v>
      </c>
      <c r="G285" s="1" t="s">
        <v>2459</v>
      </c>
      <c r="H285" s="95">
        <v>45424.0</v>
      </c>
      <c r="I285" s="95">
        <v>45432.0</v>
      </c>
      <c r="J285" s="4">
        <v>379.2744664095732</v>
      </c>
      <c r="K285" s="1"/>
      <c r="L285" s="1"/>
      <c r="M285" s="1" t="str">
        <f>VLOOKUP(B285,Bounties!A:D,3,FALSE)</f>
        <v>Operations</v>
      </c>
      <c r="N285" s="1" t="str">
        <f>VLOOKUP(B285,Bounties!A:D,4,FALSE)</f>
        <v>RPCs and Nodes</v>
      </c>
      <c r="O285" s="1" t="str">
        <f t="shared" ref="O285:P285" si="289">IF(ISBLANK(K285),M285,K285)</f>
        <v>Operations</v>
      </c>
      <c r="P285" s="1" t="str">
        <f t="shared" si="289"/>
        <v>RPCs and Nodes</v>
      </c>
      <c r="Q285" s="61" t="str">
        <f t="shared" si="3"/>
        <v>2024</v>
      </c>
      <c r="R285" s="62">
        <f t="shared" si="4"/>
        <v>5</v>
      </c>
      <c r="S285" s="61" t="str">
        <f t="shared" si="5"/>
        <v>2024-Q2</v>
      </c>
      <c r="T285" s="63" t="str">
        <f t="shared" si="6"/>
        <v>2024-05</v>
      </c>
      <c r="U285" s="64" t="str">
        <f t="shared" si="7"/>
        <v>2024-H1</v>
      </c>
      <c r="V285" s="9" t="str">
        <f>VLOOKUP(B285,Bounties!A:E,2,FALSE)</f>
        <v>System Parachains Collator Bounty</v>
      </c>
    </row>
    <row r="286" hidden="1">
      <c r="A286" s="67">
        <f>HYPERLINK("https://polkadot.subsquare.io/treasury/child-bounties/1117", 1117)</f>
        <v>1117</v>
      </c>
      <c r="B286" s="1">
        <v>32.0</v>
      </c>
      <c r="C286" s="1" t="s">
        <v>2414</v>
      </c>
      <c r="D286" s="1" t="s">
        <v>718</v>
      </c>
      <c r="E286" s="5">
        <v>57.3518605518</v>
      </c>
      <c r="F286" s="4">
        <v>399.3685336702147</v>
      </c>
      <c r="G286" s="1" t="s">
        <v>2445</v>
      </c>
      <c r="H286" s="95">
        <v>45424.0</v>
      </c>
      <c r="I286" s="95">
        <v>45432.0</v>
      </c>
      <c r="J286" s="4">
        <v>412.9777973710427</v>
      </c>
      <c r="K286" s="1"/>
      <c r="L286" s="1"/>
      <c r="M286" s="1" t="str">
        <f>VLOOKUP(B286,Bounties!A:D,3,FALSE)</f>
        <v>Operations</v>
      </c>
      <c r="N286" s="1" t="str">
        <f>VLOOKUP(B286,Bounties!A:D,4,FALSE)</f>
        <v>RPCs and Nodes</v>
      </c>
      <c r="O286" s="1" t="str">
        <f t="shared" ref="O286:P286" si="290">IF(ISBLANK(K286),M286,K286)</f>
        <v>Operations</v>
      </c>
      <c r="P286" s="1" t="str">
        <f t="shared" si="290"/>
        <v>RPCs and Nodes</v>
      </c>
      <c r="Q286" s="61" t="str">
        <f t="shared" si="3"/>
        <v>2024</v>
      </c>
      <c r="R286" s="62">
        <f t="shared" si="4"/>
        <v>5</v>
      </c>
      <c r="S286" s="61" t="str">
        <f t="shared" si="5"/>
        <v>2024-Q2</v>
      </c>
      <c r="T286" s="63" t="str">
        <f t="shared" si="6"/>
        <v>2024-05</v>
      </c>
      <c r="U286" s="64" t="str">
        <f t="shared" si="7"/>
        <v>2024-H1</v>
      </c>
      <c r="V286" s="9" t="str">
        <f>VLOOKUP(B286,Bounties!A:E,2,FALSE)</f>
        <v>System Parachains Collator Bounty</v>
      </c>
    </row>
    <row r="287" hidden="1">
      <c r="A287" s="67">
        <f>HYPERLINK("https://polkadot.subsquare.io/treasury/child-bounties/1116", 1116)</f>
        <v>1116</v>
      </c>
      <c r="B287" s="1">
        <v>32.0</v>
      </c>
      <c r="C287" s="1" t="s">
        <v>2414</v>
      </c>
      <c r="D287" s="1" t="s">
        <v>717</v>
      </c>
      <c r="E287" s="5">
        <v>54.8780309364</v>
      </c>
      <c r="F287" s="4">
        <v>382.14207063053846</v>
      </c>
      <c r="G287" s="1" t="s">
        <v>2444</v>
      </c>
      <c r="H287" s="95">
        <v>45424.0</v>
      </c>
      <c r="I287" s="95">
        <v>45432.0</v>
      </c>
      <c r="J287" s="4">
        <v>395.16430891906117</v>
      </c>
      <c r="K287" s="1"/>
      <c r="L287" s="1"/>
      <c r="M287" s="1" t="str">
        <f>VLOOKUP(B287,Bounties!A:D,3,FALSE)</f>
        <v>Operations</v>
      </c>
      <c r="N287" s="1" t="str">
        <f>VLOOKUP(B287,Bounties!A:D,4,FALSE)</f>
        <v>RPCs and Nodes</v>
      </c>
      <c r="O287" s="1" t="str">
        <f t="shared" ref="O287:P287" si="291">IF(ISBLANK(K287),M287,K287)</f>
        <v>Operations</v>
      </c>
      <c r="P287" s="1" t="str">
        <f t="shared" si="291"/>
        <v>RPCs and Nodes</v>
      </c>
      <c r="Q287" s="61" t="str">
        <f t="shared" si="3"/>
        <v>2024</v>
      </c>
      <c r="R287" s="62">
        <f t="shared" si="4"/>
        <v>5</v>
      </c>
      <c r="S287" s="61" t="str">
        <f t="shared" si="5"/>
        <v>2024-Q2</v>
      </c>
      <c r="T287" s="63" t="str">
        <f t="shared" si="6"/>
        <v>2024-05</v>
      </c>
      <c r="U287" s="64" t="str">
        <f t="shared" si="7"/>
        <v>2024-H1</v>
      </c>
      <c r="V287" s="9" t="str">
        <f>VLOOKUP(B287,Bounties!A:E,2,FALSE)</f>
        <v>System Parachains Collator Bounty</v>
      </c>
    </row>
    <row r="288" hidden="1">
      <c r="A288" s="67">
        <f>HYPERLINK("https://polkadot.subsquare.io/treasury/child-bounties/1115", 1115)</f>
        <v>1115</v>
      </c>
      <c r="B288" s="1">
        <v>32.0</v>
      </c>
      <c r="C288" s="1" t="s">
        <v>2414</v>
      </c>
      <c r="D288" s="1" t="s">
        <v>716</v>
      </c>
      <c r="E288" s="5">
        <v>51.7711058721</v>
      </c>
      <c r="F288" s="4">
        <v>360.5070600970609</v>
      </c>
      <c r="G288" s="1" t="s">
        <v>2441</v>
      </c>
      <c r="H288" s="95">
        <v>45424.0</v>
      </c>
      <c r="I288" s="95">
        <v>45432.0</v>
      </c>
      <c r="J288" s="4">
        <v>372.792043097055</v>
      </c>
      <c r="K288" s="1"/>
      <c r="L288" s="1"/>
      <c r="M288" s="1" t="str">
        <f>VLOOKUP(B288,Bounties!A:D,3,FALSE)</f>
        <v>Operations</v>
      </c>
      <c r="N288" s="1" t="str">
        <f>VLOOKUP(B288,Bounties!A:D,4,FALSE)</f>
        <v>RPCs and Nodes</v>
      </c>
      <c r="O288" s="1" t="str">
        <f t="shared" ref="O288:P288" si="292">IF(ISBLANK(K288),M288,K288)</f>
        <v>Operations</v>
      </c>
      <c r="P288" s="1" t="str">
        <f t="shared" si="292"/>
        <v>RPCs and Nodes</v>
      </c>
      <c r="Q288" s="61" t="str">
        <f t="shared" si="3"/>
        <v>2024</v>
      </c>
      <c r="R288" s="62">
        <f t="shared" si="4"/>
        <v>5</v>
      </c>
      <c r="S288" s="61" t="str">
        <f t="shared" si="5"/>
        <v>2024-Q2</v>
      </c>
      <c r="T288" s="63" t="str">
        <f t="shared" si="6"/>
        <v>2024-05</v>
      </c>
      <c r="U288" s="64" t="str">
        <f t="shared" si="7"/>
        <v>2024-H1</v>
      </c>
      <c r="V288" s="9" t="str">
        <f>VLOOKUP(B288,Bounties!A:E,2,FALSE)</f>
        <v>System Parachains Collator Bounty</v>
      </c>
    </row>
    <row r="289" hidden="1">
      <c r="A289" s="67">
        <f>HYPERLINK("https://polkadot.subsquare.io/treasury/child-bounties/1114", 1114)</f>
        <v>1114</v>
      </c>
      <c r="B289" s="1">
        <v>32.0</v>
      </c>
      <c r="C289" s="1" t="s">
        <v>2414</v>
      </c>
      <c r="D289" s="1" t="s">
        <v>715</v>
      </c>
      <c r="E289" s="5">
        <v>31.2009930491</v>
      </c>
      <c r="F289" s="4">
        <v>217.26749094424184</v>
      </c>
      <c r="G289" s="1" t="s">
        <v>2583</v>
      </c>
      <c r="H289" s="95">
        <v>45424.0</v>
      </c>
      <c r="I289" s="95">
        <v>45432.0</v>
      </c>
      <c r="J289" s="4">
        <v>224.6713055380053</v>
      </c>
      <c r="K289" s="1"/>
      <c r="L289" s="1"/>
      <c r="M289" s="1" t="str">
        <f>VLOOKUP(B289,Bounties!A:D,3,FALSE)</f>
        <v>Operations</v>
      </c>
      <c r="N289" s="1" t="str">
        <f>VLOOKUP(B289,Bounties!A:D,4,FALSE)</f>
        <v>RPCs and Nodes</v>
      </c>
      <c r="O289" s="1" t="str">
        <f t="shared" ref="O289:P289" si="293">IF(ISBLANK(K289),M289,K289)</f>
        <v>Operations</v>
      </c>
      <c r="P289" s="1" t="str">
        <f t="shared" si="293"/>
        <v>RPCs and Nodes</v>
      </c>
      <c r="Q289" s="61" t="str">
        <f t="shared" si="3"/>
        <v>2024</v>
      </c>
      <c r="R289" s="62">
        <f t="shared" si="4"/>
        <v>5</v>
      </c>
      <c r="S289" s="61" t="str">
        <f t="shared" si="5"/>
        <v>2024-Q2</v>
      </c>
      <c r="T289" s="63" t="str">
        <f t="shared" si="6"/>
        <v>2024-05</v>
      </c>
      <c r="U289" s="64" t="str">
        <f t="shared" si="7"/>
        <v>2024-H1</v>
      </c>
      <c r="V289" s="9" t="str">
        <f>VLOOKUP(B289,Bounties!A:E,2,FALSE)</f>
        <v>System Parachains Collator Bounty</v>
      </c>
    </row>
    <row r="290" hidden="1">
      <c r="A290" s="67">
        <f>HYPERLINK("https://polkadot.subsquare.io/treasury/child-bounties/1113", 1113)</f>
        <v>1113</v>
      </c>
      <c r="B290" s="1">
        <v>32.0</v>
      </c>
      <c r="C290" s="1" t="s">
        <v>2414</v>
      </c>
      <c r="D290" s="1" t="s">
        <v>714</v>
      </c>
      <c r="E290" s="5">
        <v>52.9311709432</v>
      </c>
      <c r="F290" s="4">
        <v>368.585150013408</v>
      </c>
      <c r="G290" s="1" t="s">
        <v>2442</v>
      </c>
      <c r="H290" s="95">
        <v>45424.0</v>
      </c>
      <c r="I290" s="95">
        <v>45432.0</v>
      </c>
      <c r="J290" s="4">
        <v>381.1454097230122</v>
      </c>
      <c r="K290" s="1"/>
      <c r="L290" s="1"/>
      <c r="M290" s="1" t="str">
        <f>VLOOKUP(B290,Bounties!A:D,3,FALSE)</f>
        <v>Operations</v>
      </c>
      <c r="N290" s="1" t="str">
        <f>VLOOKUP(B290,Bounties!A:D,4,FALSE)</f>
        <v>RPCs and Nodes</v>
      </c>
      <c r="O290" s="1" t="str">
        <f t="shared" ref="O290:P290" si="294">IF(ISBLANK(K290),M290,K290)</f>
        <v>Operations</v>
      </c>
      <c r="P290" s="1" t="str">
        <f t="shared" si="294"/>
        <v>RPCs and Nodes</v>
      </c>
      <c r="Q290" s="61" t="str">
        <f t="shared" si="3"/>
        <v>2024</v>
      </c>
      <c r="R290" s="62">
        <f t="shared" si="4"/>
        <v>5</v>
      </c>
      <c r="S290" s="61" t="str">
        <f t="shared" si="5"/>
        <v>2024-Q2</v>
      </c>
      <c r="T290" s="63" t="str">
        <f t="shared" si="6"/>
        <v>2024-05</v>
      </c>
      <c r="U290" s="64" t="str">
        <f t="shared" si="7"/>
        <v>2024-H1</v>
      </c>
      <c r="V290" s="9" t="str">
        <f>VLOOKUP(B290,Bounties!A:E,2,FALSE)</f>
        <v>System Parachains Collator Bounty</v>
      </c>
    </row>
    <row r="291" hidden="1">
      <c r="A291" s="67">
        <f>HYPERLINK("https://polkadot.subsquare.io/treasury/child-bounties/1112", 1112)</f>
        <v>1112</v>
      </c>
      <c r="B291" s="1">
        <v>32.0</v>
      </c>
      <c r="C291" s="1" t="s">
        <v>2414</v>
      </c>
      <c r="D291" s="1" t="s">
        <v>713</v>
      </c>
      <c r="E291" s="5">
        <v>38.447799643</v>
      </c>
      <c r="F291" s="4">
        <v>267.73048369377096</v>
      </c>
      <c r="G291" s="1" t="s">
        <v>2475</v>
      </c>
      <c r="H291" s="95">
        <v>45424.0</v>
      </c>
      <c r="I291" s="95">
        <v>45432.0</v>
      </c>
      <c r="J291" s="4">
        <v>276.8539234396462</v>
      </c>
      <c r="K291" s="1"/>
      <c r="L291" s="1"/>
      <c r="M291" s="1" t="str">
        <f>VLOOKUP(B291,Bounties!A:D,3,FALSE)</f>
        <v>Operations</v>
      </c>
      <c r="N291" s="1" t="str">
        <f>VLOOKUP(B291,Bounties!A:D,4,FALSE)</f>
        <v>RPCs and Nodes</v>
      </c>
      <c r="O291" s="1" t="str">
        <f t="shared" ref="O291:P291" si="295">IF(ISBLANK(K291),M291,K291)</f>
        <v>Operations</v>
      </c>
      <c r="P291" s="1" t="str">
        <f t="shared" si="295"/>
        <v>RPCs and Nodes</v>
      </c>
      <c r="Q291" s="61" t="str">
        <f t="shared" si="3"/>
        <v>2024</v>
      </c>
      <c r="R291" s="62">
        <f t="shared" si="4"/>
        <v>5</v>
      </c>
      <c r="S291" s="61" t="str">
        <f t="shared" si="5"/>
        <v>2024-Q2</v>
      </c>
      <c r="T291" s="63" t="str">
        <f t="shared" si="6"/>
        <v>2024-05</v>
      </c>
      <c r="U291" s="64" t="str">
        <f t="shared" si="7"/>
        <v>2024-H1</v>
      </c>
      <c r="V291" s="9" t="str">
        <f>VLOOKUP(B291,Bounties!A:E,2,FALSE)</f>
        <v>System Parachains Collator Bounty</v>
      </c>
    </row>
    <row r="292" hidden="1">
      <c r="A292" s="67">
        <f>HYPERLINK("https://polkadot.subsquare.io/treasury/child-bounties/1111", 1111)</f>
        <v>1111</v>
      </c>
      <c r="B292" s="1">
        <v>32.0</v>
      </c>
      <c r="C292" s="1" t="s">
        <v>2414</v>
      </c>
      <c r="D292" s="1" t="s">
        <v>712</v>
      </c>
      <c r="E292" s="5">
        <v>38.3310113281</v>
      </c>
      <c r="F292" s="4">
        <v>266.91723059923004</v>
      </c>
      <c r="G292" s="1" t="s">
        <v>2584</v>
      </c>
      <c r="H292" s="95">
        <v>45424.0</v>
      </c>
      <c r="I292" s="95">
        <v>45432.0</v>
      </c>
      <c r="J292" s="4">
        <v>276.01295715569245</v>
      </c>
      <c r="K292" s="1"/>
      <c r="L292" s="1"/>
      <c r="M292" s="1" t="str">
        <f>VLOOKUP(B292,Bounties!A:D,3,FALSE)</f>
        <v>Operations</v>
      </c>
      <c r="N292" s="1" t="str">
        <f>VLOOKUP(B292,Bounties!A:D,4,FALSE)</f>
        <v>RPCs and Nodes</v>
      </c>
      <c r="O292" s="1" t="str">
        <f t="shared" ref="O292:P292" si="296">IF(ISBLANK(K292),M292,K292)</f>
        <v>Operations</v>
      </c>
      <c r="P292" s="1" t="str">
        <f t="shared" si="296"/>
        <v>RPCs and Nodes</v>
      </c>
      <c r="Q292" s="61" t="str">
        <f t="shared" si="3"/>
        <v>2024</v>
      </c>
      <c r="R292" s="62">
        <f t="shared" si="4"/>
        <v>5</v>
      </c>
      <c r="S292" s="61" t="str">
        <f t="shared" si="5"/>
        <v>2024-Q2</v>
      </c>
      <c r="T292" s="63" t="str">
        <f t="shared" si="6"/>
        <v>2024-05</v>
      </c>
      <c r="U292" s="64" t="str">
        <f t="shared" si="7"/>
        <v>2024-H1</v>
      </c>
      <c r="V292" s="9" t="str">
        <f>VLOOKUP(B292,Bounties!A:E,2,FALSE)</f>
        <v>System Parachains Collator Bounty</v>
      </c>
    </row>
    <row r="293" hidden="1">
      <c r="A293" s="67">
        <f>HYPERLINK("https://polkadot.subsquare.io/treasury/child-bounties/1110", 1110)</f>
        <v>1110</v>
      </c>
      <c r="B293" s="1">
        <v>32.0</v>
      </c>
      <c r="C293" s="1" t="s">
        <v>2414</v>
      </c>
      <c r="D293" s="1" t="s">
        <v>711</v>
      </c>
      <c r="E293" s="5">
        <v>38.1952109621</v>
      </c>
      <c r="F293" s="4">
        <v>265.97158746717656</v>
      </c>
      <c r="G293" s="1" t="s">
        <v>2465</v>
      </c>
      <c r="H293" s="95">
        <v>45424.0</v>
      </c>
      <c r="I293" s="95">
        <v>45432.0</v>
      </c>
      <c r="J293" s="4">
        <v>275.03508938482554</v>
      </c>
      <c r="K293" s="1"/>
      <c r="L293" s="1"/>
      <c r="M293" s="1" t="str">
        <f>VLOOKUP(B293,Bounties!A:D,3,FALSE)</f>
        <v>Operations</v>
      </c>
      <c r="N293" s="1" t="str">
        <f>VLOOKUP(B293,Bounties!A:D,4,FALSE)</f>
        <v>RPCs and Nodes</v>
      </c>
      <c r="O293" s="1" t="str">
        <f t="shared" ref="O293:P293" si="297">IF(ISBLANK(K293),M293,K293)</f>
        <v>Operations</v>
      </c>
      <c r="P293" s="1" t="str">
        <f t="shared" si="297"/>
        <v>RPCs and Nodes</v>
      </c>
      <c r="Q293" s="61" t="str">
        <f t="shared" si="3"/>
        <v>2024</v>
      </c>
      <c r="R293" s="62">
        <f t="shared" si="4"/>
        <v>5</v>
      </c>
      <c r="S293" s="61" t="str">
        <f t="shared" si="5"/>
        <v>2024-Q2</v>
      </c>
      <c r="T293" s="63" t="str">
        <f t="shared" si="6"/>
        <v>2024-05</v>
      </c>
      <c r="U293" s="64" t="str">
        <f t="shared" si="7"/>
        <v>2024-H1</v>
      </c>
      <c r="V293" s="9" t="str">
        <f>VLOOKUP(B293,Bounties!A:E,2,FALSE)</f>
        <v>System Parachains Collator Bounty</v>
      </c>
    </row>
    <row r="294" hidden="1">
      <c r="A294" s="67">
        <f>HYPERLINK("https://polkadot.subsquare.io/treasury/child-bounties/1109", 1109)</f>
        <v>1109</v>
      </c>
      <c r="B294" s="1">
        <v>32.0</v>
      </c>
      <c r="C294" s="1" t="s">
        <v>2414</v>
      </c>
      <c r="D294" s="1" t="s">
        <v>710</v>
      </c>
      <c r="E294" s="5">
        <v>38.7764365289</v>
      </c>
      <c r="F294" s="4">
        <v>270.0189400745938</v>
      </c>
      <c r="G294" s="1" t="s">
        <v>2443</v>
      </c>
      <c r="H294" s="95">
        <v>45424.0</v>
      </c>
      <c r="I294" s="95">
        <v>45432.0</v>
      </c>
      <c r="J294" s="4">
        <v>279.2203634464404</v>
      </c>
      <c r="K294" s="1"/>
      <c r="L294" s="1"/>
      <c r="M294" s="1" t="str">
        <f>VLOOKUP(B294,Bounties!A:D,3,FALSE)</f>
        <v>Operations</v>
      </c>
      <c r="N294" s="1" t="str">
        <f>VLOOKUP(B294,Bounties!A:D,4,FALSE)</f>
        <v>RPCs and Nodes</v>
      </c>
      <c r="O294" s="1" t="str">
        <f t="shared" ref="O294:P294" si="298">IF(ISBLANK(K294),M294,K294)</f>
        <v>Operations</v>
      </c>
      <c r="P294" s="1" t="str">
        <f t="shared" si="298"/>
        <v>RPCs and Nodes</v>
      </c>
      <c r="Q294" s="61" t="str">
        <f t="shared" si="3"/>
        <v>2024</v>
      </c>
      <c r="R294" s="62">
        <f t="shared" si="4"/>
        <v>5</v>
      </c>
      <c r="S294" s="61" t="str">
        <f t="shared" si="5"/>
        <v>2024-Q2</v>
      </c>
      <c r="T294" s="63" t="str">
        <f t="shared" si="6"/>
        <v>2024-05</v>
      </c>
      <c r="U294" s="64" t="str">
        <f t="shared" si="7"/>
        <v>2024-H1</v>
      </c>
      <c r="V294" s="9" t="str">
        <f>VLOOKUP(B294,Bounties!A:E,2,FALSE)</f>
        <v>System Parachains Collator Bounty</v>
      </c>
    </row>
    <row r="295" hidden="1">
      <c r="A295" s="67">
        <f>HYPERLINK("https://polkadot.subsquare.io/treasury/child-bounties/1108", 1108)</f>
        <v>1108</v>
      </c>
      <c r="B295" s="1">
        <v>32.0</v>
      </c>
      <c r="C295" s="1" t="s">
        <v>2414</v>
      </c>
      <c r="D295" s="1" t="s">
        <v>693</v>
      </c>
      <c r="E295" s="5">
        <v>6.3847900114</v>
      </c>
      <c r="F295" s="4">
        <v>44.46035752130491</v>
      </c>
      <c r="G295" s="1" t="s">
        <v>2442</v>
      </c>
      <c r="H295" s="95">
        <v>45424.0</v>
      </c>
      <c r="I295" s="95">
        <v>45432.0</v>
      </c>
      <c r="J295" s="4">
        <v>45.975431140600556</v>
      </c>
      <c r="K295" s="1"/>
      <c r="L295" s="1"/>
      <c r="M295" s="1" t="str">
        <f>VLOOKUP(B295,Bounties!A:D,3,FALSE)</f>
        <v>Operations</v>
      </c>
      <c r="N295" s="1" t="str">
        <f>VLOOKUP(B295,Bounties!A:D,4,FALSE)</f>
        <v>RPCs and Nodes</v>
      </c>
      <c r="O295" s="1" t="str">
        <f t="shared" ref="O295:P295" si="299">IF(ISBLANK(K295),M295,K295)</f>
        <v>Operations</v>
      </c>
      <c r="P295" s="1" t="str">
        <f t="shared" si="299"/>
        <v>RPCs and Nodes</v>
      </c>
      <c r="Q295" s="61" t="str">
        <f t="shared" si="3"/>
        <v>2024</v>
      </c>
      <c r="R295" s="62">
        <f t="shared" si="4"/>
        <v>5</v>
      </c>
      <c r="S295" s="61" t="str">
        <f t="shared" si="5"/>
        <v>2024-Q2</v>
      </c>
      <c r="T295" s="63" t="str">
        <f t="shared" si="6"/>
        <v>2024-05</v>
      </c>
      <c r="U295" s="64" t="str">
        <f t="shared" si="7"/>
        <v>2024-H1</v>
      </c>
      <c r="V295" s="9" t="str">
        <f>VLOOKUP(B295,Bounties!A:E,2,FALSE)</f>
        <v>System Parachains Collator Bounty</v>
      </c>
    </row>
    <row r="296" hidden="1">
      <c r="A296" s="67">
        <f>HYPERLINK("https://polkadot.subsquare.io/treasury/child-bounties/1107", 1107)</f>
        <v>1107</v>
      </c>
      <c r="B296" s="1">
        <v>32.0</v>
      </c>
      <c r="C296" s="1" t="s">
        <v>2414</v>
      </c>
      <c r="D296" s="1" t="s">
        <v>709</v>
      </c>
      <c r="E296" s="5">
        <v>9.4776214399</v>
      </c>
      <c r="F296" s="4">
        <v>65.99722730382209</v>
      </c>
      <c r="G296" s="1" t="s">
        <v>2437</v>
      </c>
      <c r="H296" s="95">
        <v>45424.0</v>
      </c>
      <c r="I296" s="95">
        <v>45432.0</v>
      </c>
      <c r="J296" s="4">
        <v>68.24621187365523</v>
      </c>
      <c r="K296" s="1"/>
      <c r="L296" s="1"/>
      <c r="M296" s="1" t="str">
        <f>VLOOKUP(B296,Bounties!A:D,3,FALSE)</f>
        <v>Operations</v>
      </c>
      <c r="N296" s="1" t="str">
        <f>VLOOKUP(B296,Bounties!A:D,4,FALSE)</f>
        <v>RPCs and Nodes</v>
      </c>
      <c r="O296" s="1" t="str">
        <f t="shared" ref="O296:P296" si="300">IF(ISBLANK(K296),M296,K296)</f>
        <v>Operations</v>
      </c>
      <c r="P296" s="1" t="str">
        <f t="shared" si="300"/>
        <v>RPCs and Nodes</v>
      </c>
      <c r="Q296" s="61" t="str">
        <f t="shared" si="3"/>
        <v>2024</v>
      </c>
      <c r="R296" s="62">
        <f t="shared" si="4"/>
        <v>5</v>
      </c>
      <c r="S296" s="61" t="str">
        <f t="shared" si="5"/>
        <v>2024-Q2</v>
      </c>
      <c r="T296" s="63" t="str">
        <f t="shared" si="6"/>
        <v>2024-05</v>
      </c>
      <c r="U296" s="64" t="str">
        <f t="shared" si="7"/>
        <v>2024-H1</v>
      </c>
      <c r="V296" s="9" t="str">
        <f>VLOOKUP(B296,Bounties!A:E,2,FALSE)</f>
        <v>System Parachains Collator Bounty</v>
      </c>
    </row>
    <row r="297" hidden="1">
      <c r="A297" s="67">
        <f>HYPERLINK("https://polkadot.subsquare.io/treasury/child-bounties/1106", 1106)</f>
        <v>1106</v>
      </c>
      <c r="B297" s="1">
        <v>32.0</v>
      </c>
      <c r="C297" s="1" t="s">
        <v>2414</v>
      </c>
      <c r="D297" s="1" t="s">
        <v>708</v>
      </c>
      <c r="E297" s="5">
        <v>9.4776214399</v>
      </c>
      <c r="F297" s="4">
        <v>65.99722730382209</v>
      </c>
      <c r="G297" s="1" t="s">
        <v>2463</v>
      </c>
      <c r="H297" s="95">
        <v>45424.0</v>
      </c>
      <c r="I297" s="95">
        <v>45432.0</v>
      </c>
      <c r="J297" s="4">
        <v>68.24621187365523</v>
      </c>
      <c r="K297" s="1"/>
      <c r="L297" s="1"/>
      <c r="M297" s="1" t="str">
        <f>VLOOKUP(B297,Bounties!A:D,3,FALSE)</f>
        <v>Operations</v>
      </c>
      <c r="N297" s="1" t="str">
        <f>VLOOKUP(B297,Bounties!A:D,4,FALSE)</f>
        <v>RPCs and Nodes</v>
      </c>
      <c r="O297" s="1" t="str">
        <f t="shared" ref="O297:P297" si="301">IF(ISBLANK(K297),M297,K297)</f>
        <v>Operations</v>
      </c>
      <c r="P297" s="1" t="str">
        <f t="shared" si="301"/>
        <v>RPCs and Nodes</v>
      </c>
      <c r="Q297" s="61" t="str">
        <f t="shared" si="3"/>
        <v>2024</v>
      </c>
      <c r="R297" s="62">
        <f t="shared" si="4"/>
        <v>5</v>
      </c>
      <c r="S297" s="61" t="str">
        <f t="shared" si="5"/>
        <v>2024-Q2</v>
      </c>
      <c r="T297" s="63" t="str">
        <f t="shared" si="6"/>
        <v>2024-05</v>
      </c>
      <c r="U297" s="64" t="str">
        <f t="shared" si="7"/>
        <v>2024-H1</v>
      </c>
      <c r="V297" s="9" t="str">
        <f>VLOOKUP(B297,Bounties!A:E,2,FALSE)</f>
        <v>System Parachains Collator Bounty</v>
      </c>
    </row>
    <row r="298" hidden="1">
      <c r="A298" s="67">
        <f>HYPERLINK("https://polkadot.subsquare.io/treasury/child-bounties/1105", 1105)</f>
        <v>1105</v>
      </c>
      <c r="B298" s="1">
        <v>32.0</v>
      </c>
      <c r="C298" s="1" t="s">
        <v>2414</v>
      </c>
      <c r="D298" s="1" t="s">
        <v>707</v>
      </c>
      <c r="E298" s="5">
        <v>9.4776214399</v>
      </c>
      <c r="F298" s="4">
        <v>65.99722730382209</v>
      </c>
      <c r="G298" s="1" t="s">
        <v>2438</v>
      </c>
      <c r="H298" s="95">
        <v>45424.0</v>
      </c>
      <c r="I298" s="95">
        <v>45432.0</v>
      </c>
      <c r="J298" s="4">
        <v>68.24621187365523</v>
      </c>
      <c r="K298" s="1"/>
      <c r="L298" s="1"/>
      <c r="M298" s="1" t="str">
        <f>VLOOKUP(B298,Bounties!A:D,3,FALSE)</f>
        <v>Operations</v>
      </c>
      <c r="N298" s="1" t="str">
        <f>VLOOKUP(B298,Bounties!A:D,4,FALSE)</f>
        <v>RPCs and Nodes</v>
      </c>
      <c r="O298" s="1" t="str">
        <f t="shared" ref="O298:P298" si="302">IF(ISBLANK(K298),M298,K298)</f>
        <v>Operations</v>
      </c>
      <c r="P298" s="1" t="str">
        <f t="shared" si="302"/>
        <v>RPCs and Nodes</v>
      </c>
      <c r="Q298" s="61" t="str">
        <f t="shared" si="3"/>
        <v>2024</v>
      </c>
      <c r="R298" s="62">
        <f t="shared" si="4"/>
        <v>5</v>
      </c>
      <c r="S298" s="61" t="str">
        <f t="shared" si="5"/>
        <v>2024-Q2</v>
      </c>
      <c r="T298" s="63" t="str">
        <f t="shared" si="6"/>
        <v>2024-05</v>
      </c>
      <c r="U298" s="64" t="str">
        <f t="shared" si="7"/>
        <v>2024-H1</v>
      </c>
      <c r="V298" s="9" t="str">
        <f>VLOOKUP(B298,Bounties!A:E,2,FALSE)</f>
        <v>System Parachains Collator Bounty</v>
      </c>
    </row>
    <row r="299" hidden="1">
      <c r="A299" s="67">
        <f>HYPERLINK("https://polkadot.subsquare.io/treasury/child-bounties/1104", 1104)</f>
        <v>1104</v>
      </c>
      <c r="B299" s="1">
        <v>32.0</v>
      </c>
      <c r="C299" s="1" t="s">
        <v>2414</v>
      </c>
      <c r="D299" s="1" t="s">
        <v>706</v>
      </c>
      <c r="E299" s="5">
        <v>16.2115568799</v>
      </c>
      <c r="F299" s="4">
        <v>112.88885203278282</v>
      </c>
      <c r="G299" s="1" t="s">
        <v>2473</v>
      </c>
      <c r="H299" s="95">
        <v>45424.0</v>
      </c>
      <c r="I299" s="95">
        <v>45432.0</v>
      </c>
      <c r="J299" s="4">
        <v>116.73576040605629</v>
      </c>
      <c r="K299" s="1"/>
      <c r="L299" s="1"/>
      <c r="M299" s="1" t="str">
        <f>VLOOKUP(B299,Bounties!A:D,3,FALSE)</f>
        <v>Operations</v>
      </c>
      <c r="N299" s="1" t="str">
        <f>VLOOKUP(B299,Bounties!A:D,4,FALSE)</f>
        <v>RPCs and Nodes</v>
      </c>
      <c r="O299" s="1" t="str">
        <f t="shared" ref="O299:P299" si="303">IF(ISBLANK(K299),M299,K299)</f>
        <v>Operations</v>
      </c>
      <c r="P299" s="1" t="str">
        <f t="shared" si="303"/>
        <v>RPCs and Nodes</v>
      </c>
      <c r="Q299" s="61" t="str">
        <f t="shared" si="3"/>
        <v>2024</v>
      </c>
      <c r="R299" s="62">
        <f t="shared" si="4"/>
        <v>5</v>
      </c>
      <c r="S299" s="61" t="str">
        <f t="shared" si="5"/>
        <v>2024-Q2</v>
      </c>
      <c r="T299" s="63" t="str">
        <f t="shared" si="6"/>
        <v>2024-05</v>
      </c>
      <c r="U299" s="64" t="str">
        <f t="shared" si="7"/>
        <v>2024-H1</v>
      </c>
      <c r="V299" s="9" t="str">
        <f>VLOOKUP(B299,Bounties!A:E,2,FALSE)</f>
        <v>System Parachains Collator Bounty</v>
      </c>
    </row>
    <row r="300" hidden="1">
      <c r="A300" s="67">
        <f>HYPERLINK("https://polkadot.subsquare.io/treasury/child-bounties/1103", 1103)</f>
        <v>1103</v>
      </c>
      <c r="B300" s="1">
        <v>32.0</v>
      </c>
      <c r="C300" s="1" t="s">
        <v>2414</v>
      </c>
      <c r="D300" s="1" t="s">
        <v>705</v>
      </c>
      <c r="E300" s="5">
        <v>51.8674630347</v>
      </c>
      <c r="F300" s="4">
        <v>361.17804127127107</v>
      </c>
      <c r="G300" s="1" t="s">
        <v>2443</v>
      </c>
      <c r="H300" s="95">
        <v>45424.0</v>
      </c>
      <c r="I300" s="95">
        <v>45432.0</v>
      </c>
      <c r="J300" s="4">
        <v>373.48588926679747</v>
      </c>
      <c r="K300" s="1"/>
      <c r="L300" s="1"/>
      <c r="M300" s="1" t="str">
        <f>VLOOKUP(B300,Bounties!A:D,3,FALSE)</f>
        <v>Operations</v>
      </c>
      <c r="N300" s="1" t="str">
        <f>VLOOKUP(B300,Bounties!A:D,4,FALSE)</f>
        <v>RPCs and Nodes</v>
      </c>
      <c r="O300" s="1" t="str">
        <f t="shared" ref="O300:P300" si="304">IF(ISBLANK(K300),M300,K300)</f>
        <v>Operations</v>
      </c>
      <c r="P300" s="1" t="str">
        <f t="shared" si="304"/>
        <v>RPCs and Nodes</v>
      </c>
      <c r="Q300" s="61" t="str">
        <f t="shared" si="3"/>
        <v>2024</v>
      </c>
      <c r="R300" s="62">
        <f t="shared" si="4"/>
        <v>5</v>
      </c>
      <c r="S300" s="61" t="str">
        <f t="shared" si="5"/>
        <v>2024-Q2</v>
      </c>
      <c r="T300" s="63" t="str">
        <f t="shared" si="6"/>
        <v>2024-05</v>
      </c>
      <c r="U300" s="64" t="str">
        <f t="shared" si="7"/>
        <v>2024-H1</v>
      </c>
      <c r="V300" s="9" t="str">
        <f>VLOOKUP(B300,Bounties!A:E,2,FALSE)</f>
        <v>System Parachains Collator Bounty</v>
      </c>
    </row>
    <row r="301" hidden="1">
      <c r="A301" s="67">
        <f>HYPERLINK("https://polkadot.subsquare.io/treasury/child-bounties/1102", 1102)</f>
        <v>1102</v>
      </c>
      <c r="B301" s="1">
        <v>32.0</v>
      </c>
      <c r="C301" s="1" t="s">
        <v>2414</v>
      </c>
      <c r="D301" s="1" t="s">
        <v>704</v>
      </c>
      <c r="E301" s="5">
        <v>51.6697611215</v>
      </c>
      <c r="F301" s="4">
        <v>359.8013479535858</v>
      </c>
      <c r="G301" s="1" t="s">
        <v>2465</v>
      </c>
      <c r="H301" s="95">
        <v>45424.0</v>
      </c>
      <c r="I301" s="95">
        <v>45432.0</v>
      </c>
      <c r="J301" s="4">
        <v>372.06228243235773</v>
      </c>
      <c r="K301" s="1"/>
      <c r="L301" s="1"/>
      <c r="M301" s="1" t="str">
        <f>VLOOKUP(B301,Bounties!A:D,3,FALSE)</f>
        <v>Operations</v>
      </c>
      <c r="N301" s="1" t="str">
        <f>VLOOKUP(B301,Bounties!A:D,4,FALSE)</f>
        <v>RPCs and Nodes</v>
      </c>
      <c r="O301" s="1" t="str">
        <f t="shared" ref="O301:P301" si="305">IF(ISBLANK(K301),M301,K301)</f>
        <v>Operations</v>
      </c>
      <c r="P301" s="1" t="str">
        <f t="shared" si="305"/>
        <v>RPCs and Nodes</v>
      </c>
      <c r="Q301" s="61" t="str">
        <f t="shared" si="3"/>
        <v>2024</v>
      </c>
      <c r="R301" s="62">
        <f t="shared" si="4"/>
        <v>5</v>
      </c>
      <c r="S301" s="61" t="str">
        <f t="shared" si="5"/>
        <v>2024-Q2</v>
      </c>
      <c r="T301" s="63" t="str">
        <f t="shared" si="6"/>
        <v>2024-05</v>
      </c>
      <c r="U301" s="64" t="str">
        <f t="shared" si="7"/>
        <v>2024-H1</v>
      </c>
      <c r="V301" s="9" t="str">
        <f>VLOOKUP(B301,Bounties!A:E,2,FALSE)</f>
        <v>System Parachains Collator Bounty</v>
      </c>
    </row>
    <row r="302" hidden="1">
      <c r="A302" s="67">
        <f>HYPERLINK("https://polkadot.subsquare.io/treasury/child-bounties/1101", 1101)</f>
        <v>1101</v>
      </c>
      <c r="B302" s="1">
        <v>32.0</v>
      </c>
      <c r="C302" s="1" t="s">
        <v>2414</v>
      </c>
      <c r="D302" s="1" t="s">
        <v>703</v>
      </c>
      <c r="E302" s="5">
        <v>39.3209048853</v>
      </c>
      <c r="F302" s="4">
        <v>273.81033458269184</v>
      </c>
      <c r="G302" s="1" t="s">
        <v>2442</v>
      </c>
      <c r="H302" s="95">
        <v>45424.0</v>
      </c>
      <c r="I302" s="95">
        <v>45432.0</v>
      </c>
      <c r="J302" s="4">
        <v>283.1409571360072</v>
      </c>
      <c r="K302" s="1"/>
      <c r="L302" s="1"/>
      <c r="M302" s="1" t="str">
        <f>VLOOKUP(B302,Bounties!A:D,3,FALSE)</f>
        <v>Operations</v>
      </c>
      <c r="N302" s="1" t="str">
        <f>VLOOKUP(B302,Bounties!A:D,4,FALSE)</f>
        <v>RPCs and Nodes</v>
      </c>
      <c r="O302" s="1" t="str">
        <f t="shared" ref="O302:P302" si="306">IF(ISBLANK(K302),M302,K302)</f>
        <v>Operations</v>
      </c>
      <c r="P302" s="1" t="str">
        <f t="shared" si="306"/>
        <v>RPCs and Nodes</v>
      </c>
      <c r="Q302" s="61" t="str">
        <f t="shared" si="3"/>
        <v>2024</v>
      </c>
      <c r="R302" s="62">
        <f t="shared" si="4"/>
        <v>5</v>
      </c>
      <c r="S302" s="61" t="str">
        <f t="shared" si="5"/>
        <v>2024-Q2</v>
      </c>
      <c r="T302" s="63" t="str">
        <f t="shared" si="6"/>
        <v>2024-05</v>
      </c>
      <c r="U302" s="64" t="str">
        <f t="shared" si="7"/>
        <v>2024-H1</v>
      </c>
      <c r="V302" s="9" t="str">
        <f>VLOOKUP(B302,Bounties!A:E,2,FALSE)</f>
        <v>System Parachains Collator Bounty</v>
      </c>
    </row>
    <row r="303" hidden="1">
      <c r="A303" s="67">
        <f>HYPERLINK("https://polkadot.subsquare.io/treasury/child-bounties/1100", 1100)</f>
        <v>1100</v>
      </c>
      <c r="B303" s="1">
        <v>32.0</v>
      </c>
      <c r="C303" s="1" t="s">
        <v>2414</v>
      </c>
      <c r="D303" s="1" t="s">
        <v>702</v>
      </c>
      <c r="E303" s="5">
        <v>34.6783800285</v>
      </c>
      <c r="F303" s="4">
        <v>241.48220561269716</v>
      </c>
      <c r="G303" s="1" t="s">
        <v>2546</v>
      </c>
      <c r="H303" s="95">
        <v>45424.0</v>
      </c>
      <c r="I303" s="95">
        <v>45432.0</v>
      </c>
      <c r="J303" s="4">
        <v>249.71118395768255</v>
      </c>
      <c r="K303" s="1"/>
      <c r="L303" s="1"/>
      <c r="M303" s="1" t="str">
        <f>VLOOKUP(B303,Bounties!A:D,3,FALSE)</f>
        <v>Operations</v>
      </c>
      <c r="N303" s="1" t="str">
        <f>VLOOKUP(B303,Bounties!A:D,4,FALSE)</f>
        <v>RPCs and Nodes</v>
      </c>
      <c r="O303" s="1" t="str">
        <f t="shared" ref="O303:P303" si="307">IF(ISBLANK(K303),M303,K303)</f>
        <v>Operations</v>
      </c>
      <c r="P303" s="1" t="str">
        <f t="shared" si="307"/>
        <v>RPCs and Nodes</v>
      </c>
      <c r="Q303" s="61" t="str">
        <f t="shared" si="3"/>
        <v>2024</v>
      </c>
      <c r="R303" s="62">
        <f t="shared" si="4"/>
        <v>5</v>
      </c>
      <c r="S303" s="61" t="str">
        <f t="shared" si="5"/>
        <v>2024-Q2</v>
      </c>
      <c r="T303" s="63" t="str">
        <f t="shared" si="6"/>
        <v>2024-05</v>
      </c>
      <c r="U303" s="64" t="str">
        <f t="shared" si="7"/>
        <v>2024-H1</v>
      </c>
      <c r="V303" s="9" t="str">
        <f>VLOOKUP(B303,Bounties!A:E,2,FALSE)</f>
        <v>System Parachains Collator Bounty</v>
      </c>
    </row>
    <row r="304" hidden="1">
      <c r="A304" s="67">
        <f>HYPERLINK("https://polkadot.subsquare.io/treasury/child-bounties/1099", 1099)</f>
        <v>1099</v>
      </c>
      <c r="B304" s="1">
        <v>32.0</v>
      </c>
      <c r="C304" s="1" t="s">
        <v>2414</v>
      </c>
      <c r="D304" s="1" t="s">
        <v>701</v>
      </c>
      <c r="E304" s="5">
        <v>51.4647369152</v>
      </c>
      <c r="F304" s="4">
        <v>358.3736659943758</v>
      </c>
      <c r="G304" s="1" t="s">
        <v>2475</v>
      </c>
      <c r="H304" s="95">
        <v>45424.0</v>
      </c>
      <c r="I304" s="95">
        <v>45432.0</v>
      </c>
      <c r="J304" s="4">
        <v>370.5859494187313</v>
      </c>
      <c r="K304" s="1"/>
      <c r="L304" s="1"/>
      <c r="M304" s="1" t="str">
        <f>VLOOKUP(B304,Bounties!A:D,3,FALSE)</f>
        <v>Operations</v>
      </c>
      <c r="N304" s="1" t="str">
        <f>VLOOKUP(B304,Bounties!A:D,4,FALSE)</f>
        <v>RPCs and Nodes</v>
      </c>
      <c r="O304" s="1" t="str">
        <f t="shared" ref="O304:P304" si="308">IF(ISBLANK(K304),M304,K304)</f>
        <v>Operations</v>
      </c>
      <c r="P304" s="1" t="str">
        <f t="shared" si="308"/>
        <v>RPCs and Nodes</v>
      </c>
      <c r="Q304" s="61" t="str">
        <f t="shared" si="3"/>
        <v>2024</v>
      </c>
      <c r="R304" s="62">
        <f t="shared" si="4"/>
        <v>5</v>
      </c>
      <c r="S304" s="61" t="str">
        <f t="shared" si="5"/>
        <v>2024-Q2</v>
      </c>
      <c r="T304" s="63" t="str">
        <f t="shared" si="6"/>
        <v>2024-05</v>
      </c>
      <c r="U304" s="64" t="str">
        <f t="shared" si="7"/>
        <v>2024-H1</v>
      </c>
      <c r="V304" s="9" t="str">
        <f>VLOOKUP(B304,Bounties!A:E,2,FALSE)</f>
        <v>System Parachains Collator Bounty</v>
      </c>
    </row>
    <row r="305" hidden="1">
      <c r="A305" s="67">
        <f>HYPERLINK("https://polkadot.subsquare.io/treasury/child-bounties/1098", 1098)</f>
        <v>1098</v>
      </c>
      <c r="B305" s="1">
        <v>32.0</v>
      </c>
      <c r="C305" s="1" t="s">
        <v>2414</v>
      </c>
      <c r="D305" s="1" t="s">
        <v>700</v>
      </c>
      <c r="E305" s="5">
        <v>54.7378019222</v>
      </c>
      <c r="F305" s="4">
        <v>381.1655886953361</v>
      </c>
      <c r="G305" s="1" t="s">
        <v>2444</v>
      </c>
      <c r="H305" s="95">
        <v>45424.0</v>
      </c>
      <c r="I305" s="95">
        <v>45432.0</v>
      </c>
      <c r="J305" s="4">
        <v>394.15455145252656</v>
      </c>
      <c r="K305" s="1"/>
      <c r="L305" s="1"/>
      <c r="M305" s="1" t="str">
        <f>VLOOKUP(B305,Bounties!A:D,3,FALSE)</f>
        <v>Operations</v>
      </c>
      <c r="N305" s="1" t="str">
        <f>VLOOKUP(B305,Bounties!A:D,4,FALSE)</f>
        <v>RPCs and Nodes</v>
      </c>
      <c r="O305" s="1" t="str">
        <f t="shared" ref="O305:P305" si="309">IF(ISBLANK(K305),M305,K305)</f>
        <v>Operations</v>
      </c>
      <c r="P305" s="1" t="str">
        <f t="shared" si="309"/>
        <v>RPCs and Nodes</v>
      </c>
      <c r="Q305" s="61" t="str">
        <f t="shared" si="3"/>
        <v>2024</v>
      </c>
      <c r="R305" s="62">
        <f t="shared" si="4"/>
        <v>5</v>
      </c>
      <c r="S305" s="61" t="str">
        <f t="shared" si="5"/>
        <v>2024-Q2</v>
      </c>
      <c r="T305" s="63" t="str">
        <f t="shared" si="6"/>
        <v>2024-05</v>
      </c>
      <c r="U305" s="64" t="str">
        <f t="shared" si="7"/>
        <v>2024-H1</v>
      </c>
      <c r="V305" s="9" t="str">
        <f>VLOOKUP(B305,Bounties!A:E,2,FALSE)</f>
        <v>System Parachains Collator Bounty</v>
      </c>
    </row>
    <row r="306" hidden="1">
      <c r="A306" s="67">
        <f>HYPERLINK("https://polkadot.subsquare.io/treasury/child-bounties/1097", 1097)</f>
        <v>1097</v>
      </c>
      <c r="B306" s="1">
        <v>32.0</v>
      </c>
      <c r="C306" s="1" t="s">
        <v>2414</v>
      </c>
      <c r="D306" s="1" t="s">
        <v>699</v>
      </c>
      <c r="E306" s="5">
        <v>57.3518605518</v>
      </c>
      <c r="F306" s="4">
        <v>399.3685336702147</v>
      </c>
      <c r="G306" s="1" t="s">
        <v>2445</v>
      </c>
      <c r="H306" s="95">
        <v>45424.0</v>
      </c>
      <c r="I306" s="95">
        <v>45432.0</v>
      </c>
      <c r="J306" s="4">
        <v>412.9777973710427</v>
      </c>
      <c r="K306" s="1"/>
      <c r="L306" s="1"/>
      <c r="M306" s="1" t="str">
        <f>VLOOKUP(B306,Bounties!A:D,3,FALSE)</f>
        <v>Operations</v>
      </c>
      <c r="N306" s="1" t="str">
        <f>VLOOKUP(B306,Bounties!A:D,4,FALSE)</f>
        <v>RPCs and Nodes</v>
      </c>
      <c r="O306" s="1" t="str">
        <f t="shared" ref="O306:P306" si="310">IF(ISBLANK(K306),M306,K306)</f>
        <v>Operations</v>
      </c>
      <c r="P306" s="1" t="str">
        <f t="shared" si="310"/>
        <v>RPCs and Nodes</v>
      </c>
      <c r="Q306" s="61" t="str">
        <f t="shared" si="3"/>
        <v>2024</v>
      </c>
      <c r="R306" s="62">
        <f t="shared" si="4"/>
        <v>5</v>
      </c>
      <c r="S306" s="61" t="str">
        <f t="shared" si="5"/>
        <v>2024-Q2</v>
      </c>
      <c r="T306" s="63" t="str">
        <f t="shared" si="6"/>
        <v>2024-05</v>
      </c>
      <c r="U306" s="64" t="str">
        <f t="shared" si="7"/>
        <v>2024-H1</v>
      </c>
      <c r="V306" s="9" t="str">
        <f>VLOOKUP(B306,Bounties!A:E,2,FALSE)</f>
        <v>System Parachains Collator Bounty</v>
      </c>
    </row>
    <row r="307" hidden="1">
      <c r="A307" s="67">
        <f>HYPERLINK("https://polkadot.subsquare.io/treasury/child-bounties/1096", 1096)</f>
        <v>1096</v>
      </c>
      <c r="B307" s="1">
        <v>32.0</v>
      </c>
      <c r="C307" s="1" t="s">
        <v>2414</v>
      </c>
      <c r="D307" s="1" t="s">
        <v>698</v>
      </c>
      <c r="E307" s="5">
        <v>52.4605687742</v>
      </c>
      <c r="F307" s="4">
        <v>365.30812122363045</v>
      </c>
      <c r="G307" s="1" t="s">
        <v>2439</v>
      </c>
      <c r="H307" s="95">
        <v>45424.0</v>
      </c>
      <c r="I307" s="95">
        <v>45432.0</v>
      </c>
      <c r="J307" s="4">
        <v>377.75670976939654</v>
      </c>
      <c r="K307" s="1"/>
      <c r="L307" s="1"/>
      <c r="M307" s="1" t="str">
        <f>VLOOKUP(B307,Bounties!A:D,3,FALSE)</f>
        <v>Operations</v>
      </c>
      <c r="N307" s="1" t="str">
        <f>VLOOKUP(B307,Bounties!A:D,4,FALSE)</f>
        <v>RPCs and Nodes</v>
      </c>
      <c r="O307" s="1" t="str">
        <f t="shared" ref="O307:P307" si="311">IF(ISBLANK(K307),M307,K307)</f>
        <v>Operations</v>
      </c>
      <c r="P307" s="1" t="str">
        <f t="shared" si="311"/>
        <v>RPCs and Nodes</v>
      </c>
      <c r="Q307" s="61" t="str">
        <f t="shared" si="3"/>
        <v>2024</v>
      </c>
      <c r="R307" s="62">
        <f t="shared" si="4"/>
        <v>5</v>
      </c>
      <c r="S307" s="61" t="str">
        <f t="shared" si="5"/>
        <v>2024-Q2</v>
      </c>
      <c r="T307" s="63" t="str">
        <f t="shared" si="6"/>
        <v>2024-05</v>
      </c>
      <c r="U307" s="64" t="str">
        <f t="shared" si="7"/>
        <v>2024-H1</v>
      </c>
      <c r="V307" s="9" t="str">
        <f>VLOOKUP(B307,Bounties!A:E,2,FALSE)</f>
        <v>System Parachains Collator Bounty</v>
      </c>
    </row>
    <row r="308" hidden="1">
      <c r="A308" s="67">
        <f>HYPERLINK("https://polkadot.subsquare.io/treasury/child-bounties/1095", 1095)</f>
        <v>1095</v>
      </c>
      <c r="B308" s="1">
        <v>32.0</v>
      </c>
      <c r="C308" s="1" t="s">
        <v>2414</v>
      </c>
      <c r="D308" s="1" t="s">
        <v>697</v>
      </c>
      <c r="E308" s="5">
        <v>39.1143960904</v>
      </c>
      <c r="F308" s="4">
        <v>272.37231472046386</v>
      </c>
      <c r="G308" s="1" t="s">
        <v>2459</v>
      </c>
      <c r="H308" s="95">
        <v>45424.0</v>
      </c>
      <c r="I308" s="95">
        <v>45432.0</v>
      </c>
      <c r="J308" s="4">
        <v>281.65393393510294</v>
      </c>
      <c r="K308" s="1"/>
      <c r="L308" s="1"/>
      <c r="M308" s="1" t="str">
        <f>VLOOKUP(B308,Bounties!A:D,3,FALSE)</f>
        <v>Operations</v>
      </c>
      <c r="N308" s="1" t="str">
        <f>VLOOKUP(B308,Bounties!A:D,4,FALSE)</f>
        <v>RPCs and Nodes</v>
      </c>
      <c r="O308" s="1" t="str">
        <f t="shared" ref="O308:P308" si="312">IF(ISBLANK(K308),M308,K308)</f>
        <v>Operations</v>
      </c>
      <c r="P308" s="1" t="str">
        <f t="shared" si="312"/>
        <v>RPCs and Nodes</v>
      </c>
      <c r="Q308" s="61" t="str">
        <f t="shared" si="3"/>
        <v>2024</v>
      </c>
      <c r="R308" s="62">
        <f t="shared" si="4"/>
        <v>5</v>
      </c>
      <c r="S308" s="61" t="str">
        <f t="shared" si="5"/>
        <v>2024-Q2</v>
      </c>
      <c r="T308" s="63" t="str">
        <f t="shared" si="6"/>
        <v>2024-05</v>
      </c>
      <c r="U308" s="64" t="str">
        <f t="shared" si="7"/>
        <v>2024-H1</v>
      </c>
      <c r="V308" s="9" t="str">
        <f>VLOOKUP(B308,Bounties!A:E,2,FALSE)</f>
        <v>System Parachains Collator Bounty</v>
      </c>
    </row>
    <row r="309" hidden="1">
      <c r="A309" s="67">
        <f>HYPERLINK("https://polkadot.subsquare.io/treasury/child-bounties/1094", 1094)</f>
        <v>1094</v>
      </c>
      <c r="B309" s="1">
        <v>32.0</v>
      </c>
      <c r="C309" s="1" t="s">
        <v>2414</v>
      </c>
      <c r="D309" s="1" t="s">
        <v>696</v>
      </c>
      <c r="E309" s="5">
        <v>38.0818521158</v>
      </c>
      <c r="F309" s="4">
        <v>265.1822154086277</v>
      </c>
      <c r="G309" s="1" t="s">
        <v>2441</v>
      </c>
      <c r="H309" s="95">
        <v>45424.0</v>
      </c>
      <c r="I309" s="95">
        <v>45432.0</v>
      </c>
      <c r="J309" s="4">
        <v>274.21881792986176</v>
      </c>
      <c r="K309" s="1"/>
      <c r="L309" s="1"/>
      <c r="M309" s="1" t="str">
        <f>VLOOKUP(B309,Bounties!A:D,3,FALSE)</f>
        <v>Operations</v>
      </c>
      <c r="N309" s="1" t="str">
        <f>VLOOKUP(B309,Bounties!A:D,4,FALSE)</f>
        <v>RPCs and Nodes</v>
      </c>
      <c r="O309" s="1" t="str">
        <f t="shared" ref="O309:P309" si="313">IF(ISBLANK(K309),M309,K309)</f>
        <v>Operations</v>
      </c>
      <c r="P309" s="1" t="str">
        <f t="shared" si="313"/>
        <v>RPCs and Nodes</v>
      </c>
      <c r="Q309" s="61" t="str">
        <f t="shared" si="3"/>
        <v>2024</v>
      </c>
      <c r="R309" s="62">
        <f t="shared" si="4"/>
        <v>5</v>
      </c>
      <c r="S309" s="61" t="str">
        <f t="shared" si="5"/>
        <v>2024-Q2</v>
      </c>
      <c r="T309" s="63" t="str">
        <f t="shared" si="6"/>
        <v>2024-05</v>
      </c>
      <c r="U309" s="64" t="str">
        <f t="shared" si="7"/>
        <v>2024-H1</v>
      </c>
      <c r="V309" s="9" t="str">
        <f>VLOOKUP(B309,Bounties!A:E,2,FALSE)</f>
        <v>System Parachains Collator Bounty</v>
      </c>
    </row>
    <row r="310" hidden="1">
      <c r="A310" s="67">
        <f>HYPERLINK("https://polkadot.subsquare.io/treasury/child-bounties/1093", 1093)</f>
        <v>1093</v>
      </c>
      <c r="B310" s="1">
        <v>32.0</v>
      </c>
      <c r="C310" s="1" t="s">
        <v>2414</v>
      </c>
      <c r="D310" s="1" t="s">
        <v>695</v>
      </c>
      <c r="E310" s="5">
        <v>38.1959753972</v>
      </c>
      <c r="F310" s="4">
        <v>265.97691059570343</v>
      </c>
      <c r="G310" s="1" t="s">
        <v>2469</v>
      </c>
      <c r="H310" s="95">
        <v>45424.0</v>
      </c>
      <c r="I310" s="95">
        <v>45432.0</v>
      </c>
      <c r="J310" s="4">
        <v>275.0405939093657</v>
      </c>
      <c r="K310" s="1"/>
      <c r="L310" s="1"/>
      <c r="M310" s="1" t="str">
        <f>VLOOKUP(B310,Bounties!A:D,3,FALSE)</f>
        <v>Operations</v>
      </c>
      <c r="N310" s="1" t="str">
        <f>VLOOKUP(B310,Bounties!A:D,4,FALSE)</f>
        <v>RPCs and Nodes</v>
      </c>
      <c r="O310" s="1" t="str">
        <f t="shared" ref="O310:P310" si="314">IF(ISBLANK(K310),M310,K310)</f>
        <v>Operations</v>
      </c>
      <c r="P310" s="1" t="str">
        <f t="shared" si="314"/>
        <v>RPCs and Nodes</v>
      </c>
      <c r="Q310" s="61" t="str">
        <f t="shared" si="3"/>
        <v>2024</v>
      </c>
      <c r="R310" s="62">
        <f t="shared" si="4"/>
        <v>5</v>
      </c>
      <c r="S310" s="61" t="str">
        <f t="shared" si="5"/>
        <v>2024-Q2</v>
      </c>
      <c r="T310" s="63" t="str">
        <f t="shared" si="6"/>
        <v>2024-05</v>
      </c>
      <c r="U310" s="64" t="str">
        <f t="shared" si="7"/>
        <v>2024-H1</v>
      </c>
      <c r="V310" s="9" t="str">
        <f>VLOOKUP(B310,Bounties!A:E,2,FALSE)</f>
        <v>System Parachains Collator Bounty</v>
      </c>
    </row>
    <row r="311" hidden="1">
      <c r="A311" s="67">
        <f>HYPERLINK("https://polkadot.subsquare.io/treasury/child-bounties/1092", 1092)</f>
        <v>1092</v>
      </c>
      <c r="B311" s="1">
        <v>32.0</v>
      </c>
      <c r="C311" s="1" t="s">
        <v>2414</v>
      </c>
      <c r="D311" s="1" t="s">
        <v>694</v>
      </c>
      <c r="E311" s="5">
        <v>37.1172386658</v>
      </c>
      <c r="F311" s="4">
        <v>258.46514894594304</v>
      </c>
      <c r="G311" s="1" t="s">
        <v>2471</v>
      </c>
      <c r="H311" s="95">
        <v>45424.0</v>
      </c>
      <c r="I311" s="95">
        <v>45432.0</v>
      </c>
      <c r="J311" s="4">
        <v>267.2728542930643</v>
      </c>
      <c r="K311" s="1"/>
      <c r="L311" s="1"/>
      <c r="M311" s="1" t="str">
        <f>VLOOKUP(B311,Bounties!A:D,3,FALSE)</f>
        <v>Operations</v>
      </c>
      <c r="N311" s="1" t="str">
        <f>VLOOKUP(B311,Bounties!A:D,4,FALSE)</f>
        <v>RPCs and Nodes</v>
      </c>
      <c r="O311" s="1" t="str">
        <f t="shared" ref="O311:P311" si="315">IF(ISBLANK(K311),M311,K311)</f>
        <v>Operations</v>
      </c>
      <c r="P311" s="1" t="str">
        <f t="shared" si="315"/>
        <v>RPCs and Nodes</v>
      </c>
      <c r="Q311" s="61" t="str">
        <f t="shared" si="3"/>
        <v>2024</v>
      </c>
      <c r="R311" s="62">
        <f t="shared" si="4"/>
        <v>5</v>
      </c>
      <c r="S311" s="61" t="str">
        <f t="shared" si="5"/>
        <v>2024-Q2</v>
      </c>
      <c r="T311" s="63" t="str">
        <f t="shared" si="6"/>
        <v>2024-05</v>
      </c>
      <c r="U311" s="64" t="str">
        <f t="shared" si="7"/>
        <v>2024-H1</v>
      </c>
      <c r="V311" s="9" t="str">
        <f>VLOOKUP(B311,Bounties!A:E,2,FALSE)</f>
        <v>System Parachains Collator Bounty</v>
      </c>
    </row>
    <row r="312" hidden="1">
      <c r="A312" s="67">
        <f>HYPERLINK("https://polkadot.subsquare.io/treasury/child-bounties/1091", 1091)</f>
        <v>1091</v>
      </c>
      <c r="B312" s="1">
        <v>32.0</v>
      </c>
      <c r="C312" s="1" t="s">
        <v>2414</v>
      </c>
      <c r="D312" s="1" t="s">
        <v>693</v>
      </c>
      <c r="E312" s="5">
        <v>6.3847900114</v>
      </c>
      <c r="F312" s="4">
        <v>44.46035752130491</v>
      </c>
      <c r="G312" s="1" t="s">
        <v>2442</v>
      </c>
      <c r="H312" s="95">
        <v>45424.0</v>
      </c>
      <c r="I312" s="95">
        <v>45432.0</v>
      </c>
      <c r="J312" s="4">
        <v>45.975431140600556</v>
      </c>
      <c r="K312" s="1"/>
      <c r="L312" s="1"/>
      <c r="M312" s="1" t="str">
        <f>VLOOKUP(B312,Bounties!A:D,3,FALSE)</f>
        <v>Operations</v>
      </c>
      <c r="N312" s="1" t="str">
        <f>VLOOKUP(B312,Bounties!A:D,4,FALSE)</f>
        <v>RPCs and Nodes</v>
      </c>
      <c r="O312" s="1" t="str">
        <f t="shared" ref="O312:P312" si="316">IF(ISBLANK(K312),M312,K312)</f>
        <v>Operations</v>
      </c>
      <c r="P312" s="1" t="str">
        <f t="shared" si="316"/>
        <v>RPCs and Nodes</v>
      </c>
      <c r="Q312" s="61" t="str">
        <f t="shared" si="3"/>
        <v>2024</v>
      </c>
      <c r="R312" s="62">
        <f t="shared" si="4"/>
        <v>5</v>
      </c>
      <c r="S312" s="61" t="str">
        <f t="shared" si="5"/>
        <v>2024-Q2</v>
      </c>
      <c r="T312" s="63" t="str">
        <f t="shared" si="6"/>
        <v>2024-05</v>
      </c>
      <c r="U312" s="64" t="str">
        <f t="shared" si="7"/>
        <v>2024-H1</v>
      </c>
      <c r="V312" s="9" t="str">
        <f>VLOOKUP(B312,Bounties!A:E,2,FALSE)</f>
        <v>System Parachains Collator Bounty</v>
      </c>
    </row>
    <row r="313" hidden="1">
      <c r="A313" s="67">
        <f>HYPERLINK("https://polkadot.subsquare.io/treasury/child-bounties/1090", 1090)</f>
        <v>1090</v>
      </c>
      <c r="B313" s="1">
        <v>19.0</v>
      </c>
      <c r="C313" s="1" t="s">
        <v>2414</v>
      </c>
      <c r="D313" s="1" t="s">
        <v>692</v>
      </c>
      <c r="E313" s="5">
        <v>1374.0</v>
      </c>
      <c r="F313" s="4">
        <v>9567.821514129639</v>
      </c>
      <c r="G313" s="1" t="s">
        <v>2585</v>
      </c>
      <c r="H313" s="95">
        <v>45424.0</v>
      </c>
      <c r="I313" s="95">
        <v>45436.0</v>
      </c>
      <c r="J313" s="4">
        <v>10369.899596214294</v>
      </c>
      <c r="K313" s="1"/>
      <c r="L313" s="1"/>
      <c r="M313" s="1" t="str">
        <f>VLOOKUP(B313,Bounties!A:D,3,FALSE)</f>
        <v>Development</v>
      </c>
      <c r="N313" s="1" t="str">
        <f>VLOOKUP(B313,Bounties!A:D,4,FALSE)</f>
        <v>Smart Contracts</v>
      </c>
      <c r="O313" s="1" t="str">
        <f t="shared" ref="O313:P313" si="317">IF(ISBLANK(K313),M313,K313)</f>
        <v>Development</v>
      </c>
      <c r="P313" s="1" t="str">
        <f t="shared" si="317"/>
        <v>Smart Contracts</v>
      </c>
      <c r="Q313" s="61" t="str">
        <f t="shared" si="3"/>
        <v>2024</v>
      </c>
      <c r="R313" s="62">
        <f t="shared" si="4"/>
        <v>5</v>
      </c>
      <c r="S313" s="61" t="str">
        <f t="shared" si="5"/>
        <v>2024-Q2</v>
      </c>
      <c r="T313" s="63" t="str">
        <f t="shared" si="6"/>
        <v>2024-05</v>
      </c>
      <c r="U313" s="64" t="str">
        <f t="shared" si="7"/>
        <v>2024-H1</v>
      </c>
      <c r="V313" s="9" t="str">
        <f>VLOOKUP(B313,Bounties!A:E,2,FALSE)</f>
        <v>Wasm Smart Contracts Bounty</v>
      </c>
    </row>
    <row r="314" hidden="1">
      <c r="A314" s="67">
        <f>HYPERLINK("https://polkadot.subsquare.io/treasury/child-bounties/1089", 1089)</f>
        <v>1089</v>
      </c>
      <c r="B314" s="1">
        <v>11.0</v>
      </c>
      <c r="C314" s="1" t="s">
        <v>2414</v>
      </c>
      <c r="D314" s="1" t="s">
        <v>691</v>
      </c>
      <c r="E314" s="5">
        <v>70.94</v>
      </c>
      <c r="F314" s="4">
        <v>472.40562354087825</v>
      </c>
      <c r="G314" s="1" t="s">
        <v>2524</v>
      </c>
      <c r="H314" s="95">
        <v>45421.0</v>
      </c>
      <c r="I314" s="95">
        <v>45429.0</v>
      </c>
      <c r="J314" s="4">
        <v>537.3726175594329</v>
      </c>
      <c r="K314" s="1"/>
      <c r="L314" s="1"/>
      <c r="M314" s="1" t="str">
        <f>VLOOKUP(B314,Bounties!A:D,3,FALSE)</f>
        <v>Research</v>
      </c>
      <c r="N314" s="1" t="str">
        <f>VLOOKUP(B314,Bounties!A:D,4,FALSE)</f>
        <v>Anti-Scam</v>
      </c>
      <c r="O314" s="1" t="str">
        <f t="shared" ref="O314:P314" si="318">IF(ISBLANK(K314),M314,K314)</f>
        <v>Research</v>
      </c>
      <c r="P314" s="1" t="str">
        <f t="shared" si="318"/>
        <v>Anti-Scam</v>
      </c>
      <c r="Q314" s="61" t="str">
        <f t="shared" si="3"/>
        <v>2024</v>
      </c>
      <c r="R314" s="62">
        <f t="shared" si="4"/>
        <v>5</v>
      </c>
      <c r="S314" s="61" t="str">
        <f t="shared" si="5"/>
        <v>2024-Q2</v>
      </c>
      <c r="T314" s="63" t="str">
        <f t="shared" si="6"/>
        <v>2024-05</v>
      </c>
      <c r="U314" s="64" t="str">
        <f t="shared" si="7"/>
        <v>2024-H1</v>
      </c>
      <c r="V314" s="9" t="str">
        <f>VLOOKUP(B314,Bounties!A:E,2,FALSE)</f>
        <v>Anti-Scam Bounty</v>
      </c>
    </row>
    <row r="315" hidden="1">
      <c r="A315" s="67">
        <f>HYPERLINK("https://polkadot.subsquare.io/treasury/child-bounties/1088", 1088)</f>
        <v>1088</v>
      </c>
      <c r="B315" s="1">
        <v>11.0</v>
      </c>
      <c r="C315" s="1" t="s">
        <v>2414</v>
      </c>
      <c r="D315" s="1" t="s">
        <v>690</v>
      </c>
      <c r="E315" s="5">
        <v>106.41</v>
      </c>
      <c r="F315" s="4">
        <v>708.6084353113174</v>
      </c>
      <c r="G315" s="1" t="s">
        <v>2497</v>
      </c>
      <c r="H315" s="95">
        <v>45421.0</v>
      </c>
      <c r="I315" s="95">
        <v>45429.0</v>
      </c>
      <c r="J315" s="4">
        <v>806.0589263391495</v>
      </c>
      <c r="K315" s="1"/>
      <c r="L315" s="1"/>
      <c r="M315" s="1" t="str">
        <f>VLOOKUP(B315,Bounties!A:D,3,FALSE)</f>
        <v>Research</v>
      </c>
      <c r="N315" s="1" t="str">
        <f>VLOOKUP(B315,Bounties!A:D,4,FALSE)</f>
        <v>Anti-Scam</v>
      </c>
      <c r="O315" s="1" t="str">
        <f t="shared" ref="O315:P315" si="319">IF(ISBLANK(K315),M315,K315)</f>
        <v>Research</v>
      </c>
      <c r="P315" s="1" t="str">
        <f t="shared" si="319"/>
        <v>Anti-Scam</v>
      </c>
      <c r="Q315" s="61" t="str">
        <f t="shared" si="3"/>
        <v>2024</v>
      </c>
      <c r="R315" s="62">
        <f t="shared" si="4"/>
        <v>5</v>
      </c>
      <c r="S315" s="61" t="str">
        <f t="shared" si="5"/>
        <v>2024-Q2</v>
      </c>
      <c r="T315" s="63" t="str">
        <f t="shared" si="6"/>
        <v>2024-05</v>
      </c>
      <c r="U315" s="64" t="str">
        <f t="shared" si="7"/>
        <v>2024-H1</v>
      </c>
      <c r="V315" s="9" t="str">
        <f>VLOOKUP(B315,Bounties!A:E,2,FALSE)</f>
        <v>Anti-Scam Bounty</v>
      </c>
    </row>
    <row r="316" hidden="1">
      <c r="A316" s="67">
        <f>HYPERLINK("https://polkadot.subsquare.io/treasury/child-bounties/1087", 1087)</f>
        <v>1087</v>
      </c>
      <c r="B316" s="1">
        <v>17.0</v>
      </c>
      <c r="C316" s="1" t="s">
        <v>2414</v>
      </c>
      <c r="D316" s="1" t="s">
        <v>689</v>
      </c>
      <c r="E316" s="5">
        <v>13666.7</v>
      </c>
      <c r="F316" s="4">
        <v>92249.7036567688</v>
      </c>
      <c r="G316" s="1" t="s">
        <v>2586</v>
      </c>
      <c r="H316" s="95">
        <v>45419.0</v>
      </c>
      <c r="I316" s="95">
        <v>45428.0</v>
      </c>
      <c r="J316" s="4">
        <v>94813.20697569847</v>
      </c>
      <c r="K316" s="1"/>
      <c r="L316" s="1" t="s">
        <v>86</v>
      </c>
      <c r="M316" s="1" t="str">
        <f>VLOOKUP(B316,Bounties!A:D,3,FALSE)</f>
        <v>Outreach</v>
      </c>
      <c r="N316" s="1" t="str">
        <f>VLOOKUP(B316,Bounties!A:D,4,FALSE)</f>
        <v>Events/Meetups</v>
      </c>
      <c r="O316" s="1" t="str">
        <f t="shared" ref="O316:P316" si="320">IF(ISBLANK(K316),M316,K316)</f>
        <v>Outreach</v>
      </c>
      <c r="P316" s="1" t="str">
        <f t="shared" si="320"/>
        <v>Events/Conference Attendance &amp; Side Events</v>
      </c>
      <c r="Q316" s="61" t="str">
        <f t="shared" si="3"/>
        <v>2024</v>
      </c>
      <c r="R316" s="62">
        <f t="shared" si="4"/>
        <v>5</v>
      </c>
      <c r="S316" s="61" t="str">
        <f t="shared" si="5"/>
        <v>2024-Q2</v>
      </c>
      <c r="T316" s="63" t="str">
        <f t="shared" si="6"/>
        <v>2024-05</v>
      </c>
      <c r="U316" s="64" t="str">
        <f t="shared" si="7"/>
        <v>2024-H1</v>
      </c>
      <c r="V316" s="9" t="str">
        <f>VLOOKUP(B316,Bounties!A:E,2,FALSE)</f>
        <v>Events Bounty</v>
      </c>
    </row>
    <row r="317" hidden="1">
      <c r="A317" s="67">
        <f>HYPERLINK("https://polkadot.subsquare.io/treasury/child-bounties/1086", 1086)</f>
        <v>1086</v>
      </c>
      <c r="B317" s="1">
        <v>17.0</v>
      </c>
      <c r="C317" s="1" t="s">
        <v>2414</v>
      </c>
      <c r="D317" s="1" t="s">
        <v>688</v>
      </c>
      <c r="E317" s="5">
        <v>7915.8</v>
      </c>
      <c r="F317" s="4">
        <v>53431.34803619385</v>
      </c>
      <c r="G317" s="1" t="s">
        <v>2587</v>
      </c>
      <c r="H317" s="95">
        <v>45419.0</v>
      </c>
      <c r="I317" s="95">
        <v>45428.0</v>
      </c>
      <c r="J317" s="4">
        <v>56692.587339019774</v>
      </c>
      <c r="K317" s="1"/>
      <c r="L317" s="1" t="s">
        <v>86</v>
      </c>
      <c r="M317" s="1" t="str">
        <f>VLOOKUP(B317,Bounties!A:D,3,FALSE)</f>
        <v>Outreach</v>
      </c>
      <c r="N317" s="1" t="str">
        <f>VLOOKUP(B317,Bounties!A:D,4,FALSE)</f>
        <v>Events/Meetups</v>
      </c>
      <c r="O317" s="1" t="str">
        <f t="shared" ref="O317:P317" si="321">IF(ISBLANK(K317),M317,K317)</f>
        <v>Outreach</v>
      </c>
      <c r="P317" s="1" t="str">
        <f t="shared" si="321"/>
        <v>Events/Conference Attendance &amp; Side Events</v>
      </c>
      <c r="Q317" s="61" t="str">
        <f t="shared" si="3"/>
        <v>2024</v>
      </c>
      <c r="R317" s="62">
        <f t="shared" si="4"/>
        <v>5</v>
      </c>
      <c r="S317" s="61" t="str">
        <f t="shared" si="5"/>
        <v>2024-Q2</v>
      </c>
      <c r="T317" s="63" t="str">
        <f t="shared" si="6"/>
        <v>2024-05</v>
      </c>
      <c r="U317" s="64" t="str">
        <f t="shared" si="7"/>
        <v>2024-H1</v>
      </c>
      <c r="V317" s="9" t="str">
        <f>VLOOKUP(B317,Bounties!A:E,2,FALSE)</f>
        <v>Events Bounty</v>
      </c>
    </row>
    <row r="318" hidden="1">
      <c r="A318" s="67">
        <f>HYPERLINK("https://polkadot.subsquare.io/treasury/child-bounties/1085", 1085)</f>
        <v>1085</v>
      </c>
      <c r="B318" s="1">
        <v>17.0</v>
      </c>
      <c r="C318" s="1" t="s">
        <v>2414</v>
      </c>
      <c r="D318" s="1" t="s">
        <v>687</v>
      </c>
      <c r="E318" s="5">
        <v>1229.5</v>
      </c>
      <c r="F318" s="4">
        <v>8299.07809829712</v>
      </c>
      <c r="G318" s="1" t="s">
        <v>2588</v>
      </c>
      <c r="H318" s="95">
        <v>45419.0</v>
      </c>
      <c r="I318" s="95">
        <v>45438.0</v>
      </c>
      <c r="J318" s="4">
        <v>9057.816326141357</v>
      </c>
      <c r="K318" s="1"/>
      <c r="L318" s="1"/>
      <c r="M318" s="1" t="str">
        <f>VLOOKUP(B318,Bounties!A:D,3,FALSE)</f>
        <v>Outreach</v>
      </c>
      <c r="N318" s="1" t="str">
        <f>VLOOKUP(B318,Bounties!A:D,4,FALSE)</f>
        <v>Events/Meetups</v>
      </c>
      <c r="O318" s="1" t="str">
        <f t="shared" ref="O318:P318" si="322">IF(ISBLANK(K318),M318,K318)</f>
        <v>Outreach</v>
      </c>
      <c r="P318" s="1" t="str">
        <f t="shared" si="322"/>
        <v>Events/Meetups</v>
      </c>
      <c r="Q318" s="61" t="str">
        <f t="shared" si="3"/>
        <v>2024</v>
      </c>
      <c r="R318" s="62">
        <f t="shared" si="4"/>
        <v>5</v>
      </c>
      <c r="S318" s="61" t="str">
        <f t="shared" si="5"/>
        <v>2024-Q2</v>
      </c>
      <c r="T318" s="63" t="str">
        <f t="shared" si="6"/>
        <v>2024-05</v>
      </c>
      <c r="U318" s="64" t="str">
        <f t="shared" si="7"/>
        <v>2024-H1</v>
      </c>
      <c r="V318" s="9" t="str">
        <f>VLOOKUP(B318,Bounties!A:E,2,FALSE)</f>
        <v>Events Bounty</v>
      </c>
    </row>
    <row r="319" hidden="1">
      <c r="A319" s="67">
        <f>HYPERLINK("https://polkadot.subsquare.io/treasury/child-bounties/1084", 1084)</f>
        <v>1084</v>
      </c>
      <c r="B319" s="1">
        <v>17.0</v>
      </c>
      <c r="C319" s="1" t="s">
        <v>2414</v>
      </c>
      <c r="D319" s="1" t="s">
        <v>686</v>
      </c>
      <c r="E319" s="5">
        <v>5298.0</v>
      </c>
      <c r="F319" s="4">
        <v>37068.72274875641</v>
      </c>
      <c r="G319" s="1" t="s">
        <v>2589</v>
      </c>
      <c r="H319" s="95">
        <v>45417.0</v>
      </c>
      <c r="I319" s="95">
        <v>45430.0</v>
      </c>
      <c r="J319" s="4">
        <v>40132.50814533234</v>
      </c>
      <c r="K319" s="1"/>
      <c r="L319" s="1" t="s">
        <v>86</v>
      </c>
      <c r="M319" s="1" t="str">
        <f>VLOOKUP(B319,Bounties!A:D,3,FALSE)</f>
        <v>Outreach</v>
      </c>
      <c r="N319" s="1" t="str">
        <f>VLOOKUP(B319,Bounties!A:D,4,FALSE)</f>
        <v>Events/Meetups</v>
      </c>
      <c r="O319" s="1" t="str">
        <f t="shared" ref="O319:P319" si="323">IF(ISBLANK(K319),M319,K319)</f>
        <v>Outreach</v>
      </c>
      <c r="P319" s="1" t="str">
        <f t="shared" si="323"/>
        <v>Events/Conference Attendance &amp; Side Events</v>
      </c>
      <c r="Q319" s="61" t="str">
        <f t="shared" si="3"/>
        <v>2024</v>
      </c>
      <c r="R319" s="62">
        <f t="shared" si="4"/>
        <v>5</v>
      </c>
      <c r="S319" s="61" t="str">
        <f t="shared" si="5"/>
        <v>2024-Q2</v>
      </c>
      <c r="T319" s="63" t="str">
        <f t="shared" si="6"/>
        <v>2024-05</v>
      </c>
      <c r="U319" s="64" t="str">
        <f t="shared" si="7"/>
        <v>2024-H1</v>
      </c>
      <c r="V319" s="9" t="str">
        <f>VLOOKUP(B319,Bounties!A:E,2,FALSE)</f>
        <v>Events Bounty</v>
      </c>
    </row>
    <row r="320" hidden="1">
      <c r="A320" s="67">
        <f>HYPERLINK("https://polkadot.subsquare.io/treasury/child-bounties/1083", 1083)</f>
        <v>1083</v>
      </c>
      <c r="B320" s="1">
        <v>17.0</v>
      </c>
      <c r="C320" s="1" t="s">
        <v>2414</v>
      </c>
      <c r="D320" s="1" t="s">
        <v>685</v>
      </c>
      <c r="E320" s="5">
        <v>50.0</v>
      </c>
      <c r="F320" s="4">
        <v>349.83694553375244</v>
      </c>
      <c r="G320" s="1" t="s">
        <v>2524</v>
      </c>
      <c r="H320" s="95">
        <v>45417.0</v>
      </c>
      <c r="I320" s="95">
        <v>45428.0</v>
      </c>
      <c r="J320" s="4">
        <v>346.87674045562744</v>
      </c>
      <c r="K320" s="1"/>
      <c r="L320" s="1"/>
      <c r="M320" s="1" t="str">
        <f>VLOOKUP(B320,Bounties!A:D,3,FALSE)</f>
        <v>Outreach</v>
      </c>
      <c r="N320" s="1" t="str">
        <f>VLOOKUP(B320,Bounties!A:D,4,FALSE)</f>
        <v>Events/Meetups</v>
      </c>
      <c r="O320" s="1" t="str">
        <f t="shared" ref="O320:P320" si="324">IF(ISBLANK(K320),M320,K320)</f>
        <v>Outreach</v>
      </c>
      <c r="P320" s="1" t="str">
        <f t="shared" si="324"/>
        <v>Events/Meetups</v>
      </c>
      <c r="Q320" s="61" t="str">
        <f t="shared" si="3"/>
        <v>2024</v>
      </c>
      <c r="R320" s="62">
        <f t="shared" si="4"/>
        <v>5</v>
      </c>
      <c r="S320" s="61" t="str">
        <f t="shared" si="5"/>
        <v>2024-Q2</v>
      </c>
      <c r="T320" s="63" t="str">
        <f t="shared" si="6"/>
        <v>2024-05</v>
      </c>
      <c r="U320" s="64" t="str">
        <f t="shared" si="7"/>
        <v>2024-H1</v>
      </c>
      <c r="V320" s="9" t="str">
        <f>VLOOKUP(B320,Bounties!A:E,2,FALSE)</f>
        <v>Events Bounty</v>
      </c>
    </row>
    <row r="321" hidden="1">
      <c r="A321" s="67">
        <f>HYPERLINK("https://polkadot.subsquare.io/treasury/child-bounties/1082", 1082)</f>
        <v>1082</v>
      </c>
      <c r="B321" s="1">
        <v>17.0</v>
      </c>
      <c r="C321" s="1" t="s">
        <v>2414</v>
      </c>
      <c r="D321" s="1" t="s">
        <v>684</v>
      </c>
      <c r="E321" s="5">
        <v>50.0</v>
      </c>
      <c r="F321" s="4">
        <v>349.83694553375244</v>
      </c>
      <c r="G321" s="1" t="s">
        <v>2531</v>
      </c>
      <c r="H321" s="95">
        <v>45417.0</v>
      </c>
      <c r="I321" s="95">
        <v>45440.0</v>
      </c>
      <c r="J321" s="4">
        <v>349.8929977416992</v>
      </c>
      <c r="K321" s="1"/>
      <c r="L321" s="1"/>
      <c r="M321" s="1" t="str">
        <f>VLOOKUP(B321,Bounties!A:D,3,FALSE)</f>
        <v>Outreach</v>
      </c>
      <c r="N321" s="1" t="str">
        <f>VLOOKUP(B321,Bounties!A:D,4,FALSE)</f>
        <v>Events/Meetups</v>
      </c>
      <c r="O321" s="1" t="str">
        <f t="shared" ref="O321:P321" si="325">IF(ISBLANK(K321),M321,K321)</f>
        <v>Outreach</v>
      </c>
      <c r="P321" s="1" t="str">
        <f t="shared" si="325"/>
        <v>Events/Meetups</v>
      </c>
      <c r="Q321" s="61" t="str">
        <f t="shared" si="3"/>
        <v>2024</v>
      </c>
      <c r="R321" s="62">
        <f t="shared" si="4"/>
        <v>5</v>
      </c>
      <c r="S321" s="61" t="str">
        <f t="shared" si="5"/>
        <v>2024-Q2</v>
      </c>
      <c r="T321" s="63" t="str">
        <f t="shared" si="6"/>
        <v>2024-05</v>
      </c>
      <c r="U321" s="64" t="str">
        <f t="shared" si="7"/>
        <v>2024-H1</v>
      </c>
      <c r="V321" s="9" t="str">
        <f>VLOOKUP(B321,Bounties!A:E,2,FALSE)</f>
        <v>Events Bounty</v>
      </c>
    </row>
    <row r="322" hidden="1">
      <c r="A322" s="67">
        <f>HYPERLINK("https://polkadot.subsquare.io/treasury/child-bounties/1081", 1081)</f>
        <v>1081</v>
      </c>
      <c r="B322" s="1">
        <v>17.0</v>
      </c>
      <c r="C322" s="1" t="s">
        <v>2414</v>
      </c>
      <c r="D322" s="1" t="s">
        <v>683</v>
      </c>
      <c r="E322" s="5">
        <v>50.0</v>
      </c>
      <c r="F322" s="4">
        <v>349.83694553375244</v>
      </c>
      <c r="G322" s="1" t="s">
        <v>2566</v>
      </c>
      <c r="H322" s="95">
        <v>45417.0</v>
      </c>
      <c r="I322" s="95">
        <v>45429.0</v>
      </c>
      <c r="J322" s="4">
        <v>346.87674045562744</v>
      </c>
      <c r="K322" s="1"/>
      <c r="L322" s="1"/>
      <c r="M322" s="1" t="str">
        <f>VLOOKUP(B322,Bounties!A:D,3,FALSE)</f>
        <v>Outreach</v>
      </c>
      <c r="N322" s="1" t="str">
        <f>VLOOKUP(B322,Bounties!A:D,4,FALSE)</f>
        <v>Events/Meetups</v>
      </c>
      <c r="O322" s="1" t="str">
        <f t="shared" ref="O322:P322" si="326">IF(ISBLANK(K322),M322,K322)</f>
        <v>Outreach</v>
      </c>
      <c r="P322" s="1" t="str">
        <f t="shared" si="326"/>
        <v>Events/Meetups</v>
      </c>
      <c r="Q322" s="61" t="str">
        <f t="shared" si="3"/>
        <v>2024</v>
      </c>
      <c r="R322" s="62">
        <f t="shared" si="4"/>
        <v>5</v>
      </c>
      <c r="S322" s="61" t="str">
        <f t="shared" si="5"/>
        <v>2024-Q2</v>
      </c>
      <c r="T322" s="63" t="str">
        <f t="shared" si="6"/>
        <v>2024-05</v>
      </c>
      <c r="U322" s="64" t="str">
        <f t="shared" si="7"/>
        <v>2024-H1</v>
      </c>
      <c r="V322" s="9" t="str">
        <f>VLOOKUP(B322,Bounties!A:E,2,FALSE)</f>
        <v>Events Bounty</v>
      </c>
    </row>
    <row r="323" hidden="1">
      <c r="A323" s="67">
        <f>HYPERLINK("https://polkadot.subsquare.io/treasury/child-bounties/1080", 1080)</f>
        <v>1080</v>
      </c>
      <c r="B323" s="1">
        <v>17.0</v>
      </c>
      <c r="C323" s="1" t="s">
        <v>2414</v>
      </c>
      <c r="D323" s="1" t="s">
        <v>682</v>
      </c>
      <c r="E323" s="5">
        <v>1719.0</v>
      </c>
      <c r="F323" s="4">
        <v>12027.394187450409</v>
      </c>
      <c r="G323" s="1" t="s">
        <v>2503</v>
      </c>
      <c r="H323" s="95">
        <v>45417.0</v>
      </c>
      <c r="I323" s="95">
        <v>45441.0</v>
      </c>
      <c r="J323" s="4">
        <v>12133.753804206848</v>
      </c>
      <c r="K323" s="1"/>
      <c r="L323" s="1"/>
      <c r="M323" s="1" t="str">
        <f>VLOOKUP(B323,Bounties!A:D,3,FALSE)</f>
        <v>Outreach</v>
      </c>
      <c r="N323" s="1" t="str">
        <f>VLOOKUP(B323,Bounties!A:D,4,FALSE)</f>
        <v>Events/Meetups</v>
      </c>
      <c r="O323" s="1" t="str">
        <f t="shared" ref="O323:P323" si="327">IF(ISBLANK(K323),M323,K323)</f>
        <v>Outreach</v>
      </c>
      <c r="P323" s="1" t="str">
        <f t="shared" si="327"/>
        <v>Events/Meetups</v>
      </c>
      <c r="Q323" s="61" t="str">
        <f t="shared" si="3"/>
        <v>2024</v>
      </c>
      <c r="R323" s="62">
        <f t="shared" si="4"/>
        <v>5</v>
      </c>
      <c r="S323" s="61" t="str">
        <f t="shared" si="5"/>
        <v>2024-Q2</v>
      </c>
      <c r="T323" s="63" t="str">
        <f t="shared" si="6"/>
        <v>2024-05</v>
      </c>
      <c r="U323" s="64" t="str">
        <f t="shared" si="7"/>
        <v>2024-H1</v>
      </c>
      <c r="V323" s="9" t="str">
        <f>VLOOKUP(B323,Bounties!A:E,2,FALSE)</f>
        <v>Events Bounty</v>
      </c>
    </row>
    <row r="324" hidden="1">
      <c r="A324" s="67">
        <f>HYPERLINK("https://polkadot.subsquare.io/treasury/child-bounties/1079", 1079)</f>
        <v>1079</v>
      </c>
      <c r="B324" s="1">
        <v>17.0</v>
      </c>
      <c r="C324" s="1" t="s">
        <v>2414</v>
      </c>
      <c r="D324" s="1" t="s">
        <v>681</v>
      </c>
      <c r="E324" s="5">
        <v>1797.0</v>
      </c>
      <c r="F324" s="4">
        <v>12573.139822483063</v>
      </c>
      <c r="G324" s="1" t="s">
        <v>2501</v>
      </c>
      <c r="H324" s="95">
        <v>45417.0</v>
      </c>
      <c r="I324" s="95">
        <v>45430.0</v>
      </c>
      <c r="J324" s="4">
        <v>13612.328640460968</v>
      </c>
      <c r="K324" s="1"/>
      <c r="L324" s="1"/>
      <c r="M324" s="1" t="str">
        <f>VLOOKUP(B324,Bounties!A:D,3,FALSE)</f>
        <v>Outreach</v>
      </c>
      <c r="N324" s="1" t="str">
        <f>VLOOKUP(B324,Bounties!A:D,4,FALSE)</f>
        <v>Events/Meetups</v>
      </c>
      <c r="O324" s="1" t="str">
        <f t="shared" ref="O324:P324" si="328">IF(ISBLANK(K324),M324,K324)</f>
        <v>Outreach</v>
      </c>
      <c r="P324" s="1" t="str">
        <f t="shared" si="328"/>
        <v>Events/Meetups</v>
      </c>
      <c r="Q324" s="61" t="str">
        <f t="shared" si="3"/>
        <v>2024</v>
      </c>
      <c r="R324" s="62">
        <f t="shared" si="4"/>
        <v>5</v>
      </c>
      <c r="S324" s="61" t="str">
        <f t="shared" si="5"/>
        <v>2024-Q2</v>
      </c>
      <c r="T324" s="63" t="str">
        <f t="shared" si="6"/>
        <v>2024-05</v>
      </c>
      <c r="U324" s="64" t="str">
        <f t="shared" si="7"/>
        <v>2024-H1</v>
      </c>
      <c r="V324" s="9" t="str">
        <f>VLOOKUP(B324,Bounties!A:E,2,FALSE)</f>
        <v>Events Bounty</v>
      </c>
    </row>
    <row r="325" hidden="1">
      <c r="A325" s="67">
        <f>HYPERLINK("https://polkadot.subsquare.io/treasury/child-bounties/1078", 1078)</f>
        <v>1078</v>
      </c>
      <c r="B325" s="1">
        <v>17.0</v>
      </c>
      <c r="C325" s="1" t="s">
        <v>2414</v>
      </c>
      <c r="D325" s="1" t="s">
        <v>680</v>
      </c>
      <c r="E325" s="5">
        <v>1719.0</v>
      </c>
      <c r="F325" s="4">
        <v>12027.394187450409</v>
      </c>
      <c r="G325" s="1" t="s">
        <v>2506</v>
      </c>
      <c r="H325" s="95">
        <v>45417.0</v>
      </c>
      <c r="I325" s="95">
        <v>45431.0</v>
      </c>
      <c r="J325" s="4">
        <v>12814.235840320587</v>
      </c>
      <c r="K325" s="1"/>
      <c r="L325" s="1"/>
      <c r="M325" s="1" t="str">
        <f>VLOOKUP(B325,Bounties!A:D,3,FALSE)</f>
        <v>Outreach</v>
      </c>
      <c r="N325" s="1" t="str">
        <f>VLOOKUP(B325,Bounties!A:D,4,FALSE)</f>
        <v>Events/Meetups</v>
      </c>
      <c r="O325" s="1" t="str">
        <f t="shared" ref="O325:P325" si="329">IF(ISBLANK(K325),M325,K325)</f>
        <v>Outreach</v>
      </c>
      <c r="P325" s="1" t="str">
        <f t="shared" si="329"/>
        <v>Events/Meetups</v>
      </c>
      <c r="Q325" s="61" t="str">
        <f t="shared" si="3"/>
        <v>2024</v>
      </c>
      <c r="R325" s="62">
        <f t="shared" si="4"/>
        <v>5</v>
      </c>
      <c r="S325" s="61" t="str">
        <f t="shared" si="5"/>
        <v>2024-Q2</v>
      </c>
      <c r="T325" s="63" t="str">
        <f t="shared" si="6"/>
        <v>2024-05</v>
      </c>
      <c r="U325" s="64" t="str">
        <f t="shared" si="7"/>
        <v>2024-H1</v>
      </c>
      <c r="V325" s="9" t="str">
        <f>VLOOKUP(B325,Bounties!A:E,2,FALSE)</f>
        <v>Events Bounty</v>
      </c>
    </row>
    <row r="326" hidden="1">
      <c r="A326" s="67">
        <f>HYPERLINK("https://polkadot.subsquare.io/treasury/child-bounties/1077", 1077)</f>
        <v>1077</v>
      </c>
      <c r="B326" s="1">
        <v>17.0</v>
      </c>
      <c r="C326" s="1" t="s">
        <v>2460</v>
      </c>
      <c r="D326" s="1" t="s">
        <v>2590</v>
      </c>
      <c r="E326" s="5">
        <v>1719.0</v>
      </c>
      <c r="F326" s="4">
        <v>12027.394187450409</v>
      </c>
      <c r="G326" s="1" t="s">
        <v>2505</v>
      </c>
      <c r="H326" s="95">
        <v>45417.0</v>
      </c>
      <c r="I326" s="95">
        <v>45420.0</v>
      </c>
      <c r="J326" s="4">
        <v>11603.184425354004</v>
      </c>
      <c r="K326" s="1"/>
      <c r="L326" s="1"/>
      <c r="M326" s="1" t="str">
        <f>VLOOKUP(B326,Bounties!A:D,3,FALSE)</f>
        <v>Outreach</v>
      </c>
      <c r="N326" s="1" t="str">
        <f>VLOOKUP(B326,Bounties!A:D,4,FALSE)</f>
        <v>Events/Meetups</v>
      </c>
      <c r="O326" s="1" t="str">
        <f t="shared" ref="O326:P326" si="330">IF(ISBLANK(K326),M326,K326)</f>
        <v>Outreach</v>
      </c>
      <c r="P326" s="1" t="str">
        <f t="shared" si="330"/>
        <v>Events/Meetups</v>
      </c>
      <c r="Q326" s="61" t="str">
        <f t="shared" si="3"/>
        <v>2024</v>
      </c>
      <c r="R326" s="62">
        <f t="shared" si="4"/>
        <v>5</v>
      </c>
      <c r="S326" s="61" t="str">
        <f t="shared" si="5"/>
        <v>2024-Q2</v>
      </c>
      <c r="T326" s="63" t="str">
        <f t="shared" si="6"/>
        <v>2024-05</v>
      </c>
      <c r="U326" s="64" t="str">
        <f t="shared" si="7"/>
        <v>2024-H1</v>
      </c>
      <c r="V326" s="9" t="str">
        <f>VLOOKUP(B326,Bounties!A:E,2,FALSE)</f>
        <v>Events Bounty</v>
      </c>
    </row>
    <row r="327" hidden="1">
      <c r="A327" s="67">
        <f>HYPERLINK("https://polkadot.subsquare.io/treasury/child-bounties/1076", 1076)</f>
        <v>1076</v>
      </c>
      <c r="B327" s="1">
        <v>17.0</v>
      </c>
      <c r="C327" s="1" t="s">
        <v>2414</v>
      </c>
      <c r="D327" s="1" t="s">
        <v>679</v>
      </c>
      <c r="E327" s="5">
        <v>1754.0</v>
      </c>
      <c r="F327" s="4">
        <v>12272.280049324036</v>
      </c>
      <c r="G327" s="1" t="s">
        <v>2507</v>
      </c>
      <c r="H327" s="95">
        <v>45417.0</v>
      </c>
      <c r="I327" s="95">
        <v>45453.0</v>
      </c>
      <c r="J327" s="4">
        <v>11824.971375465393</v>
      </c>
      <c r="K327" s="1"/>
      <c r="L327" s="1"/>
      <c r="M327" s="1" t="str">
        <f>VLOOKUP(B327,Bounties!A:D,3,FALSE)</f>
        <v>Outreach</v>
      </c>
      <c r="N327" s="1" t="str">
        <f>VLOOKUP(B327,Bounties!A:D,4,FALSE)</f>
        <v>Events/Meetups</v>
      </c>
      <c r="O327" s="1" t="str">
        <f t="shared" ref="O327:P327" si="331">IF(ISBLANK(K327),M327,K327)</f>
        <v>Outreach</v>
      </c>
      <c r="P327" s="1" t="str">
        <f t="shared" si="331"/>
        <v>Events/Meetups</v>
      </c>
      <c r="Q327" s="61" t="str">
        <f t="shared" si="3"/>
        <v>2024</v>
      </c>
      <c r="R327" s="62">
        <f t="shared" si="4"/>
        <v>6</v>
      </c>
      <c r="S327" s="61" t="str">
        <f t="shared" si="5"/>
        <v>2024-Q2</v>
      </c>
      <c r="T327" s="63" t="str">
        <f t="shared" si="6"/>
        <v>2024-06</v>
      </c>
      <c r="U327" s="64" t="str">
        <f t="shared" si="7"/>
        <v>2024-H1</v>
      </c>
      <c r="V327" s="9" t="str">
        <f>VLOOKUP(B327,Bounties!A:E,2,FALSE)</f>
        <v>Events Bounty</v>
      </c>
    </row>
    <row r="328" hidden="1">
      <c r="A328" s="67">
        <f>HYPERLINK("https://polkadot.subsquare.io/treasury/child-bounties/1075", 1075)</f>
        <v>1075</v>
      </c>
      <c r="B328" s="1">
        <v>17.0</v>
      </c>
      <c r="C328" s="1" t="s">
        <v>2414</v>
      </c>
      <c r="D328" s="1" t="s">
        <v>678</v>
      </c>
      <c r="E328" s="5">
        <v>146.0</v>
      </c>
      <c r="F328" s="4">
        <v>1021.5238809585571</v>
      </c>
      <c r="G328" s="1" t="s">
        <v>2503</v>
      </c>
      <c r="H328" s="95">
        <v>45417.0</v>
      </c>
      <c r="I328" s="95">
        <v>45441.0</v>
      </c>
      <c r="J328" s="4">
        <v>1030.5573329925537</v>
      </c>
      <c r="K328" s="1"/>
      <c r="L328" s="1"/>
      <c r="M328" s="1" t="str">
        <f>VLOOKUP(B328,Bounties!A:D,3,FALSE)</f>
        <v>Outreach</v>
      </c>
      <c r="N328" s="1" t="str">
        <f>VLOOKUP(B328,Bounties!A:D,4,FALSE)</f>
        <v>Events/Meetups</v>
      </c>
      <c r="O328" s="1" t="str">
        <f t="shared" ref="O328:P328" si="332">IF(ISBLANK(K328),M328,K328)</f>
        <v>Outreach</v>
      </c>
      <c r="P328" s="1" t="str">
        <f t="shared" si="332"/>
        <v>Events/Meetups</v>
      </c>
      <c r="Q328" s="61" t="str">
        <f t="shared" si="3"/>
        <v>2024</v>
      </c>
      <c r="R328" s="62">
        <f t="shared" si="4"/>
        <v>5</v>
      </c>
      <c r="S328" s="61" t="str">
        <f t="shared" si="5"/>
        <v>2024-Q2</v>
      </c>
      <c r="T328" s="63" t="str">
        <f t="shared" si="6"/>
        <v>2024-05</v>
      </c>
      <c r="U328" s="64" t="str">
        <f t="shared" si="7"/>
        <v>2024-H1</v>
      </c>
      <c r="V328" s="9" t="str">
        <f>VLOOKUP(B328,Bounties!A:E,2,FALSE)</f>
        <v>Events Bounty</v>
      </c>
    </row>
    <row r="329" hidden="1">
      <c r="A329" s="67">
        <f>HYPERLINK("https://polkadot.subsquare.io/treasury/child-bounties/1074", 1074)</f>
        <v>1074</v>
      </c>
      <c r="B329" s="1">
        <v>17.0</v>
      </c>
      <c r="C329" s="1" t="s">
        <v>2414</v>
      </c>
      <c r="D329" s="1" t="s">
        <v>677</v>
      </c>
      <c r="E329" s="5">
        <v>4255.0</v>
      </c>
      <c r="F329" s="4">
        <v>29771.124064922333</v>
      </c>
      <c r="G329" s="1" t="s">
        <v>2591</v>
      </c>
      <c r="H329" s="95">
        <v>45417.0</v>
      </c>
      <c r="I329" s="95">
        <v>45428.0</v>
      </c>
      <c r="J329" s="4">
        <v>29519.210612773895</v>
      </c>
      <c r="K329" s="1"/>
      <c r="L329" s="1" t="s">
        <v>86</v>
      </c>
      <c r="M329" s="1" t="str">
        <f>VLOOKUP(B329,Bounties!A:D,3,FALSE)</f>
        <v>Outreach</v>
      </c>
      <c r="N329" s="1" t="str">
        <f>VLOOKUP(B329,Bounties!A:D,4,FALSE)</f>
        <v>Events/Meetups</v>
      </c>
      <c r="O329" s="1" t="str">
        <f t="shared" ref="O329:P329" si="333">IF(ISBLANK(K329),M329,K329)</f>
        <v>Outreach</v>
      </c>
      <c r="P329" s="1" t="str">
        <f t="shared" si="333"/>
        <v>Events/Conference Attendance &amp; Side Events</v>
      </c>
      <c r="Q329" s="61" t="str">
        <f t="shared" si="3"/>
        <v>2024</v>
      </c>
      <c r="R329" s="62">
        <f t="shared" si="4"/>
        <v>5</v>
      </c>
      <c r="S329" s="61" t="str">
        <f t="shared" si="5"/>
        <v>2024-Q2</v>
      </c>
      <c r="T329" s="63" t="str">
        <f t="shared" si="6"/>
        <v>2024-05</v>
      </c>
      <c r="U329" s="64" t="str">
        <f t="shared" si="7"/>
        <v>2024-H1</v>
      </c>
      <c r="V329" s="9" t="str">
        <f>VLOOKUP(B329,Bounties!A:E,2,FALSE)</f>
        <v>Events Bounty</v>
      </c>
    </row>
    <row r="330" hidden="1">
      <c r="A330" s="67">
        <f>HYPERLINK("https://polkadot.subsquare.io/treasury/child-bounties/1073", 1073)</f>
        <v>1073</v>
      </c>
      <c r="B330" s="1">
        <v>17.0</v>
      </c>
      <c r="C330" s="1" t="s">
        <v>2414</v>
      </c>
      <c r="D330" s="1" t="s">
        <v>676</v>
      </c>
      <c r="E330" s="5">
        <v>2142.0</v>
      </c>
      <c r="F330" s="4">
        <v>14987.014746665955</v>
      </c>
      <c r="G330" s="1" t="s">
        <v>2592</v>
      </c>
      <c r="H330" s="95">
        <v>45417.0</v>
      </c>
      <c r="I330" s="95">
        <v>45436.0</v>
      </c>
      <c r="J330" s="4">
        <v>16166.175353050232</v>
      </c>
      <c r="K330" s="1"/>
      <c r="L330" s="1"/>
      <c r="M330" s="1" t="str">
        <f>VLOOKUP(B330,Bounties!A:D,3,FALSE)</f>
        <v>Outreach</v>
      </c>
      <c r="N330" s="1" t="str">
        <f>VLOOKUP(B330,Bounties!A:D,4,FALSE)</f>
        <v>Events/Meetups</v>
      </c>
      <c r="O330" s="1" t="str">
        <f t="shared" ref="O330:P330" si="334">IF(ISBLANK(K330),M330,K330)</f>
        <v>Outreach</v>
      </c>
      <c r="P330" s="1" t="str">
        <f t="shared" si="334"/>
        <v>Events/Meetups</v>
      </c>
      <c r="Q330" s="61" t="str">
        <f t="shared" si="3"/>
        <v>2024</v>
      </c>
      <c r="R330" s="62">
        <f t="shared" si="4"/>
        <v>5</v>
      </c>
      <c r="S330" s="61" t="str">
        <f t="shared" si="5"/>
        <v>2024-Q2</v>
      </c>
      <c r="T330" s="63" t="str">
        <f t="shared" si="6"/>
        <v>2024-05</v>
      </c>
      <c r="U330" s="64" t="str">
        <f t="shared" si="7"/>
        <v>2024-H1</v>
      </c>
      <c r="V330" s="9" t="str">
        <f>VLOOKUP(B330,Bounties!A:E,2,FALSE)</f>
        <v>Events Bounty</v>
      </c>
    </row>
    <row r="331" hidden="1">
      <c r="A331" s="67">
        <f>HYPERLINK("https://polkadot.subsquare.io/treasury/child-bounties/1072", 1072)</f>
        <v>1072</v>
      </c>
      <c r="B331" s="1">
        <v>17.0</v>
      </c>
      <c r="C331" s="1" t="s">
        <v>2414</v>
      </c>
      <c r="D331" s="1" t="s">
        <v>675</v>
      </c>
      <c r="E331" s="5">
        <v>6217.0</v>
      </c>
      <c r="F331" s="4">
        <v>43498.72580766678</v>
      </c>
      <c r="G331" s="1" t="s">
        <v>2507</v>
      </c>
      <c r="H331" s="95">
        <v>45417.0</v>
      </c>
      <c r="I331" s="95">
        <v>45429.0</v>
      </c>
      <c r="J331" s="4">
        <v>43130.653908252716</v>
      </c>
      <c r="K331" s="1"/>
      <c r="L331" s="1" t="s">
        <v>86</v>
      </c>
      <c r="M331" s="1" t="str">
        <f>VLOOKUP(B331,Bounties!A:D,3,FALSE)</f>
        <v>Outreach</v>
      </c>
      <c r="N331" s="1" t="str">
        <f>VLOOKUP(B331,Bounties!A:D,4,FALSE)</f>
        <v>Events/Meetups</v>
      </c>
      <c r="O331" s="1" t="str">
        <f t="shared" ref="O331:P331" si="335">IF(ISBLANK(K331),M331,K331)</f>
        <v>Outreach</v>
      </c>
      <c r="P331" s="1" t="str">
        <f t="shared" si="335"/>
        <v>Events/Conference Attendance &amp; Side Events</v>
      </c>
      <c r="Q331" s="61" t="str">
        <f t="shared" si="3"/>
        <v>2024</v>
      </c>
      <c r="R331" s="62">
        <f t="shared" si="4"/>
        <v>5</v>
      </c>
      <c r="S331" s="61" t="str">
        <f t="shared" si="5"/>
        <v>2024-Q2</v>
      </c>
      <c r="T331" s="63" t="str">
        <f t="shared" si="6"/>
        <v>2024-05</v>
      </c>
      <c r="U331" s="64" t="str">
        <f t="shared" si="7"/>
        <v>2024-H1</v>
      </c>
      <c r="V331" s="9" t="str">
        <f>VLOOKUP(B331,Bounties!A:E,2,FALSE)</f>
        <v>Events Bounty</v>
      </c>
    </row>
    <row r="332" hidden="1">
      <c r="A332" s="67">
        <f>HYPERLINK("https://polkadot.subsquare.io/treasury/child-bounties/1071", 1071)</f>
        <v>1071</v>
      </c>
      <c r="B332" s="1">
        <v>17.0</v>
      </c>
      <c r="C332" s="1" t="s">
        <v>2414</v>
      </c>
      <c r="D332" s="1" t="s">
        <v>674</v>
      </c>
      <c r="E332" s="5">
        <v>4389.0</v>
      </c>
      <c r="F332" s="4">
        <v>30708.68707895279</v>
      </c>
      <c r="G332" s="1" t="s">
        <v>2593</v>
      </c>
      <c r="H332" s="95">
        <v>45417.0</v>
      </c>
      <c r="I332" s="95">
        <v>45448.0</v>
      </c>
      <c r="J332" s="4">
        <v>29220.93856859207</v>
      </c>
      <c r="K332" s="1"/>
      <c r="L332" s="1" t="s">
        <v>86</v>
      </c>
      <c r="M332" s="1" t="str">
        <f>VLOOKUP(B332,Bounties!A:D,3,FALSE)</f>
        <v>Outreach</v>
      </c>
      <c r="N332" s="1" t="str">
        <f>VLOOKUP(B332,Bounties!A:D,4,FALSE)</f>
        <v>Events/Meetups</v>
      </c>
      <c r="O332" s="1" t="str">
        <f t="shared" ref="O332:P332" si="336">IF(ISBLANK(K332),M332,K332)</f>
        <v>Outreach</v>
      </c>
      <c r="P332" s="1" t="str">
        <f t="shared" si="336"/>
        <v>Events/Conference Attendance &amp; Side Events</v>
      </c>
      <c r="Q332" s="61" t="str">
        <f t="shared" si="3"/>
        <v>2024</v>
      </c>
      <c r="R332" s="62">
        <f t="shared" si="4"/>
        <v>6</v>
      </c>
      <c r="S332" s="61" t="str">
        <f t="shared" si="5"/>
        <v>2024-Q2</v>
      </c>
      <c r="T332" s="63" t="str">
        <f t="shared" si="6"/>
        <v>2024-06</v>
      </c>
      <c r="U332" s="64" t="str">
        <f t="shared" si="7"/>
        <v>2024-H1</v>
      </c>
      <c r="V332" s="9" t="str">
        <f>VLOOKUP(B332,Bounties!A:E,2,FALSE)</f>
        <v>Events Bounty</v>
      </c>
    </row>
    <row r="333" hidden="1">
      <c r="A333" s="67">
        <f>HYPERLINK("https://polkadot.subsquare.io/treasury/child-bounties/1070", 1070)</f>
        <v>1070</v>
      </c>
      <c r="B333" s="1">
        <v>11.0</v>
      </c>
      <c r="C333" s="1" t="s">
        <v>2414</v>
      </c>
      <c r="D333" s="1" t="s">
        <v>673</v>
      </c>
      <c r="E333" s="5">
        <v>377.91</v>
      </c>
      <c r="F333" s="4">
        <v>2761.3067992544175</v>
      </c>
      <c r="G333" s="1" t="s">
        <v>2527</v>
      </c>
      <c r="H333" s="95">
        <v>45414.0</v>
      </c>
      <c r="I333" s="95">
        <v>45423.0</v>
      </c>
      <c r="J333" s="4">
        <v>2518.9582659816742</v>
      </c>
      <c r="K333" s="1"/>
      <c r="L333" s="1"/>
      <c r="M333" s="1" t="str">
        <f>VLOOKUP(B333,Bounties!A:D,3,FALSE)</f>
        <v>Research</v>
      </c>
      <c r="N333" s="1" t="str">
        <f>VLOOKUP(B333,Bounties!A:D,4,FALSE)</f>
        <v>Anti-Scam</v>
      </c>
      <c r="O333" s="1" t="str">
        <f t="shared" ref="O333:P333" si="337">IF(ISBLANK(K333),M333,K333)</f>
        <v>Research</v>
      </c>
      <c r="P333" s="1" t="str">
        <f t="shared" si="337"/>
        <v>Anti-Scam</v>
      </c>
      <c r="Q333" s="61" t="str">
        <f t="shared" si="3"/>
        <v>2024</v>
      </c>
      <c r="R333" s="62">
        <f t="shared" si="4"/>
        <v>5</v>
      </c>
      <c r="S333" s="61" t="str">
        <f t="shared" si="5"/>
        <v>2024-Q2</v>
      </c>
      <c r="T333" s="63" t="str">
        <f t="shared" si="6"/>
        <v>2024-05</v>
      </c>
      <c r="U333" s="64" t="str">
        <f t="shared" si="7"/>
        <v>2024-H1</v>
      </c>
      <c r="V333" s="9" t="str">
        <f>VLOOKUP(B333,Bounties!A:E,2,FALSE)</f>
        <v>Anti-Scam Bounty</v>
      </c>
    </row>
    <row r="334" hidden="1">
      <c r="A334" s="67">
        <f>HYPERLINK("https://polkadot.subsquare.io/treasury/child-bounties/1069", 1069)</f>
        <v>1069</v>
      </c>
      <c r="B334" s="1">
        <v>11.0</v>
      </c>
      <c r="C334" s="1" t="s">
        <v>2414</v>
      </c>
      <c r="D334" s="1" t="s">
        <v>672</v>
      </c>
      <c r="E334" s="5">
        <v>248.6</v>
      </c>
      <c r="F334" s="4">
        <v>1816.4665404319762</v>
      </c>
      <c r="G334" s="1" t="s">
        <v>2463</v>
      </c>
      <c r="H334" s="95">
        <v>45414.0</v>
      </c>
      <c r="I334" s="95">
        <v>45423.0</v>
      </c>
      <c r="J334" s="4">
        <v>1610.6550031661986</v>
      </c>
      <c r="K334" s="1"/>
      <c r="L334" s="1"/>
      <c r="M334" s="1" t="str">
        <f>VLOOKUP(B334,Bounties!A:D,3,FALSE)</f>
        <v>Research</v>
      </c>
      <c r="N334" s="1" t="str">
        <f>VLOOKUP(B334,Bounties!A:D,4,FALSE)</f>
        <v>Anti-Scam</v>
      </c>
      <c r="O334" s="1" t="str">
        <f t="shared" ref="O334:P334" si="338">IF(ISBLANK(K334),M334,K334)</f>
        <v>Research</v>
      </c>
      <c r="P334" s="1" t="str">
        <f t="shared" si="338"/>
        <v>Anti-Scam</v>
      </c>
      <c r="Q334" s="61" t="str">
        <f t="shared" si="3"/>
        <v>2024</v>
      </c>
      <c r="R334" s="62">
        <f t="shared" si="4"/>
        <v>5</v>
      </c>
      <c r="S334" s="61" t="str">
        <f t="shared" si="5"/>
        <v>2024-Q2</v>
      </c>
      <c r="T334" s="63" t="str">
        <f t="shared" si="6"/>
        <v>2024-05</v>
      </c>
      <c r="U334" s="64" t="str">
        <f t="shared" si="7"/>
        <v>2024-H1</v>
      </c>
      <c r="V334" s="9" t="str">
        <f>VLOOKUP(B334,Bounties!A:E,2,FALSE)</f>
        <v>Anti-Scam Bounty</v>
      </c>
    </row>
    <row r="335" hidden="1">
      <c r="A335" s="67">
        <f>HYPERLINK("https://polkadot.subsquare.io/treasury/child-bounties/1068", 1068)</f>
        <v>1068</v>
      </c>
      <c r="B335" s="1">
        <v>11.0</v>
      </c>
      <c r="C335" s="1" t="s">
        <v>2414</v>
      </c>
      <c r="D335" s="1" t="s">
        <v>671</v>
      </c>
      <c r="E335" s="5">
        <v>985.12</v>
      </c>
      <c r="F335" s="4">
        <v>7198.059204788208</v>
      </c>
      <c r="G335" s="1" t="s">
        <v>2438</v>
      </c>
      <c r="H335" s="95">
        <v>45414.0</v>
      </c>
      <c r="I335" s="95">
        <v>45423.0</v>
      </c>
      <c r="J335" s="4">
        <v>6382.495803375245</v>
      </c>
      <c r="K335" s="1"/>
      <c r="L335" s="1"/>
      <c r="M335" s="1" t="str">
        <f>VLOOKUP(B335,Bounties!A:D,3,FALSE)</f>
        <v>Research</v>
      </c>
      <c r="N335" s="1" t="str">
        <f>VLOOKUP(B335,Bounties!A:D,4,FALSE)</f>
        <v>Anti-Scam</v>
      </c>
      <c r="O335" s="1" t="str">
        <f t="shared" ref="O335:P335" si="339">IF(ISBLANK(K335),M335,K335)</f>
        <v>Research</v>
      </c>
      <c r="P335" s="1" t="str">
        <f t="shared" si="339"/>
        <v>Anti-Scam</v>
      </c>
      <c r="Q335" s="61" t="str">
        <f t="shared" si="3"/>
        <v>2024</v>
      </c>
      <c r="R335" s="62">
        <f t="shared" si="4"/>
        <v>5</v>
      </c>
      <c r="S335" s="61" t="str">
        <f t="shared" si="5"/>
        <v>2024-Q2</v>
      </c>
      <c r="T335" s="63" t="str">
        <f t="shared" si="6"/>
        <v>2024-05</v>
      </c>
      <c r="U335" s="64" t="str">
        <f t="shared" si="7"/>
        <v>2024-H1</v>
      </c>
      <c r="V335" s="9" t="str">
        <f>VLOOKUP(B335,Bounties!A:E,2,FALSE)</f>
        <v>Anti-Scam Bounty</v>
      </c>
    </row>
    <row r="336" hidden="1">
      <c r="A336" s="67">
        <f>HYPERLINK("https://polkadot.subsquare.io/treasury/child-bounties/1067", 1067)</f>
        <v>1067</v>
      </c>
      <c r="B336" s="1">
        <v>42.0</v>
      </c>
      <c r="C336" s="1" t="s">
        <v>2414</v>
      </c>
      <c r="D336" s="1" t="s">
        <v>670</v>
      </c>
      <c r="E336" s="5">
        <v>100.5</v>
      </c>
      <c r="F336" s="4">
        <v>734.3318073749542</v>
      </c>
      <c r="G336" s="1" t="s">
        <v>2594</v>
      </c>
      <c r="H336" s="95">
        <v>45414.0</v>
      </c>
      <c r="I336" s="95">
        <v>45422.0</v>
      </c>
      <c r="J336" s="4">
        <v>669.8825268745422</v>
      </c>
      <c r="K336" s="1"/>
      <c r="L336" s="1"/>
      <c r="M336" s="1" t="str">
        <f>VLOOKUP(B336,Bounties!A:D,3,FALSE)</f>
        <v>Outreach</v>
      </c>
      <c r="N336" s="1" t="str">
        <f>VLOOKUP(B336,Bounties!A:D,4,FALSE)</f>
        <v>Media</v>
      </c>
      <c r="O336" s="1" t="str">
        <f t="shared" ref="O336:P336" si="340">IF(ISBLANK(K336),M336,K336)</f>
        <v>Outreach</v>
      </c>
      <c r="P336" s="1" t="str">
        <f t="shared" si="340"/>
        <v>Media</v>
      </c>
      <c r="Q336" s="61" t="str">
        <f t="shared" si="3"/>
        <v>2024</v>
      </c>
      <c r="R336" s="62">
        <f t="shared" si="4"/>
        <v>5</v>
      </c>
      <c r="S336" s="61" t="str">
        <f t="shared" si="5"/>
        <v>2024-Q2</v>
      </c>
      <c r="T336" s="63" t="str">
        <f t="shared" si="6"/>
        <v>2024-05</v>
      </c>
      <c r="U336" s="64" t="str">
        <f t="shared" si="7"/>
        <v>2024-H1</v>
      </c>
      <c r="V336" s="9" t="str">
        <f>VLOOKUP(B336,Bounties!A:E,2,FALSE)</f>
        <v>Spanish Bounty</v>
      </c>
    </row>
    <row r="337" hidden="1">
      <c r="A337" s="67">
        <f>HYPERLINK("https://polkadot.subsquare.io/treasury/child-bounties/1066", 1066)</f>
        <v>1066</v>
      </c>
      <c r="B337" s="1">
        <v>11.0</v>
      </c>
      <c r="C337" s="1" t="s">
        <v>2414</v>
      </c>
      <c r="D337" s="1" t="s">
        <v>669</v>
      </c>
      <c r="E337" s="5">
        <v>110.8647450111</v>
      </c>
      <c r="F337" s="4">
        <v>790.1396825414975</v>
      </c>
      <c r="G337" s="1" t="s">
        <v>2423</v>
      </c>
      <c r="H337" s="95">
        <v>45413.0</v>
      </c>
      <c r="I337" s="95">
        <v>45423.0</v>
      </c>
      <c r="J337" s="4">
        <v>718.2818030043165</v>
      </c>
      <c r="K337" s="1"/>
      <c r="L337" s="1"/>
      <c r="M337" s="1" t="str">
        <f>VLOOKUP(B337,Bounties!A:D,3,FALSE)</f>
        <v>Research</v>
      </c>
      <c r="N337" s="1" t="str">
        <f>VLOOKUP(B337,Bounties!A:D,4,FALSE)</f>
        <v>Anti-Scam</v>
      </c>
      <c r="O337" s="1" t="str">
        <f t="shared" ref="O337:P337" si="341">IF(ISBLANK(K337),M337,K337)</f>
        <v>Research</v>
      </c>
      <c r="P337" s="1" t="str">
        <f t="shared" si="341"/>
        <v>Anti-Scam</v>
      </c>
      <c r="Q337" s="61" t="str">
        <f t="shared" si="3"/>
        <v>2024</v>
      </c>
      <c r="R337" s="62">
        <f t="shared" si="4"/>
        <v>5</v>
      </c>
      <c r="S337" s="61" t="str">
        <f t="shared" si="5"/>
        <v>2024-Q2</v>
      </c>
      <c r="T337" s="63" t="str">
        <f t="shared" si="6"/>
        <v>2024-05</v>
      </c>
      <c r="U337" s="64" t="str">
        <f t="shared" si="7"/>
        <v>2024-H1</v>
      </c>
      <c r="V337" s="9" t="str">
        <f>VLOOKUP(B337,Bounties!A:E,2,FALSE)</f>
        <v>Anti-Scam Bounty</v>
      </c>
    </row>
    <row r="338" hidden="1">
      <c r="A338" s="67">
        <f>HYPERLINK("https://polkadot.subsquare.io/treasury/child-bounties/1065", 1065)</f>
        <v>1065</v>
      </c>
      <c r="B338" s="1">
        <v>11.0</v>
      </c>
      <c r="C338" s="1" t="s">
        <v>2414</v>
      </c>
      <c r="D338" s="1" t="s">
        <v>668</v>
      </c>
      <c r="E338" s="5">
        <v>230.056664203</v>
      </c>
      <c r="F338" s="4">
        <v>1639.6276345714268</v>
      </c>
      <c r="G338" s="1" t="s">
        <v>2495</v>
      </c>
      <c r="H338" s="95">
        <v>45413.0</v>
      </c>
      <c r="I338" s="95">
        <v>45422.0</v>
      </c>
      <c r="J338" s="4">
        <v>1533.4421844839173</v>
      </c>
      <c r="K338" s="1"/>
      <c r="L338" s="1"/>
      <c r="M338" s="1" t="str">
        <f>VLOOKUP(B338,Bounties!A:D,3,FALSE)</f>
        <v>Research</v>
      </c>
      <c r="N338" s="1" t="str">
        <f>VLOOKUP(B338,Bounties!A:D,4,FALSE)</f>
        <v>Anti-Scam</v>
      </c>
      <c r="O338" s="1" t="str">
        <f t="shared" ref="O338:P338" si="342">IF(ISBLANK(K338),M338,K338)</f>
        <v>Research</v>
      </c>
      <c r="P338" s="1" t="str">
        <f t="shared" si="342"/>
        <v>Anti-Scam</v>
      </c>
      <c r="Q338" s="61" t="str">
        <f t="shared" si="3"/>
        <v>2024</v>
      </c>
      <c r="R338" s="62">
        <f t="shared" si="4"/>
        <v>5</v>
      </c>
      <c r="S338" s="61" t="str">
        <f t="shared" si="5"/>
        <v>2024-Q2</v>
      </c>
      <c r="T338" s="63" t="str">
        <f t="shared" si="6"/>
        <v>2024-05</v>
      </c>
      <c r="U338" s="64" t="str">
        <f t="shared" si="7"/>
        <v>2024-H1</v>
      </c>
      <c r="V338" s="9" t="str">
        <f>VLOOKUP(B338,Bounties!A:E,2,FALSE)</f>
        <v>Anti-Scam Bounty</v>
      </c>
    </row>
    <row r="339" hidden="1">
      <c r="A339" s="67">
        <f>HYPERLINK("https://polkadot.subsquare.io/treasury/child-bounties/1064", 1064)</f>
        <v>1064</v>
      </c>
      <c r="B339" s="1">
        <v>11.0</v>
      </c>
      <c r="C339" s="1" t="s">
        <v>2414</v>
      </c>
      <c r="D339" s="1" t="s">
        <v>667</v>
      </c>
      <c r="E339" s="5">
        <v>340.182310914</v>
      </c>
      <c r="F339" s="4">
        <v>2424.4997192291294</v>
      </c>
      <c r="G339" s="1" t="s">
        <v>2496</v>
      </c>
      <c r="H339" s="95">
        <v>45413.0</v>
      </c>
      <c r="I339" s="95">
        <v>45422.0</v>
      </c>
      <c r="J339" s="4">
        <v>2267.484438140214</v>
      </c>
      <c r="K339" s="1"/>
      <c r="L339" s="1"/>
      <c r="M339" s="1" t="str">
        <f>VLOOKUP(B339,Bounties!A:D,3,FALSE)</f>
        <v>Research</v>
      </c>
      <c r="N339" s="1" t="str">
        <f>VLOOKUP(B339,Bounties!A:D,4,FALSE)</f>
        <v>Anti-Scam</v>
      </c>
      <c r="O339" s="1" t="str">
        <f t="shared" ref="O339:P339" si="343">IF(ISBLANK(K339),M339,K339)</f>
        <v>Research</v>
      </c>
      <c r="P339" s="1" t="str">
        <f t="shared" si="343"/>
        <v>Anti-Scam</v>
      </c>
      <c r="Q339" s="61" t="str">
        <f t="shared" si="3"/>
        <v>2024</v>
      </c>
      <c r="R339" s="62">
        <f t="shared" si="4"/>
        <v>5</v>
      </c>
      <c r="S339" s="61" t="str">
        <f t="shared" si="5"/>
        <v>2024-Q2</v>
      </c>
      <c r="T339" s="63" t="str">
        <f t="shared" si="6"/>
        <v>2024-05</v>
      </c>
      <c r="U339" s="64" t="str">
        <f t="shared" si="7"/>
        <v>2024-H1</v>
      </c>
      <c r="V339" s="9" t="str">
        <f>VLOOKUP(B339,Bounties!A:E,2,FALSE)</f>
        <v>Anti-Scam Bounty</v>
      </c>
    </row>
    <row r="340" hidden="1">
      <c r="A340" s="67">
        <f>HYPERLINK("https://polkadot.subsquare.io/treasury/child-bounties/1063", 1063)</f>
        <v>1063</v>
      </c>
      <c r="B340" s="1">
        <v>11.0</v>
      </c>
      <c r="C340" s="1" t="s">
        <v>2414</v>
      </c>
      <c r="D340" s="1" t="s">
        <v>666</v>
      </c>
      <c r="E340" s="5">
        <v>340.182310914</v>
      </c>
      <c r="F340" s="4">
        <v>2424.4997192291294</v>
      </c>
      <c r="G340" s="1" t="s">
        <v>2497</v>
      </c>
      <c r="H340" s="95">
        <v>45413.0</v>
      </c>
      <c r="I340" s="95">
        <v>45422.0</v>
      </c>
      <c r="J340" s="4">
        <v>2267.484438140214</v>
      </c>
      <c r="K340" s="1"/>
      <c r="L340" s="1"/>
      <c r="M340" s="1" t="str">
        <f>VLOOKUP(B340,Bounties!A:D,3,FALSE)</f>
        <v>Research</v>
      </c>
      <c r="N340" s="1" t="str">
        <f>VLOOKUP(B340,Bounties!A:D,4,FALSE)</f>
        <v>Anti-Scam</v>
      </c>
      <c r="O340" s="1" t="str">
        <f t="shared" ref="O340:P340" si="344">IF(ISBLANK(K340),M340,K340)</f>
        <v>Research</v>
      </c>
      <c r="P340" s="1" t="str">
        <f t="shared" si="344"/>
        <v>Anti-Scam</v>
      </c>
      <c r="Q340" s="61" t="str">
        <f t="shared" si="3"/>
        <v>2024</v>
      </c>
      <c r="R340" s="62">
        <f t="shared" si="4"/>
        <v>5</v>
      </c>
      <c r="S340" s="61" t="str">
        <f t="shared" si="5"/>
        <v>2024-Q2</v>
      </c>
      <c r="T340" s="63" t="str">
        <f t="shared" si="6"/>
        <v>2024-05</v>
      </c>
      <c r="U340" s="64" t="str">
        <f t="shared" si="7"/>
        <v>2024-H1</v>
      </c>
      <c r="V340" s="9" t="str">
        <f>VLOOKUP(B340,Bounties!A:E,2,FALSE)</f>
        <v>Anti-Scam Bounty</v>
      </c>
    </row>
    <row r="341" hidden="1">
      <c r="A341" s="67">
        <f>HYPERLINK("https://polkadot.subsquare.io/treasury/child-bounties/1062", 1062)</f>
        <v>1062</v>
      </c>
      <c r="B341" s="1">
        <v>11.0</v>
      </c>
      <c r="C341" s="1" t="s">
        <v>2414</v>
      </c>
      <c r="D341" s="1" t="s">
        <v>665</v>
      </c>
      <c r="E341" s="5">
        <v>74.8</v>
      </c>
      <c r="F341" s="4">
        <v>542.6815700531006</v>
      </c>
      <c r="G341" s="1" t="s">
        <v>2526</v>
      </c>
      <c r="H341" s="95">
        <v>45412.0</v>
      </c>
      <c r="I341" s="95">
        <v>45427.0</v>
      </c>
      <c r="J341" s="4">
        <v>538.3173402786255</v>
      </c>
      <c r="K341" s="1"/>
      <c r="L341" s="1"/>
      <c r="M341" s="1" t="str">
        <f>VLOOKUP(B341,Bounties!A:D,3,FALSE)</f>
        <v>Research</v>
      </c>
      <c r="N341" s="1" t="str">
        <f>VLOOKUP(B341,Bounties!A:D,4,FALSE)</f>
        <v>Anti-Scam</v>
      </c>
      <c r="O341" s="1" t="str">
        <f t="shared" ref="O341:P341" si="345">IF(ISBLANK(K341),M341,K341)</f>
        <v>Research</v>
      </c>
      <c r="P341" s="1" t="str">
        <f t="shared" si="345"/>
        <v>Anti-Scam</v>
      </c>
      <c r="Q341" s="61" t="str">
        <f t="shared" si="3"/>
        <v>2024</v>
      </c>
      <c r="R341" s="62">
        <f t="shared" si="4"/>
        <v>5</v>
      </c>
      <c r="S341" s="61" t="str">
        <f t="shared" si="5"/>
        <v>2024-Q2</v>
      </c>
      <c r="T341" s="63" t="str">
        <f t="shared" si="6"/>
        <v>2024-05</v>
      </c>
      <c r="U341" s="64" t="str">
        <f t="shared" si="7"/>
        <v>2024-H1</v>
      </c>
      <c r="V341" s="9" t="str">
        <f>VLOOKUP(B341,Bounties!A:E,2,FALSE)</f>
        <v>Anti-Scam Bounty</v>
      </c>
    </row>
    <row r="342" hidden="1">
      <c r="A342" s="67">
        <f>HYPERLINK("https://polkadot.subsquare.io/treasury/child-bounties/1061", 1061)</f>
        <v>1061</v>
      </c>
      <c r="B342" s="1">
        <v>11.0</v>
      </c>
      <c r="C342" s="1" t="s">
        <v>2414</v>
      </c>
      <c r="D342" s="1" t="s">
        <v>664</v>
      </c>
      <c r="E342" s="5">
        <v>59.9</v>
      </c>
      <c r="F342" s="4">
        <v>434.5805621147156</v>
      </c>
      <c r="G342" s="1" t="s">
        <v>2437</v>
      </c>
      <c r="H342" s="95">
        <v>45412.0</v>
      </c>
      <c r="I342" s="95">
        <v>45422.0</v>
      </c>
      <c r="J342" s="4">
        <v>396.5607003688812</v>
      </c>
      <c r="K342" s="1"/>
      <c r="L342" s="1"/>
      <c r="M342" s="1" t="str">
        <f>VLOOKUP(B342,Bounties!A:D,3,FALSE)</f>
        <v>Research</v>
      </c>
      <c r="N342" s="1" t="str">
        <f>VLOOKUP(B342,Bounties!A:D,4,FALSE)</f>
        <v>Anti-Scam</v>
      </c>
      <c r="O342" s="1" t="str">
        <f t="shared" ref="O342:P342" si="346">IF(ISBLANK(K342),M342,K342)</f>
        <v>Research</v>
      </c>
      <c r="P342" s="1" t="str">
        <f t="shared" si="346"/>
        <v>Anti-Scam</v>
      </c>
      <c r="Q342" s="61" t="str">
        <f t="shared" si="3"/>
        <v>2024</v>
      </c>
      <c r="R342" s="62">
        <f t="shared" si="4"/>
        <v>5</v>
      </c>
      <c r="S342" s="61" t="str">
        <f t="shared" si="5"/>
        <v>2024-Q2</v>
      </c>
      <c r="T342" s="63" t="str">
        <f t="shared" si="6"/>
        <v>2024-05</v>
      </c>
      <c r="U342" s="64" t="str">
        <f t="shared" si="7"/>
        <v>2024-H1</v>
      </c>
      <c r="V342" s="9" t="str">
        <f>VLOOKUP(B342,Bounties!A:E,2,FALSE)</f>
        <v>Anti-Scam Bounty</v>
      </c>
    </row>
    <row r="343" hidden="1">
      <c r="A343" s="67">
        <f>HYPERLINK("https://polkadot.subsquare.io/treasury/child-bounties/1060", 1060)</f>
        <v>1060</v>
      </c>
      <c r="B343" s="1">
        <v>11.0</v>
      </c>
      <c r="C343" s="1" t="s">
        <v>2414</v>
      </c>
      <c r="D343" s="1" t="s">
        <v>663</v>
      </c>
      <c r="E343" s="5">
        <v>59.9</v>
      </c>
      <c r="F343" s="4">
        <v>434.5805621147156</v>
      </c>
      <c r="G343" s="1" t="s">
        <v>2463</v>
      </c>
      <c r="H343" s="95">
        <v>45412.0</v>
      </c>
      <c r="I343" s="95">
        <v>45423.0</v>
      </c>
      <c r="J343" s="4">
        <v>388.08622159957883</v>
      </c>
      <c r="K343" s="1"/>
      <c r="L343" s="1"/>
      <c r="M343" s="1" t="str">
        <f>VLOOKUP(B343,Bounties!A:D,3,FALSE)</f>
        <v>Research</v>
      </c>
      <c r="N343" s="1" t="str">
        <f>VLOOKUP(B343,Bounties!A:D,4,FALSE)</f>
        <v>Anti-Scam</v>
      </c>
      <c r="O343" s="1" t="str">
        <f t="shared" ref="O343:P343" si="347">IF(ISBLANK(K343),M343,K343)</f>
        <v>Research</v>
      </c>
      <c r="P343" s="1" t="str">
        <f t="shared" si="347"/>
        <v>Anti-Scam</v>
      </c>
      <c r="Q343" s="61" t="str">
        <f t="shared" si="3"/>
        <v>2024</v>
      </c>
      <c r="R343" s="62">
        <f t="shared" si="4"/>
        <v>5</v>
      </c>
      <c r="S343" s="61" t="str">
        <f t="shared" si="5"/>
        <v>2024-Q2</v>
      </c>
      <c r="T343" s="63" t="str">
        <f t="shared" si="6"/>
        <v>2024-05</v>
      </c>
      <c r="U343" s="64" t="str">
        <f t="shared" si="7"/>
        <v>2024-H1</v>
      </c>
      <c r="V343" s="9" t="str">
        <f>VLOOKUP(B343,Bounties!A:E,2,FALSE)</f>
        <v>Anti-Scam Bounty</v>
      </c>
    </row>
    <row r="344" hidden="1">
      <c r="A344" s="67">
        <f>HYPERLINK("https://polkadot.subsquare.io/treasury/child-bounties/1059", 1059)</f>
        <v>1059</v>
      </c>
      <c r="B344" s="1">
        <v>11.0</v>
      </c>
      <c r="C344" s="1" t="s">
        <v>2414</v>
      </c>
      <c r="D344" s="1" t="s">
        <v>662</v>
      </c>
      <c r="E344" s="5">
        <v>59.9</v>
      </c>
      <c r="F344" s="4">
        <v>434.5805621147156</v>
      </c>
      <c r="G344" s="1" t="s">
        <v>2438</v>
      </c>
      <c r="H344" s="95">
        <v>45412.0</v>
      </c>
      <c r="I344" s="95">
        <v>45423.0</v>
      </c>
      <c r="J344" s="4">
        <v>388.08622159957883</v>
      </c>
      <c r="K344" s="1"/>
      <c r="L344" s="1"/>
      <c r="M344" s="1" t="str">
        <f>VLOOKUP(B344,Bounties!A:D,3,FALSE)</f>
        <v>Research</v>
      </c>
      <c r="N344" s="1" t="str">
        <f>VLOOKUP(B344,Bounties!A:D,4,FALSE)</f>
        <v>Anti-Scam</v>
      </c>
      <c r="O344" s="1" t="str">
        <f t="shared" ref="O344:P344" si="348">IF(ISBLANK(K344),M344,K344)</f>
        <v>Research</v>
      </c>
      <c r="P344" s="1" t="str">
        <f t="shared" si="348"/>
        <v>Anti-Scam</v>
      </c>
      <c r="Q344" s="61" t="str">
        <f t="shared" si="3"/>
        <v>2024</v>
      </c>
      <c r="R344" s="62">
        <f t="shared" si="4"/>
        <v>5</v>
      </c>
      <c r="S344" s="61" t="str">
        <f t="shared" si="5"/>
        <v>2024-Q2</v>
      </c>
      <c r="T344" s="63" t="str">
        <f t="shared" si="6"/>
        <v>2024-05</v>
      </c>
      <c r="U344" s="64" t="str">
        <f t="shared" si="7"/>
        <v>2024-H1</v>
      </c>
      <c r="V344" s="9" t="str">
        <f>VLOOKUP(B344,Bounties!A:E,2,FALSE)</f>
        <v>Anti-Scam Bounty</v>
      </c>
    </row>
    <row r="345" hidden="1">
      <c r="A345" s="67">
        <f>HYPERLINK("https://polkadot.subsquare.io/treasury/child-bounties/1058", 1058)</f>
        <v>1058</v>
      </c>
      <c r="B345" s="1">
        <v>11.0</v>
      </c>
      <c r="C345" s="1" t="s">
        <v>2414</v>
      </c>
      <c r="D345" s="1" t="s">
        <v>661</v>
      </c>
      <c r="E345" s="5">
        <v>74.8</v>
      </c>
      <c r="F345" s="4">
        <v>542.6815700531006</v>
      </c>
      <c r="G345" s="1" t="s">
        <v>2526</v>
      </c>
      <c r="H345" s="95">
        <v>45412.0</v>
      </c>
      <c r="I345" s="95">
        <v>45427.0</v>
      </c>
      <c r="J345" s="4">
        <v>538.3173402786255</v>
      </c>
      <c r="K345" s="1"/>
      <c r="L345" s="1"/>
      <c r="M345" s="1" t="str">
        <f>VLOOKUP(B345,Bounties!A:D,3,FALSE)</f>
        <v>Research</v>
      </c>
      <c r="N345" s="1" t="str">
        <f>VLOOKUP(B345,Bounties!A:D,4,FALSE)</f>
        <v>Anti-Scam</v>
      </c>
      <c r="O345" s="1" t="str">
        <f t="shared" ref="O345:P345" si="349">IF(ISBLANK(K345),M345,K345)</f>
        <v>Research</v>
      </c>
      <c r="P345" s="1" t="str">
        <f t="shared" si="349"/>
        <v>Anti-Scam</v>
      </c>
      <c r="Q345" s="61" t="str">
        <f t="shared" si="3"/>
        <v>2024</v>
      </c>
      <c r="R345" s="62">
        <f t="shared" si="4"/>
        <v>5</v>
      </c>
      <c r="S345" s="61" t="str">
        <f t="shared" si="5"/>
        <v>2024-Q2</v>
      </c>
      <c r="T345" s="63" t="str">
        <f t="shared" si="6"/>
        <v>2024-05</v>
      </c>
      <c r="U345" s="64" t="str">
        <f t="shared" si="7"/>
        <v>2024-H1</v>
      </c>
      <c r="V345" s="9" t="str">
        <f>VLOOKUP(B345,Bounties!A:E,2,FALSE)</f>
        <v>Anti-Scam Bounty</v>
      </c>
    </row>
    <row r="346" hidden="1">
      <c r="A346" s="67">
        <f>HYPERLINK("https://polkadot.subsquare.io/treasury/child-bounties/1057", 1057)</f>
        <v>1057</v>
      </c>
      <c r="B346" s="1">
        <v>11.0</v>
      </c>
      <c r="C346" s="1" t="s">
        <v>2414</v>
      </c>
      <c r="D346" s="1" t="s">
        <v>660</v>
      </c>
      <c r="E346" s="5">
        <v>37.4</v>
      </c>
      <c r="F346" s="4">
        <v>271.3407850265503</v>
      </c>
      <c r="G346" s="1" t="s">
        <v>2433</v>
      </c>
      <c r="H346" s="95">
        <v>45412.0</v>
      </c>
      <c r="I346" s="95">
        <v>45421.0</v>
      </c>
      <c r="J346" s="4">
        <v>247.6021735191345</v>
      </c>
      <c r="K346" s="1"/>
      <c r="L346" s="1"/>
      <c r="M346" s="1" t="str">
        <f>VLOOKUP(B346,Bounties!A:D,3,FALSE)</f>
        <v>Research</v>
      </c>
      <c r="N346" s="1" t="str">
        <f>VLOOKUP(B346,Bounties!A:D,4,FALSE)</f>
        <v>Anti-Scam</v>
      </c>
      <c r="O346" s="1" t="str">
        <f t="shared" ref="O346:P346" si="350">IF(ISBLANK(K346),M346,K346)</f>
        <v>Research</v>
      </c>
      <c r="P346" s="1" t="str">
        <f t="shared" si="350"/>
        <v>Anti-Scam</v>
      </c>
      <c r="Q346" s="61" t="str">
        <f t="shared" si="3"/>
        <v>2024</v>
      </c>
      <c r="R346" s="62">
        <f t="shared" si="4"/>
        <v>5</v>
      </c>
      <c r="S346" s="61" t="str">
        <f t="shared" si="5"/>
        <v>2024-Q2</v>
      </c>
      <c r="T346" s="63" t="str">
        <f t="shared" si="6"/>
        <v>2024-05</v>
      </c>
      <c r="U346" s="64" t="str">
        <f t="shared" si="7"/>
        <v>2024-H1</v>
      </c>
      <c r="V346" s="9" t="str">
        <f>VLOOKUP(B346,Bounties!A:E,2,FALSE)</f>
        <v>Anti-Scam Bounty</v>
      </c>
    </row>
    <row r="347" hidden="1">
      <c r="A347" s="67">
        <f>HYPERLINK("https://polkadot.subsquare.io/treasury/child-bounties/1056", 1056)</f>
        <v>1056</v>
      </c>
      <c r="B347" s="1">
        <v>11.0</v>
      </c>
      <c r="C347" s="1" t="s">
        <v>2414</v>
      </c>
      <c r="D347" s="1" t="s">
        <v>659</v>
      </c>
      <c r="E347" s="5">
        <v>74.8</v>
      </c>
      <c r="F347" s="4">
        <v>542.6815700531006</v>
      </c>
      <c r="G347" s="1" t="s">
        <v>2433</v>
      </c>
      <c r="H347" s="95">
        <v>45412.0</v>
      </c>
      <c r="I347" s="95">
        <v>45421.0</v>
      </c>
      <c r="J347" s="4">
        <v>495.204347038269</v>
      </c>
      <c r="K347" s="1"/>
      <c r="L347" s="1"/>
      <c r="M347" s="1" t="str">
        <f>VLOOKUP(B347,Bounties!A:D,3,FALSE)</f>
        <v>Research</v>
      </c>
      <c r="N347" s="1" t="str">
        <f>VLOOKUP(B347,Bounties!A:D,4,FALSE)</f>
        <v>Anti-Scam</v>
      </c>
      <c r="O347" s="1" t="str">
        <f t="shared" ref="O347:P347" si="351">IF(ISBLANK(K347),M347,K347)</f>
        <v>Research</v>
      </c>
      <c r="P347" s="1" t="str">
        <f t="shared" si="351"/>
        <v>Anti-Scam</v>
      </c>
      <c r="Q347" s="61" t="str">
        <f t="shared" si="3"/>
        <v>2024</v>
      </c>
      <c r="R347" s="62">
        <f t="shared" si="4"/>
        <v>5</v>
      </c>
      <c r="S347" s="61" t="str">
        <f t="shared" si="5"/>
        <v>2024-Q2</v>
      </c>
      <c r="T347" s="63" t="str">
        <f t="shared" si="6"/>
        <v>2024-05</v>
      </c>
      <c r="U347" s="64" t="str">
        <f t="shared" si="7"/>
        <v>2024-H1</v>
      </c>
      <c r="V347" s="9" t="str">
        <f>VLOOKUP(B347,Bounties!A:E,2,FALSE)</f>
        <v>Anti-Scam Bounty</v>
      </c>
    </row>
    <row r="348" hidden="1">
      <c r="A348" s="67">
        <f>HYPERLINK("https://polkadot.subsquare.io/treasury/child-bounties/1055", 1055)</f>
        <v>1055</v>
      </c>
      <c r="B348" s="1">
        <v>11.0</v>
      </c>
      <c r="C348" s="1" t="s">
        <v>2414</v>
      </c>
      <c r="D348" s="1" t="s">
        <v>658</v>
      </c>
      <c r="E348" s="5">
        <v>149.6</v>
      </c>
      <c r="F348" s="4">
        <v>1085.3631401062012</v>
      </c>
      <c r="G348" s="1" t="s">
        <v>2524</v>
      </c>
      <c r="H348" s="95">
        <v>45412.0</v>
      </c>
      <c r="I348" s="95">
        <v>45423.0</v>
      </c>
      <c r="J348" s="4">
        <v>969.2437187194823</v>
      </c>
      <c r="K348" s="1"/>
      <c r="L348" s="1"/>
      <c r="M348" s="1" t="str">
        <f>VLOOKUP(B348,Bounties!A:D,3,FALSE)</f>
        <v>Research</v>
      </c>
      <c r="N348" s="1" t="str">
        <f>VLOOKUP(B348,Bounties!A:D,4,FALSE)</f>
        <v>Anti-Scam</v>
      </c>
      <c r="O348" s="1" t="str">
        <f t="shared" ref="O348:P348" si="352">IF(ISBLANK(K348),M348,K348)</f>
        <v>Research</v>
      </c>
      <c r="P348" s="1" t="str">
        <f t="shared" si="352"/>
        <v>Anti-Scam</v>
      </c>
      <c r="Q348" s="61" t="str">
        <f t="shared" si="3"/>
        <v>2024</v>
      </c>
      <c r="R348" s="62">
        <f t="shared" si="4"/>
        <v>5</v>
      </c>
      <c r="S348" s="61" t="str">
        <f t="shared" si="5"/>
        <v>2024-Q2</v>
      </c>
      <c r="T348" s="63" t="str">
        <f t="shared" si="6"/>
        <v>2024-05</v>
      </c>
      <c r="U348" s="64" t="str">
        <f t="shared" si="7"/>
        <v>2024-H1</v>
      </c>
      <c r="V348" s="9" t="str">
        <f>VLOOKUP(B348,Bounties!A:E,2,FALSE)</f>
        <v>Anti-Scam Bounty</v>
      </c>
    </row>
    <row r="349" hidden="1">
      <c r="A349" s="67">
        <f>HYPERLINK("https://polkadot.subsquare.io/treasury/child-bounties/1054", 1054)</f>
        <v>1054</v>
      </c>
      <c r="B349" s="1">
        <v>11.0</v>
      </c>
      <c r="C349" s="1" t="s">
        <v>2414</v>
      </c>
      <c r="D349" s="1" t="s">
        <v>657</v>
      </c>
      <c r="E349" s="5">
        <v>149.6</v>
      </c>
      <c r="F349" s="4">
        <v>1085.3631401062012</v>
      </c>
      <c r="G349" s="1" t="s">
        <v>2525</v>
      </c>
      <c r="H349" s="95">
        <v>45412.0</v>
      </c>
      <c r="I349" s="95">
        <v>45422.0</v>
      </c>
      <c r="J349" s="4">
        <v>990.408694076538</v>
      </c>
      <c r="K349" s="1"/>
      <c r="L349" s="1"/>
      <c r="M349" s="1" t="str">
        <f>VLOOKUP(B349,Bounties!A:D,3,FALSE)</f>
        <v>Research</v>
      </c>
      <c r="N349" s="1" t="str">
        <f>VLOOKUP(B349,Bounties!A:D,4,FALSE)</f>
        <v>Anti-Scam</v>
      </c>
      <c r="O349" s="1" t="str">
        <f t="shared" ref="O349:P349" si="353">IF(ISBLANK(K349),M349,K349)</f>
        <v>Research</v>
      </c>
      <c r="P349" s="1" t="str">
        <f t="shared" si="353"/>
        <v>Anti-Scam</v>
      </c>
      <c r="Q349" s="61" t="str">
        <f t="shared" si="3"/>
        <v>2024</v>
      </c>
      <c r="R349" s="62">
        <f t="shared" si="4"/>
        <v>5</v>
      </c>
      <c r="S349" s="61" t="str">
        <f t="shared" si="5"/>
        <v>2024-Q2</v>
      </c>
      <c r="T349" s="63" t="str">
        <f t="shared" si="6"/>
        <v>2024-05</v>
      </c>
      <c r="U349" s="64" t="str">
        <f t="shared" si="7"/>
        <v>2024-H1</v>
      </c>
      <c r="V349" s="9" t="str">
        <f>VLOOKUP(B349,Bounties!A:E,2,FALSE)</f>
        <v>Anti-Scam Bounty</v>
      </c>
    </row>
    <row r="350" hidden="1">
      <c r="A350" s="67">
        <f>HYPERLINK("https://polkadot.subsquare.io/treasury/child-bounties/1053", 1053)</f>
        <v>1053</v>
      </c>
      <c r="B350" s="1">
        <v>11.0</v>
      </c>
      <c r="C350" s="1" t="s">
        <v>2414</v>
      </c>
      <c r="D350" s="1" t="s">
        <v>656</v>
      </c>
      <c r="E350" s="5">
        <v>74.8</v>
      </c>
      <c r="F350" s="4">
        <v>542.6815700531006</v>
      </c>
      <c r="G350" s="1" t="s">
        <v>2433</v>
      </c>
      <c r="H350" s="95">
        <v>45412.0</v>
      </c>
      <c r="I350" s="95">
        <v>45421.0</v>
      </c>
      <c r="J350" s="4">
        <v>495.204347038269</v>
      </c>
      <c r="K350" s="1"/>
      <c r="L350" s="1"/>
      <c r="M350" s="1" t="str">
        <f>VLOOKUP(B350,Bounties!A:D,3,FALSE)</f>
        <v>Research</v>
      </c>
      <c r="N350" s="1" t="str">
        <f>VLOOKUP(B350,Bounties!A:D,4,FALSE)</f>
        <v>Anti-Scam</v>
      </c>
      <c r="O350" s="1" t="str">
        <f t="shared" ref="O350:P350" si="354">IF(ISBLANK(K350),M350,K350)</f>
        <v>Research</v>
      </c>
      <c r="P350" s="1" t="str">
        <f t="shared" si="354"/>
        <v>Anti-Scam</v>
      </c>
      <c r="Q350" s="61" t="str">
        <f t="shared" si="3"/>
        <v>2024</v>
      </c>
      <c r="R350" s="62">
        <f t="shared" si="4"/>
        <v>5</v>
      </c>
      <c r="S350" s="61" t="str">
        <f t="shared" si="5"/>
        <v>2024-Q2</v>
      </c>
      <c r="T350" s="63" t="str">
        <f t="shared" si="6"/>
        <v>2024-05</v>
      </c>
      <c r="U350" s="64" t="str">
        <f t="shared" si="7"/>
        <v>2024-H1</v>
      </c>
      <c r="V350" s="9" t="str">
        <f>VLOOKUP(B350,Bounties!A:E,2,FALSE)</f>
        <v>Anti-Scam Bounty</v>
      </c>
    </row>
    <row r="351" hidden="1">
      <c r="A351" s="67">
        <f>HYPERLINK("https://polkadot.subsquare.io/treasury/child-bounties/1052", 1052)</f>
        <v>1052</v>
      </c>
      <c r="B351" s="1">
        <v>11.0</v>
      </c>
      <c r="C351" s="1" t="s">
        <v>2414</v>
      </c>
      <c r="D351" s="1" t="s">
        <v>655</v>
      </c>
      <c r="E351" s="5">
        <v>179.6</v>
      </c>
      <c r="F351" s="4">
        <v>1303.0161762237549</v>
      </c>
      <c r="G351" s="1" t="s">
        <v>2433</v>
      </c>
      <c r="H351" s="95">
        <v>45412.0</v>
      </c>
      <c r="I351" s="95">
        <v>45421.0</v>
      </c>
      <c r="J351" s="4">
        <v>1189.0200632095336</v>
      </c>
      <c r="K351" s="1"/>
      <c r="L351" s="1"/>
      <c r="M351" s="1" t="str">
        <f>VLOOKUP(B351,Bounties!A:D,3,FALSE)</f>
        <v>Research</v>
      </c>
      <c r="N351" s="1" t="str">
        <f>VLOOKUP(B351,Bounties!A:D,4,FALSE)</f>
        <v>Anti-Scam</v>
      </c>
      <c r="O351" s="1" t="str">
        <f t="shared" ref="O351:P351" si="355">IF(ISBLANK(K351),M351,K351)</f>
        <v>Research</v>
      </c>
      <c r="P351" s="1" t="str">
        <f t="shared" si="355"/>
        <v>Anti-Scam</v>
      </c>
      <c r="Q351" s="61" t="str">
        <f t="shared" si="3"/>
        <v>2024</v>
      </c>
      <c r="R351" s="62">
        <f t="shared" si="4"/>
        <v>5</v>
      </c>
      <c r="S351" s="61" t="str">
        <f t="shared" si="5"/>
        <v>2024-Q2</v>
      </c>
      <c r="T351" s="63" t="str">
        <f t="shared" si="6"/>
        <v>2024-05</v>
      </c>
      <c r="U351" s="64" t="str">
        <f t="shared" si="7"/>
        <v>2024-H1</v>
      </c>
      <c r="V351" s="9" t="str">
        <f>VLOOKUP(B351,Bounties!A:E,2,FALSE)</f>
        <v>Anti-Scam Bounty</v>
      </c>
    </row>
    <row r="352" hidden="1">
      <c r="A352" s="67">
        <f>HYPERLINK("https://polkadot.subsquare.io/treasury/child-bounties/1051", 1051)</f>
        <v>1051</v>
      </c>
      <c r="B352" s="1">
        <v>11.0</v>
      </c>
      <c r="C352" s="1" t="s">
        <v>2414</v>
      </c>
      <c r="D352" s="1" t="s">
        <v>654</v>
      </c>
      <c r="E352" s="5">
        <v>215.5</v>
      </c>
      <c r="F352" s="4">
        <v>1563.4743094444275</v>
      </c>
      <c r="G352" s="1" t="s">
        <v>2438</v>
      </c>
      <c r="H352" s="95">
        <v>45412.0</v>
      </c>
      <c r="I352" s="95">
        <v>45423.0</v>
      </c>
      <c r="J352" s="4">
        <v>1396.2033514976501</v>
      </c>
      <c r="K352" s="1"/>
      <c r="L352" s="1"/>
      <c r="M352" s="1" t="str">
        <f>VLOOKUP(B352,Bounties!A:D,3,FALSE)</f>
        <v>Research</v>
      </c>
      <c r="N352" s="1" t="str">
        <f>VLOOKUP(B352,Bounties!A:D,4,FALSE)</f>
        <v>Anti-Scam</v>
      </c>
      <c r="O352" s="1" t="str">
        <f t="shared" ref="O352:P352" si="356">IF(ISBLANK(K352),M352,K352)</f>
        <v>Research</v>
      </c>
      <c r="P352" s="1" t="str">
        <f t="shared" si="356"/>
        <v>Anti-Scam</v>
      </c>
      <c r="Q352" s="61" t="str">
        <f t="shared" si="3"/>
        <v>2024</v>
      </c>
      <c r="R352" s="62">
        <f t="shared" si="4"/>
        <v>5</v>
      </c>
      <c r="S352" s="61" t="str">
        <f t="shared" si="5"/>
        <v>2024-Q2</v>
      </c>
      <c r="T352" s="63" t="str">
        <f t="shared" si="6"/>
        <v>2024-05</v>
      </c>
      <c r="U352" s="64" t="str">
        <f t="shared" si="7"/>
        <v>2024-H1</v>
      </c>
      <c r="V352" s="9" t="str">
        <f>VLOOKUP(B352,Bounties!A:E,2,FALSE)</f>
        <v>Anti-Scam Bounty</v>
      </c>
    </row>
    <row r="353" hidden="1">
      <c r="A353" s="67">
        <f>HYPERLINK("https://polkadot.subsquare.io/treasury/child-bounties/1050", 1050)</f>
        <v>1050</v>
      </c>
      <c r="B353" s="1">
        <v>11.0</v>
      </c>
      <c r="C353" s="1" t="s">
        <v>2414</v>
      </c>
      <c r="D353" s="1" t="s">
        <v>653</v>
      </c>
      <c r="E353" s="5">
        <v>251.42</v>
      </c>
      <c r="F353" s="4">
        <v>1824.0775446891785</v>
      </c>
      <c r="G353" s="1" t="s">
        <v>2437</v>
      </c>
      <c r="H353" s="95">
        <v>45412.0</v>
      </c>
      <c r="I353" s="95">
        <v>45422.0</v>
      </c>
      <c r="J353" s="4">
        <v>1664.495680913925</v>
      </c>
      <c r="K353" s="1"/>
      <c r="L353" s="1"/>
      <c r="M353" s="1" t="str">
        <f>VLOOKUP(B353,Bounties!A:D,3,FALSE)</f>
        <v>Research</v>
      </c>
      <c r="N353" s="1" t="str">
        <f>VLOOKUP(B353,Bounties!A:D,4,FALSE)</f>
        <v>Anti-Scam</v>
      </c>
      <c r="O353" s="1" t="str">
        <f t="shared" ref="O353:P353" si="357">IF(ISBLANK(K353),M353,K353)</f>
        <v>Research</v>
      </c>
      <c r="P353" s="1" t="str">
        <f t="shared" si="357"/>
        <v>Anti-Scam</v>
      </c>
      <c r="Q353" s="61" t="str">
        <f t="shared" si="3"/>
        <v>2024</v>
      </c>
      <c r="R353" s="62">
        <f t="shared" si="4"/>
        <v>5</v>
      </c>
      <c r="S353" s="61" t="str">
        <f t="shared" si="5"/>
        <v>2024-Q2</v>
      </c>
      <c r="T353" s="63" t="str">
        <f t="shared" si="6"/>
        <v>2024-05</v>
      </c>
      <c r="U353" s="64" t="str">
        <f t="shared" si="7"/>
        <v>2024-H1</v>
      </c>
      <c r="V353" s="9" t="str">
        <f>VLOOKUP(B353,Bounties!A:E,2,FALSE)</f>
        <v>Anti-Scam Bounty</v>
      </c>
    </row>
    <row r="354" hidden="1">
      <c r="A354" s="67">
        <f>HYPERLINK("https://polkadot.subsquare.io/treasury/child-bounties/1049", 1049)</f>
        <v>1049</v>
      </c>
      <c r="B354" s="1">
        <v>11.0</v>
      </c>
      <c r="C354" s="1" t="s">
        <v>2414</v>
      </c>
      <c r="D354" s="1" t="s">
        <v>652</v>
      </c>
      <c r="E354" s="5">
        <v>179.6</v>
      </c>
      <c r="F354" s="4">
        <v>1303.0161762237549</v>
      </c>
      <c r="G354" s="1" t="s">
        <v>2524</v>
      </c>
      <c r="H354" s="95">
        <v>45412.0</v>
      </c>
      <c r="I354" s="95">
        <v>45421.0</v>
      </c>
      <c r="J354" s="4">
        <v>1189.0200632095336</v>
      </c>
      <c r="K354" s="1"/>
      <c r="L354" s="1"/>
      <c r="M354" s="1" t="str">
        <f>VLOOKUP(B354,Bounties!A:D,3,FALSE)</f>
        <v>Research</v>
      </c>
      <c r="N354" s="1" t="str">
        <f>VLOOKUP(B354,Bounties!A:D,4,FALSE)</f>
        <v>Anti-Scam</v>
      </c>
      <c r="O354" s="1" t="str">
        <f t="shared" ref="O354:P354" si="358">IF(ISBLANK(K354),M354,K354)</f>
        <v>Research</v>
      </c>
      <c r="P354" s="1" t="str">
        <f t="shared" si="358"/>
        <v>Anti-Scam</v>
      </c>
      <c r="Q354" s="61" t="str">
        <f t="shared" si="3"/>
        <v>2024</v>
      </c>
      <c r="R354" s="62">
        <f t="shared" si="4"/>
        <v>5</v>
      </c>
      <c r="S354" s="61" t="str">
        <f t="shared" si="5"/>
        <v>2024-Q2</v>
      </c>
      <c r="T354" s="63" t="str">
        <f t="shared" si="6"/>
        <v>2024-05</v>
      </c>
      <c r="U354" s="64" t="str">
        <f t="shared" si="7"/>
        <v>2024-H1</v>
      </c>
      <c r="V354" s="9" t="str">
        <f>VLOOKUP(B354,Bounties!A:E,2,FALSE)</f>
        <v>Anti-Scam Bounty</v>
      </c>
    </row>
    <row r="355" hidden="1">
      <c r="A355" s="67">
        <f>HYPERLINK("https://polkadot.subsquare.io/treasury/child-bounties/1048", 1048)</f>
        <v>1048</v>
      </c>
      <c r="B355" s="1">
        <v>11.0</v>
      </c>
      <c r="C355" s="1" t="s">
        <v>2414</v>
      </c>
      <c r="D355" s="1" t="s">
        <v>651</v>
      </c>
      <c r="E355" s="5">
        <v>74.8</v>
      </c>
      <c r="F355" s="4">
        <v>542.6815700531006</v>
      </c>
      <c r="G355" s="1" t="s">
        <v>2534</v>
      </c>
      <c r="H355" s="95">
        <v>45412.0</v>
      </c>
      <c r="I355" s="95">
        <v>45421.0</v>
      </c>
      <c r="J355" s="4">
        <v>495.204347038269</v>
      </c>
      <c r="K355" s="1"/>
      <c r="L355" s="1"/>
      <c r="M355" s="1" t="str">
        <f>VLOOKUP(B355,Bounties!A:D,3,FALSE)</f>
        <v>Research</v>
      </c>
      <c r="N355" s="1" t="str">
        <f>VLOOKUP(B355,Bounties!A:D,4,FALSE)</f>
        <v>Anti-Scam</v>
      </c>
      <c r="O355" s="1" t="str">
        <f t="shared" ref="O355:P355" si="359">IF(ISBLANK(K355),M355,K355)</f>
        <v>Research</v>
      </c>
      <c r="P355" s="1" t="str">
        <f t="shared" si="359"/>
        <v>Anti-Scam</v>
      </c>
      <c r="Q355" s="61" t="str">
        <f t="shared" si="3"/>
        <v>2024</v>
      </c>
      <c r="R355" s="62">
        <f t="shared" si="4"/>
        <v>5</v>
      </c>
      <c r="S355" s="61" t="str">
        <f t="shared" si="5"/>
        <v>2024-Q2</v>
      </c>
      <c r="T355" s="63" t="str">
        <f t="shared" si="6"/>
        <v>2024-05</v>
      </c>
      <c r="U355" s="64" t="str">
        <f t="shared" si="7"/>
        <v>2024-H1</v>
      </c>
      <c r="V355" s="9" t="str">
        <f>VLOOKUP(B355,Bounties!A:E,2,FALSE)</f>
        <v>Anti-Scam Bounty</v>
      </c>
    </row>
    <row r="356" hidden="1">
      <c r="A356" s="67">
        <f>HYPERLINK("https://polkadot.subsquare.io/treasury/child-bounties/1047", 1047)</f>
        <v>1047</v>
      </c>
      <c r="B356" s="1">
        <v>11.0</v>
      </c>
      <c r="C356" s="1" t="s">
        <v>2414</v>
      </c>
      <c r="D356" s="1" t="s">
        <v>650</v>
      </c>
      <c r="E356" s="5">
        <v>215.5</v>
      </c>
      <c r="F356" s="4">
        <v>1563.4743094444275</v>
      </c>
      <c r="G356" s="1" t="s">
        <v>2534</v>
      </c>
      <c r="H356" s="95">
        <v>45412.0</v>
      </c>
      <c r="I356" s="95">
        <v>45421.0</v>
      </c>
      <c r="J356" s="4">
        <v>1426.6916682720184</v>
      </c>
      <c r="K356" s="1"/>
      <c r="L356" s="1"/>
      <c r="M356" s="1" t="str">
        <f>VLOOKUP(B356,Bounties!A:D,3,FALSE)</f>
        <v>Research</v>
      </c>
      <c r="N356" s="1" t="str">
        <f>VLOOKUP(B356,Bounties!A:D,4,FALSE)</f>
        <v>Anti-Scam</v>
      </c>
      <c r="O356" s="1" t="str">
        <f t="shared" ref="O356:P356" si="360">IF(ISBLANK(K356),M356,K356)</f>
        <v>Research</v>
      </c>
      <c r="P356" s="1" t="str">
        <f t="shared" si="360"/>
        <v>Anti-Scam</v>
      </c>
      <c r="Q356" s="61" t="str">
        <f t="shared" si="3"/>
        <v>2024</v>
      </c>
      <c r="R356" s="62">
        <f t="shared" si="4"/>
        <v>5</v>
      </c>
      <c r="S356" s="61" t="str">
        <f t="shared" si="5"/>
        <v>2024-Q2</v>
      </c>
      <c r="T356" s="63" t="str">
        <f t="shared" si="6"/>
        <v>2024-05</v>
      </c>
      <c r="U356" s="64" t="str">
        <f t="shared" si="7"/>
        <v>2024-H1</v>
      </c>
      <c r="V356" s="9" t="str">
        <f>VLOOKUP(B356,Bounties!A:E,2,FALSE)</f>
        <v>Anti-Scam Bounty</v>
      </c>
    </row>
    <row r="357" hidden="1">
      <c r="A357" s="67">
        <f>HYPERLINK("https://polkadot.subsquare.io/treasury/child-bounties/1046", 1046)</f>
        <v>1046</v>
      </c>
      <c r="B357" s="1">
        <v>11.0</v>
      </c>
      <c r="C357" s="1" t="s">
        <v>2414</v>
      </c>
      <c r="D357" s="1" t="s">
        <v>649</v>
      </c>
      <c r="E357" s="5">
        <v>74.8</v>
      </c>
      <c r="F357" s="4">
        <v>542.6815700531006</v>
      </c>
      <c r="G357" s="1" t="s">
        <v>2528</v>
      </c>
      <c r="H357" s="95">
        <v>45412.0</v>
      </c>
      <c r="I357" s="95">
        <v>45421.0</v>
      </c>
      <c r="J357" s="4">
        <v>495.204347038269</v>
      </c>
      <c r="K357" s="1"/>
      <c r="L357" s="1"/>
      <c r="M357" s="1" t="str">
        <f>VLOOKUP(B357,Bounties!A:D,3,FALSE)</f>
        <v>Research</v>
      </c>
      <c r="N357" s="1" t="str">
        <f>VLOOKUP(B357,Bounties!A:D,4,FALSE)</f>
        <v>Anti-Scam</v>
      </c>
      <c r="O357" s="1" t="str">
        <f t="shared" ref="O357:P357" si="361">IF(ISBLANK(K357),M357,K357)</f>
        <v>Research</v>
      </c>
      <c r="P357" s="1" t="str">
        <f t="shared" si="361"/>
        <v>Anti-Scam</v>
      </c>
      <c r="Q357" s="61" t="str">
        <f t="shared" si="3"/>
        <v>2024</v>
      </c>
      <c r="R357" s="62">
        <f t="shared" si="4"/>
        <v>5</v>
      </c>
      <c r="S357" s="61" t="str">
        <f t="shared" si="5"/>
        <v>2024-Q2</v>
      </c>
      <c r="T357" s="63" t="str">
        <f t="shared" si="6"/>
        <v>2024-05</v>
      </c>
      <c r="U357" s="64" t="str">
        <f t="shared" si="7"/>
        <v>2024-H1</v>
      </c>
      <c r="V357" s="9" t="str">
        <f>VLOOKUP(B357,Bounties!A:E,2,FALSE)</f>
        <v>Anti-Scam Bounty</v>
      </c>
    </row>
    <row r="358" hidden="1">
      <c r="A358" s="67">
        <f>HYPERLINK("https://polkadot.subsquare.io/treasury/child-bounties/1045", 1045)</f>
        <v>1045</v>
      </c>
      <c r="B358" s="1">
        <v>11.0</v>
      </c>
      <c r="C358" s="1" t="s">
        <v>2414</v>
      </c>
      <c r="D358" s="1" t="s">
        <v>648</v>
      </c>
      <c r="E358" s="5">
        <v>89.8</v>
      </c>
      <c r="F358" s="4">
        <v>651.5080881118774</v>
      </c>
      <c r="G358" s="1" t="s">
        <v>2531</v>
      </c>
      <c r="H358" s="95">
        <v>45412.0</v>
      </c>
      <c r="I358" s="95">
        <v>45425.0</v>
      </c>
      <c r="J358" s="4">
        <v>625.320503616333</v>
      </c>
      <c r="K358" s="1"/>
      <c r="L358" s="1"/>
      <c r="M358" s="1" t="str">
        <f>VLOOKUP(B358,Bounties!A:D,3,FALSE)</f>
        <v>Research</v>
      </c>
      <c r="N358" s="1" t="str">
        <f>VLOOKUP(B358,Bounties!A:D,4,FALSE)</f>
        <v>Anti-Scam</v>
      </c>
      <c r="O358" s="1" t="str">
        <f t="shared" ref="O358:P358" si="362">IF(ISBLANK(K358),M358,K358)</f>
        <v>Research</v>
      </c>
      <c r="P358" s="1" t="str">
        <f t="shared" si="362"/>
        <v>Anti-Scam</v>
      </c>
      <c r="Q358" s="61" t="str">
        <f t="shared" si="3"/>
        <v>2024</v>
      </c>
      <c r="R358" s="62">
        <f t="shared" si="4"/>
        <v>5</v>
      </c>
      <c r="S358" s="61" t="str">
        <f t="shared" si="5"/>
        <v>2024-Q2</v>
      </c>
      <c r="T358" s="63" t="str">
        <f t="shared" si="6"/>
        <v>2024-05</v>
      </c>
      <c r="U358" s="64" t="str">
        <f t="shared" si="7"/>
        <v>2024-H1</v>
      </c>
      <c r="V358" s="9" t="str">
        <f>VLOOKUP(B358,Bounties!A:E,2,FALSE)</f>
        <v>Anti-Scam Bounty</v>
      </c>
    </row>
    <row r="359" hidden="1">
      <c r="A359" s="67">
        <f>HYPERLINK("https://polkadot.subsquare.io/treasury/child-bounties/1044", 1044)</f>
        <v>1044</v>
      </c>
      <c r="B359" s="1">
        <v>11.0</v>
      </c>
      <c r="C359" s="1" t="s">
        <v>2414</v>
      </c>
      <c r="D359" s="1" t="s">
        <v>647</v>
      </c>
      <c r="E359" s="5">
        <v>107.75</v>
      </c>
      <c r="F359" s="4">
        <v>781.7371547222137</v>
      </c>
      <c r="G359" s="1" t="s">
        <v>2463</v>
      </c>
      <c r="H359" s="95">
        <v>45412.0</v>
      </c>
      <c r="I359" s="95">
        <v>45423.0</v>
      </c>
      <c r="J359" s="4">
        <v>698.1016757488251</v>
      </c>
      <c r="K359" s="1"/>
      <c r="L359" s="1"/>
      <c r="M359" s="1" t="str">
        <f>VLOOKUP(B359,Bounties!A:D,3,FALSE)</f>
        <v>Research</v>
      </c>
      <c r="N359" s="1" t="str">
        <f>VLOOKUP(B359,Bounties!A:D,4,FALSE)</f>
        <v>Anti-Scam</v>
      </c>
      <c r="O359" s="1" t="str">
        <f t="shared" ref="O359:P359" si="363">IF(ISBLANK(K359),M359,K359)</f>
        <v>Research</v>
      </c>
      <c r="P359" s="1" t="str">
        <f t="shared" si="363"/>
        <v>Anti-Scam</v>
      </c>
      <c r="Q359" s="61" t="str">
        <f t="shared" si="3"/>
        <v>2024</v>
      </c>
      <c r="R359" s="62">
        <f t="shared" si="4"/>
        <v>5</v>
      </c>
      <c r="S359" s="61" t="str">
        <f t="shared" si="5"/>
        <v>2024-Q2</v>
      </c>
      <c r="T359" s="63" t="str">
        <f t="shared" si="6"/>
        <v>2024-05</v>
      </c>
      <c r="U359" s="64" t="str">
        <f t="shared" si="7"/>
        <v>2024-H1</v>
      </c>
      <c r="V359" s="9" t="str">
        <f>VLOOKUP(B359,Bounties!A:E,2,FALSE)</f>
        <v>Anti-Scam Bounty</v>
      </c>
    </row>
    <row r="360" hidden="1">
      <c r="A360" s="67">
        <f>HYPERLINK("https://polkadot.subsquare.io/treasury/child-bounties/1043", 1043)</f>
        <v>1043</v>
      </c>
      <c r="B360" s="1">
        <v>11.0</v>
      </c>
      <c r="C360" s="1" t="s">
        <v>2414</v>
      </c>
      <c r="D360" s="1" t="s">
        <v>646</v>
      </c>
      <c r="E360" s="5">
        <v>107.75</v>
      </c>
      <c r="F360" s="4">
        <v>781.7371547222137</v>
      </c>
      <c r="G360" s="1" t="s">
        <v>2535</v>
      </c>
      <c r="H360" s="95">
        <v>45412.0</v>
      </c>
      <c r="I360" s="95">
        <v>45431.0</v>
      </c>
      <c r="J360" s="4">
        <v>803.2192622423172</v>
      </c>
      <c r="K360" s="1"/>
      <c r="L360" s="1"/>
      <c r="M360" s="1" t="str">
        <f>VLOOKUP(B360,Bounties!A:D,3,FALSE)</f>
        <v>Research</v>
      </c>
      <c r="N360" s="1" t="str">
        <f>VLOOKUP(B360,Bounties!A:D,4,FALSE)</f>
        <v>Anti-Scam</v>
      </c>
      <c r="O360" s="1" t="str">
        <f t="shared" ref="O360:P360" si="364">IF(ISBLANK(K360),M360,K360)</f>
        <v>Research</v>
      </c>
      <c r="P360" s="1" t="str">
        <f t="shared" si="364"/>
        <v>Anti-Scam</v>
      </c>
      <c r="Q360" s="61" t="str">
        <f t="shared" si="3"/>
        <v>2024</v>
      </c>
      <c r="R360" s="62">
        <f t="shared" si="4"/>
        <v>5</v>
      </c>
      <c r="S360" s="61" t="str">
        <f t="shared" si="5"/>
        <v>2024-Q2</v>
      </c>
      <c r="T360" s="63" t="str">
        <f t="shared" si="6"/>
        <v>2024-05</v>
      </c>
      <c r="U360" s="64" t="str">
        <f t="shared" si="7"/>
        <v>2024-H1</v>
      </c>
      <c r="V360" s="9" t="str">
        <f>VLOOKUP(B360,Bounties!A:E,2,FALSE)</f>
        <v>Anti-Scam Bounty</v>
      </c>
    </row>
    <row r="361" hidden="1">
      <c r="A361" s="67">
        <f>HYPERLINK("https://polkadot.subsquare.io/treasury/child-bounties/1042", 1042)</f>
        <v>1042</v>
      </c>
      <c r="B361" s="1">
        <v>11.0</v>
      </c>
      <c r="C361" s="1" t="s">
        <v>2414</v>
      </c>
      <c r="D361" s="1" t="s">
        <v>645</v>
      </c>
      <c r="E361" s="5">
        <v>1000.0</v>
      </c>
      <c r="F361" s="4">
        <v>7255.101203918457</v>
      </c>
      <c r="G361" s="1" t="s">
        <v>2595</v>
      </c>
      <c r="H361" s="95">
        <v>45412.0</v>
      </c>
      <c r="I361" s="95">
        <v>45423.0</v>
      </c>
      <c r="J361" s="4">
        <v>6665.497779846191</v>
      </c>
      <c r="K361" s="1"/>
      <c r="L361" s="1"/>
      <c r="M361" s="1" t="str">
        <f>VLOOKUP(B361,Bounties!A:D,3,FALSE)</f>
        <v>Research</v>
      </c>
      <c r="N361" s="1" t="str">
        <f>VLOOKUP(B361,Bounties!A:D,4,FALSE)</f>
        <v>Anti-Scam</v>
      </c>
      <c r="O361" s="1" t="str">
        <f t="shared" ref="O361:P361" si="365">IF(ISBLANK(K361),M361,K361)</f>
        <v>Research</v>
      </c>
      <c r="P361" s="1" t="str">
        <f t="shared" si="365"/>
        <v>Anti-Scam</v>
      </c>
      <c r="Q361" s="61" t="str">
        <f t="shared" si="3"/>
        <v>2024</v>
      </c>
      <c r="R361" s="62">
        <f t="shared" si="4"/>
        <v>5</v>
      </c>
      <c r="S361" s="61" t="str">
        <f t="shared" si="5"/>
        <v>2024-Q2</v>
      </c>
      <c r="T361" s="63" t="str">
        <f t="shared" si="6"/>
        <v>2024-05</v>
      </c>
      <c r="U361" s="64" t="str">
        <f t="shared" si="7"/>
        <v>2024-H1</v>
      </c>
      <c r="V361" s="9" t="str">
        <f>VLOOKUP(B361,Bounties!A:E,2,FALSE)</f>
        <v>Anti-Scam Bounty</v>
      </c>
    </row>
    <row r="362" hidden="1">
      <c r="A362" s="67">
        <f>HYPERLINK("https://polkadot.subsquare.io/treasury/child-bounties/1041", 1041)</f>
        <v>1041</v>
      </c>
      <c r="B362" s="1">
        <v>11.0</v>
      </c>
      <c r="C362" s="1" t="s">
        <v>2414</v>
      </c>
      <c r="D362" s="1" t="s">
        <v>644</v>
      </c>
      <c r="E362" s="5">
        <v>948.9</v>
      </c>
      <c r="F362" s="4">
        <v>6531.319324636459</v>
      </c>
      <c r="G362" s="1" t="s">
        <v>2494</v>
      </c>
      <c r="H362" s="95">
        <v>45411.0</v>
      </c>
      <c r="I362" s="95">
        <v>45425.0</v>
      </c>
      <c r="J362" s="4">
        <v>6669.936915206909</v>
      </c>
      <c r="K362" s="1"/>
      <c r="L362" s="1"/>
      <c r="M362" s="1" t="str">
        <f>VLOOKUP(B362,Bounties!A:D,3,FALSE)</f>
        <v>Research</v>
      </c>
      <c r="N362" s="1" t="str">
        <f>VLOOKUP(B362,Bounties!A:D,4,FALSE)</f>
        <v>Anti-Scam</v>
      </c>
      <c r="O362" s="1" t="str">
        <f t="shared" ref="O362:P362" si="366">IF(ISBLANK(K362),M362,K362)</f>
        <v>Research</v>
      </c>
      <c r="P362" s="1" t="str">
        <f t="shared" si="366"/>
        <v>Anti-Scam</v>
      </c>
      <c r="Q362" s="61" t="str">
        <f t="shared" si="3"/>
        <v>2024</v>
      </c>
      <c r="R362" s="62">
        <f t="shared" si="4"/>
        <v>5</v>
      </c>
      <c r="S362" s="61" t="str">
        <f t="shared" si="5"/>
        <v>2024-Q2</v>
      </c>
      <c r="T362" s="63" t="str">
        <f t="shared" si="6"/>
        <v>2024-05</v>
      </c>
      <c r="U362" s="64" t="str">
        <f t="shared" si="7"/>
        <v>2024-H1</v>
      </c>
      <c r="V362" s="9" t="str">
        <f>VLOOKUP(B362,Bounties!A:E,2,FALSE)</f>
        <v>Anti-Scam Bounty</v>
      </c>
    </row>
    <row r="363" hidden="1">
      <c r="A363" s="67">
        <f>HYPERLINK("https://polkadot.subsquare.io/treasury/child-bounties/1040", 1040)</f>
        <v>1040</v>
      </c>
      <c r="B363" s="1">
        <v>11.0</v>
      </c>
      <c r="C363" s="1" t="s">
        <v>2414</v>
      </c>
      <c r="D363" s="1" t="s">
        <v>643</v>
      </c>
      <c r="E363" s="5">
        <v>1287.59</v>
      </c>
      <c r="F363" s="4">
        <v>8862.537094750403</v>
      </c>
      <c r="G363" s="1" t="s">
        <v>2494</v>
      </c>
      <c r="H363" s="95">
        <v>45411.0</v>
      </c>
      <c r="I363" s="95">
        <v>45421.0</v>
      </c>
      <c r="J363" s="4">
        <v>8574.355184874534</v>
      </c>
      <c r="K363" s="1"/>
      <c r="L363" s="1"/>
      <c r="M363" s="1" t="str">
        <f>VLOOKUP(B363,Bounties!A:D,3,FALSE)</f>
        <v>Research</v>
      </c>
      <c r="N363" s="1" t="str">
        <f>VLOOKUP(B363,Bounties!A:D,4,FALSE)</f>
        <v>Anti-Scam</v>
      </c>
      <c r="O363" s="1" t="str">
        <f t="shared" ref="O363:P363" si="367">IF(ISBLANK(K363),M363,K363)</f>
        <v>Research</v>
      </c>
      <c r="P363" s="1" t="str">
        <f t="shared" si="367"/>
        <v>Anti-Scam</v>
      </c>
      <c r="Q363" s="61" t="str">
        <f t="shared" si="3"/>
        <v>2024</v>
      </c>
      <c r="R363" s="62">
        <f t="shared" si="4"/>
        <v>5</v>
      </c>
      <c r="S363" s="61" t="str">
        <f t="shared" si="5"/>
        <v>2024-Q2</v>
      </c>
      <c r="T363" s="63" t="str">
        <f t="shared" si="6"/>
        <v>2024-05</v>
      </c>
      <c r="U363" s="64" t="str">
        <f t="shared" si="7"/>
        <v>2024-H1</v>
      </c>
      <c r="V363" s="9" t="str">
        <f>VLOOKUP(B363,Bounties!A:E,2,FALSE)</f>
        <v>Anti-Scam Bounty</v>
      </c>
    </row>
    <row r="364" hidden="1">
      <c r="A364" s="67">
        <f>HYPERLINK("https://polkadot.subsquare.io/treasury/child-bounties/1039", 1039)</f>
        <v>1039</v>
      </c>
      <c r="B364" s="1">
        <v>37.0</v>
      </c>
      <c r="C364" s="1" t="s">
        <v>2460</v>
      </c>
      <c r="D364" s="1" t="s">
        <v>2596</v>
      </c>
      <c r="E364" s="5">
        <v>16.47</v>
      </c>
      <c r="F364" s="4">
        <v>113.36371511936187</v>
      </c>
      <c r="G364" s="1" t="s">
        <v>2597</v>
      </c>
      <c r="H364" s="95">
        <v>45410.0</v>
      </c>
      <c r="I364" s="95">
        <v>45410.0</v>
      </c>
      <c r="J364" s="4">
        <v>113.36371511936187</v>
      </c>
      <c r="K364" s="1"/>
      <c r="L364" s="1"/>
      <c r="M364" s="1" t="str">
        <f>VLOOKUP(B364,Bounties!A:D,3,FALSE)</f>
        <v>Operations</v>
      </c>
      <c r="N364" s="1" t="str">
        <f>VLOOKUP(B364,Bounties!A:D,4,FALSE)</f>
        <v>Infrastructure</v>
      </c>
      <c r="O364" s="1" t="str">
        <f t="shared" ref="O364:P364" si="368">IF(ISBLANK(K364),M364,K364)</f>
        <v>Operations</v>
      </c>
      <c r="P364" s="1" t="str">
        <f t="shared" si="368"/>
        <v>Infrastructure</v>
      </c>
      <c r="Q364" s="61" t="str">
        <f t="shared" si="3"/>
        <v>2024</v>
      </c>
      <c r="R364" s="62">
        <f t="shared" si="4"/>
        <v>4</v>
      </c>
      <c r="S364" s="61" t="str">
        <f t="shared" si="5"/>
        <v>2024-Q2</v>
      </c>
      <c r="T364" s="63" t="str">
        <f t="shared" si="6"/>
        <v>2024-04</v>
      </c>
      <c r="U364" s="64" t="str">
        <f t="shared" si="7"/>
        <v>2024-H1</v>
      </c>
      <c r="V364" s="9" t="str">
        <f>VLOOKUP(B364,Bounties!A:E,2,FALSE)</f>
        <v>Paseo Testnet Bounty</v>
      </c>
    </row>
    <row r="365" hidden="1">
      <c r="A365" s="67">
        <f>HYPERLINK("https://polkadot.subsquare.io/treasury/child-bounties/1038", 1038)</f>
        <v>1038</v>
      </c>
      <c r="B365" s="1">
        <v>37.0</v>
      </c>
      <c r="C365" s="1" t="s">
        <v>2414</v>
      </c>
      <c r="D365" s="1" t="s">
        <v>642</v>
      </c>
      <c r="E365" s="5">
        <v>132.36</v>
      </c>
      <c r="F365" s="4">
        <v>911.0395466423035</v>
      </c>
      <c r="G365" s="1" t="s">
        <v>2598</v>
      </c>
      <c r="H365" s="95">
        <v>45410.0</v>
      </c>
      <c r="I365" s="95">
        <v>45419.0</v>
      </c>
      <c r="J365" s="4">
        <v>933.1538669013978</v>
      </c>
      <c r="K365" s="1"/>
      <c r="L365" s="1"/>
      <c r="M365" s="1" t="str">
        <f>VLOOKUP(B365,Bounties!A:D,3,FALSE)</f>
        <v>Operations</v>
      </c>
      <c r="N365" s="1" t="str">
        <f>VLOOKUP(B365,Bounties!A:D,4,FALSE)</f>
        <v>Infrastructure</v>
      </c>
      <c r="O365" s="1" t="str">
        <f t="shared" ref="O365:P365" si="369">IF(ISBLANK(K365),M365,K365)</f>
        <v>Operations</v>
      </c>
      <c r="P365" s="1" t="str">
        <f t="shared" si="369"/>
        <v>Infrastructure</v>
      </c>
      <c r="Q365" s="61" t="str">
        <f t="shared" si="3"/>
        <v>2024</v>
      </c>
      <c r="R365" s="62">
        <f t="shared" si="4"/>
        <v>5</v>
      </c>
      <c r="S365" s="61" t="str">
        <f t="shared" si="5"/>
        <v>2024-Q2</v>
      </c>
      <c r="T365" s="63" t="str">
        <f t="shared" si="6"/>
        <v>2024-05</v>
      </c>
      <c r="U365" s="64" t="str">
        <f t="shared" si="7"/>
        <v>2024-H1</v>
      </c>
      <c r="V365" s="9" t="str">
        <f>VLOOKUP(B365,Bounties!A:E,2,FALSE)</f>
        <v>Paseo Testnet Bounty</v>
      </c>
    </row>
    <row r="366" hidden="1">
      <c r="A366" s="67">
        <f>HYPERLINK("https://polkadot.subsquare.io/treasury/child-bounties/1037", 1037)</f>
        <v>1037</v>
      </c>
      <c r="B366" s="1">
        <v>37.0</v>
      </c>
      <c r="C366" s="1" t="s">
        <v>2414</v>
      </c>
      <c r="D366" s="1" t="s">
        <v>641</v>
      </c>
      <c r="E366" s="5">
        <v>91.09</v>
      </c>
      <c r="F366" s="4">
        <v>626.9763697767258</v>
      </c>
      <c r="G366" s="1" t="s">
        <v>2598</v>
      </c>
      <c r="H366" s="95">
        <v>45410.0</v>
      </c>
      <c r="I366" s="95">
        <v>45419.0</v>
      </c>
      <c r="J366" s="4">
        <v>642.1954195833206</v>
      </c>
      <c r="K366" s="1"/>
      <c r="L366" s="1"/>
      <c r="M366" s="1" t="str">
        <f>VLOOKUP(B366,Bounties!A:D,3,FALSE)</f>
        <v>Operations</v>
      </c>
      <c r="N366" s="1" t="str">
        <f>VLOOKUP(B366,Bounties!A:D,4,FALSE)</f>
        <v>Infrastructure</v>
      </c>
      <c r="O366" s="1" t="str">
        <f t="shared" ref="O366:P366" si="370">IF(ISBLANK(K366),M366,K366)</f>
        <v>Operations</v>
      </c>
      <c r="P366" s="1" t="str">
        <f t="shared" si="370"/>
        <v>Infrastructure</v>
      </c>
      <c r="Q366" s="61" t="str">
        <f t="shared" si="3"/>
        <v>2024</v>
      </c>
      <c r="R366" s="62">
        <f t="shared" si="4"/>
        <v>5</v>
      </c>
      <c r="S366" s="61" t="str">
        <f t="shared" si="5"/>
        <v>2024-Q2</v>
      </c>
      <c r="T366" s="63" t="str">
        <f t="shared" si="6"/>
        <v>2024-05</v>
      </c>
      <c r="U366" s="64" t="str">
        <f t="shared" si="7"/>
        <v>2024-H1</v>
      </c>
      <c r="V366" s="9" t="str">
        <f>VLOOKUP(B366,Bounties!A:E,2,FALSE)</f>
        <v>Paseo Testnet Bounty</v>
      </c>
    </row>
    <row r="367" hidden="1">
      <c r="A367" s="67">
        <f>HYPERLINK("https://polkadot.subsquare.io/treasury/child-bounties/1036", 1036)</f>
        <v>1036</v>
      </c>
      <c r="B367" s="1">
        <v>37.0</v>
      </c>
      <c r="C367" s="1" t="s">
        <v>2414</v>
      </c>
      <c r="D367" s="1" t="s">
        <v>640</v>
      </c>
      <c r="E367" s="5">
        <v>132.38</v>
      </c>
      <c r="F367" s="4">
        <v>911.1772074985504</v>
      </c>
      <c r="G367" s="1" t="s">
        <v>2487</v>
      </c>
      <c r="H367" s="95">
        <v>45410.0</v>
      </c>
      <c r="I367" s="95">
        <v>45461.0</v>
      </c>
      <c r="J367" s="4">
        <v>742.7923941612244</v>
      </c>
      <c r="K367" s="1"/>
      <c r="L367" s="1"/>
      <c r="M367" s="1" t="str">
        <f>VLOOKUP(B367,Bounties!A:D,3,FALSE)</f>
        <v>Operations</v>
      </c>
      <c r="N367" s="1" t="str">
        <f>VLOOKUP(B367,Bounties!A:D,4,FALSE)</f>
        <v>Infrastructure</v>
      </c>
      <c r="O367" s="1" t="str">
        <f t="shared" ref="O367:P367" si="371">IF(ISBLANK(K367),M367,K367)</f>
        <v>Operations</v>
      </c>
      <c r="P367" s="1" t="str">
        <f t="shared" si="371"/>
        <v>Infrastructure</v>
      </c>
      <c r="Q367" s="61" t="str">
        <f t="shared" si="3"/>
        <v>2024</v>
      </c>
      <c r="R367" s="62">
        <f t="shared" si="4"/>
        <v>6</v>
      </c>
      <c r="S367" s="61" t="str">
        <f t="shared" si="5"/>
        <v>2024-Q2</v>
      </c>
      <c r="T367" s="63" t="str">
        <f t="shared" si="6"/>
        <v>2024-06</v>
      </c>
      <c r="U367" s="64" t="str">
        <f t="shared" si="7"/>
        <v>2024-H1</v>
      </c>
      <c r="V367" s="9" t="str">
        <f>VLOOKUP(B367,Bounties!A:E,2,FALSE)</f>
        <v>Paseo Testnet Bounty</v>
      </c>
    </row>
    <row r="368" hidden="1">
      <c r="A368" s="67">
        <f>HYPERLINK("https://polkadot.subsquare.io/treasury/child-bounties/1035", 1035)</f>
        <v>1035</v>
      </c>
      <c r="B368" s="1">
        <v>24.0</v>
      </c>
      <c r="C368" s="1" t="s">
        <v>2414</v>
      </c>
      <c r="D368" s="1" t="s">
        <v>639</v>
      </c>
      <c r="E368" s="5">
        <v>202.02</v>
      </c>
      <c r="F368" s="4">
        <v>1297.420495119095</v>
      </c>
      <c r="G368" s="1" t="s">
        <v>2463</v>
      </c>
      <c r="H368" s="95">
        <v>45409.0</v>
      </c>
      <c r="I368" s="95">
        <v>45423.0</v>
      </c>
      <c r="J368" s="4">
        <v>1308.8677543830872</v>
      </c>
      <c r="K368" s="1"/>
      <c r="L368" s="1"/>
      <c r="M368" s="1" t="str">
        <f>VLOOKUP(B368,Bounties!A:D,3,FALSE)</f>
        <v>Outreach</v>
      </c>
      <c r="N368" s="1" t="str">
        <f>VLOOKUP(B368,Bounties!A:D,4,FALSE)</f>
        <v>Community Building</v>
      </c>
      <c r="O368" s="1" t="str">
        <f t="shared" ref="O368:P368" si="372">IF(ISBLANK(K368),M368,K368)</f>
        <v>Outreach</v>
      </c>
      <c r="P368" s="1" t="str">
        <f t="shared" si="372"/>
        <v>Community Building</v>
      </c>
      <c r="Q368" s="61" t="str">
        <f t="shared" si="3"/>
        <v>2024</v>
      </c>
      <c r="R368" s="62">
        <f t="shared" si="4"/>
        <v>5</v>
      </c>
      <c r="S368" s="61" t="str">
        <f t="shared" si="5"/>
        <v>2024-Q2</v>
      </c>
      <c r="T368" s="63" t="str">
        <f t="shared" si="6"/>
        <v>2024-05</v>
      </c>
      <c r="U368" s="64" t="str">
        <f t="shared" si="7"/>
        <v>2024-H1</v>
      </c>
      <c r="V368" s="9" t="str">
        <f>VLOOKUP(B368,Bounties!A:E,2,FALSE)</f>
        <v>Moderation Team Bounty</v>
      </c>
    </row>
    <row r="369" hidden="1">
      <c r="A369" s="67">
        <f>HYPERLINK("https://polkadot.subsquare.io/treasury/child-bounties/1034", 1034)</f>
        <v>1034</v>
      </c>
      <c r="B369" s="1">
        <v>24.0</v>
      </c>
      <c r="C369" s="1" t="s">
        <v>2414</v>
      </c>
      <c r="D369" s="1" t="s">
        <v>638</v>
      </c>
      <c r="E369" s="5">
        <v>221.5</v>
      </c>
      <c r="F369" s="4">
        <v>1422.5256888866425</v>
      </c>
      <c r="G369" s="1" t="s">
        <v>2433</v>
      </c>
      <c r="H369" s="95">
        <v>45409.0</v>
      </c>
      <c r="I369" s="95">
        <v>45417.0</v>
      </c>
      <c r="J369" s="4">
        <v>1548.3113541603088</v>
      </c>
      <c r="K369" s="1"/>
      <c r="L369" s="1"/>
      <c r="M369" s="1" t="str">
        <f>VLOOKUP(B369,Bounties!A:D,3,FALSE)</f>
        <v>Outreach</v>
      </c>
      <c r="N369" s="1" t="str">
        <f>VLOOKUP(B369,Bounties!A:D,4,FALSE)</f>
        <v>Community Building</v>
      </c>
      <c r="O369" s="1" t="str">
        <f t="shared" ref="O369:P369" si="373">IF(ISBLANK(K369),M369,K369)</f>
        <v>Outreach</v>
      </c>
      <c r="P369" s="1" t="str">
        <f t="shared" si="373"/>
        <v>Community Building</v>
      </c>
      <c r="Q369" s="61" t="str">
        <f t="shared" si="3"/>
        <v>2024</v>
      </c>
      <c r="R369" s="62">
        <f t="shared" si="4"/>
        <v>5</v>
      </c>
      <c r="S369" s="61" t="str">
        <f t="shared" si="5"/>
        <v>2024-Q2</v>
      </c>
      <c r="T369" s="63" t="str">
        <f t="shared" si="6"/>
        <v>2024-05</v>
      </c>
      <c r="U369" s="64" t="str">
        <f t="shared" si="7"/>
        <v>2024-H1</v>
      </c>
      <c r="V369" s="9" t="str">
        <f>VLOOKUP(B369,Bounties!A:E,2,FALSE)</f>
        <v>Moderation Team Bounty</v>
      </c>
    </row>
    <row r="370" hidden="1">
      <c r="A370" s="67">
        <f>HYPERLINK("https://polkadot.subsquare.io/treasury/child-bounties/1033", 1033)</f>
        <v>1033</v>
      </c>
      <c r="B370" s="1">
        <v>24.0</v>
      </c>
      <c r="C370" s="1" t="s">
        <v>2414</v>
      </c>
      <c r="D370" s="1" t="s">
        <v>637</v>
      </c>
      <c r="E370" s="5">
        <v>202.02</v>
      </c>
      <c r="F370" s="4">
        <v>1297.420495119095</v>
      </c>
      <c r="G370" s="1" t="s">
        <v>2438</v>
      </c>
      <c r="H370" s="95">
        <v>45409.0</v>
      </c>
      <c r="I370" s="95">
        <v>45417.0</v>
      </c>
      <c r="J370" s="4">
        <v>1412.1438364219666</v>
      </c>
      <c r="K370" s="1"/>
      <c r="L370" s="1"/>
      <c r="M370" s="1" t="str">
        <f>VLOOKUP(B370,Bounties!A:D,3,FALSE)</f>
        <v>Outreach</v>
      </c>
      <c r="N370" s="1" t="str">
        <f>VLOOKUP(B370,Bounties!A:D,4,FALSE)</f>
        <v>Community Building</v>
      </c>
      <c r="O370" s="1" t="str">
        <f t="shared" ref="O370:P370" si="374">IF(ISBLANK(K370),M370,K370)</f>
        <v>Outreach</v>
      </c>
      <c r="P370" s="1" t="str">
        <f t="shared" si="374"/>
        <v>Community Building</v>
      </c>
      <c r="Q370" s="61" t="str">
        <f t="shared" si="3"/>
        <v>2024</v>
      </c>
      <c r="R370" s="62">
        <f t="shared" si="4"/>
        <v>5</v>
      </c>
      <c r="S370" s="61" t="str">
        <f t="shared" si="5"/>
        <v>2024-Q2</v>
      </c>
      <c r="T370" s="63" t="str">
        <f t="shared" si="6"/>
        <v>2024-05</v>
      </c>
      <c r="U370" s="64" t="str">
        <f t="shared" si="7"/>
        <v>2024-H1</v>
      </c>
      <c r="V370" s="9" t="str">
        <f>VLOOKUP(B370,Bounties!A:E,2,FALSE)</f>
        <v>Moderation Team Bounty</v>
      </c>
    </row>
    <row r="371" hidden="1">
      <c r="A371" s="67">
        <f>HYPERLINK("https://polkadot.subsquare.io/treasury/child-bounties/1032", 1032)</f>
        <v>1032</v>
      </c>
      <c r="B371" s="1">
        <v>24.0</v>
      </c>
      <c r="C371" s="1" t="s">
        <v>2414</v>
      </c>
      <c r="D371" s="1" t="s">
        <v>636</v>
      </c>
      <c r="E371" s="5">
        <v>202.02</v>
      </c>
      <c r="F371" s="4">
        <v>1297.420495119095</v>
      </c>
      <c r="G371" s="1" t="s">
        <v>2528</v>
      </c>
      <c r="H371" s="95">
        <v>45409.0</v>
      </c>
      <c r="I371" s="95">
        <v>45417.0</v>
      </c>
      <c r="J371" s="4">
        <v>1412.1438364219666</v>
      </c>
      <c r="K371" s="1"/>
      <c r="L371" s="1"/>
      <c r="M371" s="1" t="str">
        <f>VLOOKUP(B371,Bounties!A:D,3,FALSE)</f>
        <v>Outreach</v>
      </c>
      <c r="N371" s="1" t="str">
        <f>VLOOKUP(B371,Bounties!A:D,4,FALSE)</f>
        <v>Community Building</v>
      </c>
      <c r="O371" s="1" t="str">
        <f t="shared" ref="O371:P371" si="375">IF(ISBLANK(K371),M371,K371)</f>
        <v>Outreach</v>
      </c>
      <c r="P371" s="1" t="str">
        <f t="shared" si="375"/>
        <v>Community Building</v>
      </c>
      <c r="Q371" s="61" t="str">
        <f t="shared" si="3"/>
        <v>2024</v>
      </c>
      <c r="R371" s="62">
        <f t="shared" si="4"/>
        <v>5</v>
      </c>
      <c r="S371" s="61" t="str">
        <f t="shared" si="5"/>
        <v>2024-Q2</v>
      </c>
      <c r="T371" s="63" t="str">
        <f t="shared" si="6"/>
        <v>2024-05</v>
      </c>
      <c r="U371" s="64" t="str">
        <f t="shared" si="7"/>
        <v>2024-H1</v>
      </c>
      <c r="V371" s="9" t="str">
        <f>VLOOKUP(B371,Bounties!A:E,2,FALSE)</f>
        <v>Moderation Team Bounty</v>
      </c>
    </row>
    <row r="372" hidden="1">
      <c r="A372" s="67">
        <f>HYPERLINK("https://polkadot.subsquare.io/treasury/child-bounties/1031", 1031)</f>
        <v>1031</v>
      </c>
      <c r="B372" s="1">
        <v>24.0</v>
      </c>
      <c r="C372" s="1" t="s">
        <v>2414</v>
      </c>
      <c r="D372" s="1" t="s">
        <v>635</v>
      </c>
      <c r="E372" s="5">
        <v>201.27</v>
      </c>
      <c r="F372" s="4">
        <v>1326.7180966472627</v>
      </c>
      <c r="G372" s="1" t="s">
        <v>2437</v>
      </c>
      <c r="H372" s="95">
        <v>45408.0</v>
      </c>
      <c r="I372" s="95">
        <v>45417.0</v>
      </c>
      <c r="J372" s="4">
        <v>1406.9012471866608</v>
      </c>
      <c r="K372" s="1"/>
      <c r="L372" s="1"/>
      <c r="M372" s="1" t="str">
        <f>VLOOKUP(B372,Bounties!A:D,3,FALSE)</f>
        <v>Outreach</v>
      </c>
      <c r="N372" s="1" t="str">
        <f>VLOOKUP(B372,Bounties!A:D,4,FALSE)</f>
        <v>Community Building</v>
      </c>
      <c r="O372" s="1" t="str">
        <f t="shared" ref="O372:P372" si="376">IF(ISBLANK(K372),M372,K372)</f>
        <v>Outreach</v>
      </c>
      <c r="P372" s="1" t="str">
        <f t="shared" si="376"/>
        <v>Community Building</v>
      </c>
      <c r="Q372" s="61" t="str">
        <f t="shared" si="3"/>
        <v>2024</v>
      </c>
      <c r="R372" s="62">
        <f t="shared" si="4"/>
        <v>5</v>
      </c>
      <c r="S372" s="61" t="str">
        <f t="shared" si="5"/>
        <v>2024-Q2</v>
      </c>
      <c r="T372" s="63" t="str">
        <f t="shared" si="6"/>
        <v>2024-05</v>
      </c>
      <c r="U372" s="64" t="str">
        <f t="shared" si="7"/>
        <v>2024-H1</v>
      </c>
      <c r="V372" s="9" t="str">
        <f>VLOOKUP(B372,Bounties!A:E,2,FALSE)</f>
        <v>Moderation Team Bounty</v>
      </c>
    </row>
    <row r="373" hidden="1">
      <c r="A373" s="67">
        <f>HYPERLINK("https://polkadot.subsquare.io/treasury/child-bounties/1030", 1030)</f>
        <v>1030</v>
      </c>
      <c r="B373" s="1">
        <v>24.0</v>
      </c>
      <c r="C373" s="1" t="s">
        <v>2414</v>
      </c>
      <c r="D373" s="1" t="s">
        <v>634</v>
      </c>
      <c r="E373" s="5">
        <v>201.27</v>
      </c>
      <c r="F373" s="4">
        <v>1326.7180966472627</v>
      </c>
      <c r="G373" s="1" t="s">
        <v>2535</v>
      </c>
      <c r="H373" s="95">
        <v>45408.0</v>
      </c>
      <c r="I373" s="95">
        <v>45422.0</v>
      </c>
      <c r="J373" s="4">
        <v>1332.4836755132676</v>
      </c>
      <c r="K373" s="1"/>
      <c r="L373" s="1"/>
      <c r="M373" s="1" t="str">
        <f>VLOOKUP(B373,Bounties!A:D,3,FALSE)</f>
        <v>Outreach</v>
      </c>
      <c r="N373" s="1" t="str">
        <f>VLOOKUP(B373,Bounties!A:D,4,FALSE)</f>
        <v>Community Building</v>
      </c>
      <c r="O373" s="1" t="str">
        <f t="shared" ref="O373:P373" si="377">IF(ISBLANK(K373),M373,K373)</f>
        <v>Outreach</v>
      </c>
      <c r="P373" s="1" t="str">
        <f t="shared" si="377"/>
        <v>Community Building</v>
      </c>
      <c r="Q373" s="61" t="str">
        <f t="shared" si="3"/>
        <v>2024</v>
      </c>
      <c r="R373" s="62">
        <f t="shared" si="4"/>
        <v>5</v>
      </c>
      <c r="S373" s="61" t="str">
        <f t="shared" si="5"/>
        <v>2024-Q2</v>
      </c>
      <c r="T373" s="63" t="str">
        <f t="shared" si="6"/>
        <v>2024-05</v>
      </c>
      <c r="U373" s="64" t="str">
        <f t="shared" si="7"/>
        <v>2024-H1</v>
      </c>
      <c r="V373" s="9" t="str">
        <f>VLOOKUP(B373,Bounties!A:E,2,FALSE)</f>
        <v>Moderation Team Bounty</v>
      </c>
    </row>
    <row r="374" hidden="1">
      <c r="A374" s="67">
        <f>HYPERLINK("https://polkadot.subsquare.io/treasury/child-bounties/1029", 1029)</f>
        <v>1029</v>
      </c>
      <c r="B374" s="1">
        <v>24.0</v>
      </c>
      <c r="C374" s="1" t="s">
        <v>2414</v>
      </c>
      <c r="D374" s="1" t="s">
        <v>633</v>
      </c>
      <c r="E374" s="5">
        <v>201.27</v>
      </c>
      <c r="F374" s="4">
        <v>1326.7180966472627</v>
      </c>
      <c r="G374" s="1" t="s">
        <v>2524</v>
      </c>
      <c r="H374" s="95">
        <v>45408.0</v>
      </c>
      <c r="I374" s="95">
        <v>45417.0</v>
      </c>
      <c r="J374" s="4">
        <v>1406.9012471866608</v>
      </c>
      <c r="K374" s="1"/>
      <c r="L374" s="1"/>
      <c r="M374" s="1" t="str">
        <f>VLOOKUP(B374,Bounties!A:D,3,FALSE)</f>
        <v>Outreach</v>
      </c>
      <c r="N374" s="1" t="str">
        <f>VLOOKUP(B374,Bounties!A:D,4,FALSE)</f>
        <v>Community Building</v>
      </c>
      <c r="O374" s="1" t="str">
        <f t="shared" ref="O374:P374" si="378">IF(ISBLANK(K374),M374,K374)</f>
        <v>Outreach</v>
      </c>
      <c r="P374" s="1" t="str">
        <f t="shared" si="378"/>
        <v>Community Building</v>
      </c>
      <c r="Q374" s="61" t="str">
        <f t="shared" si="3"/>
        <v>2024</v>
      </c>
      <c r="R374" s="62">
        <f t="shared" si="4"/>
        <v>5</v>
      </c>
      <c r="S374" s="61" t="str">
        <f t="shared" si="5"/>
        <v>2024-Q2</v>
      </c>
      <c r="T374" s="63" t="str">
        <f t="shared" si="6"/>
        <v>2024-05</v>
      </c>
      <c r="U374" s="64" t="str">
        <f t="shared" si="7"/>
        <v>2024-H1</v>
      </c>
      <c r="V374" s="9" t="str">
        <f>VLOOKUP(B374,Bounties!A:E,2,FALSE)</f>
        <v>Moderation Team Bounty</v>
      </c>
    </row>
    <row r="375" hidden="1">
      <c r="A375" s="67">
        <f>HYPERLINK("https://polkadot.subsquare.io/treasury/child-bounties/1028", 1028)</f>
        <v>1028</v>
      </c>
      <c r="B375" s="1">
        <v>24.0</v>
      </c>
      <c r="C375" s="1" t="s">
        <v>2414</v>
      </c>
      <c r="D375" s="1" t="s">
        <v>632</v>
      </c>
      <c r="E375" s="5">
        <v>201.27</v>
      </c>
      <c r="F375" s="4">
        <v>1326.7180966472627</v>
      </c>
      <c r="G375" s="1" t="s">
        <v>2497</v>
      </c>
      <c r="H375" s="95">
        <v>45408.0</v>
      </c>
      <c r="I375" s="95">
        <v>45457.0</v>
      </c>
      <c r="J375" s="4">
        <v>1222.4968730020523</v>
      </c>
      <c r="K375" s="1"/>
      <c r="L375" s="1"/>
      <c r="M375" s="1" t="str">
        <f>VLOOKUP(B375,Bounties!A:D,3,FALSE)</f>
        <v>Outreach</v>
      </c>
      <c r="N375" s="1" t="str">
        <f>VLOOKUP(B375,Bounties!A:D,4,FALSE)</f>
        <v>Community Building</v>
      </c>
      <c r="O375" s="1" t="str">
        <f t="shared" ref="O375:P375" si="379">IF(ISBLANK(K375),M375,K375)</f>
        <v>Outreach</v>
      </c>
      <c r="P375" s="1" t="str">
        <f t="shared" si="379"/>
        <v>Community Building</v>
      </c>
      <c r="Q375" s="61" t="str">
        <f t="shared" si="3"/>
        <v>2024</v>
      </c>
      <c r="R375" s="62">
        <f t="shared" si="4"/>
        <v>6</v>
      </c>
      <c r="S375" s="61" t="str">
        <f t="shared" si="5"/>
        <v>2024-Q2</v>
      </c>
      <c r="T375" s="63" t="str">
        <f t="shared" si="6"/>
        <v>2024-06</v>
      </c>
      <c r="U375" s="64" t="str">
        <f t="shared" si="7"/>
        <v>2024-H1</v>
      </c>
      <c r="V375" s="9" t="str">
        <f>VLOOKUP(B375,Bounties!A:E,2,FALSE)</f>
        <v>Moderation Team Bounty</v>
      </c>
    </row>
    <row r="376" hidden="1">
      <c r="A376" s="67">
        <f>HYPERLINK("https://polkadot.subsquare.io/treasury/child-bounties/1027", 1027)</f>
        <v>1027</v>
      </c>
      <c r="B376" s="1">
        <v>24.0</v>
      </c>
      <c r="C376" s="1" t="s">
        <v>2414</v>
      </c>
      <c r="D376" s="1" t="s">
        <v>631</v>
      </c>
      <c r="E376" s="5">
        <v>220.67</v>
      </c>
      <c r="F376" s="4">
        <v>1454.597716436386</v>
      </c>
      <c r="G376" s="1" t="s">
        <v>2534</v>
      </c>
      <c r="H376" s="95">
        <v>45408.0</v>
      </c>
      <c r="I376" s="95">
        <v>45417.0</v>
      </c>
      <c r="J376" s="4">
        <v>1542.5095554065704</v>
      </c>
      <c r="K376" s="1"/>
      <c r="L376" s="1"/>
      <c r="M376" s="1" t="str">
        <f>VLOOKUP(B376,Bounties!A:D,3,FALSE)</f>
        <v>Outreach</v>
      </c>
      <c r="N376" s="1" t="str">
        <f>VLOOKUP(B376,Bounties!A:D,4,FALSE)</f>
        <v>Community Building</v>
      </c>
      <c r="O376" s="1" t="str">
        <f t="shared" ref="O376:P376" si="380">IF(ISBLANK(K376),M376,K376)</f>
        <v>Outreach</v>
      </c>
      <c r="P376" s="1" t="str">
        <f t="shared" si="380"/>
        <v>Community Building</v>
      </c>
      <c r="Q376" s="61" t="str">
        <f t="shared" si="3"/>
        <v>2024</v>
      </c>
      <c r="R376" s="62">
        <f t="shared" si="4"/>
        <v>5</v>
      </c>
      <c r="S376" s="61" t="str">
        <f t="shared" si="5"/>
        <v>2024-Q2</v>
      </c>
      <c r="T376" s="63" t="str">
        <f t="shared" si="6"/>
        <v>2024-05</v>
      </c>
      <c r="U376" s="64" t="str">
        <f t="shared" si="7"/>
        <v>2024-H1</v>
      </c>
      <c r="V376" s="9" t="str">
        <f>VLOOKUP(B376,Bounties!A:E,2,FALSE)</f>
        <v>Moderation Team Bounty</v>
      </c>
    </row>
    <row r="377" hidden="1">
      <c r="A377" s="67">
        <f>HYPERLINK("https://polkadot.subsquare.io/treasury/child-bounties/1026", 1026)</f>
        <v>1026</v>
      </c>
      <c r="B377" s="1">
        <v>24.0</v>
      </c>
      <c r="C377" s="1" t="s">
        <v>2414</v>
      </c>
      <c r="D377" s="1" t="s">
        <v>630</v>
      </c>
      <c r="E377" s="5">
        <v>201.27</v>
      </c>
      <c r="F377" s="4">
        <v>1326.7180966472627</v>
      </c>
      <c r="G377" s="1" t="s">
        <v>2548</v>
      </c>
      <c r="H377" s="95">
        <v>45408.0</v>
      </c>
      <c r="I377" s="95">
        <v>45417.0</v>
      </c>
      <c r="J377" s="4">
        <v>1408.233640551567</v>
      </c>
      <c r="K377" s="1"/>
      <c r="L377" s="1"/>
      <c r="M377" s="1" t="str">
        <f>VLOOKUP(B377,Bounties!A:D,3,FALSE)</f>
        <v>Outreach</v>
      </c>
      <c r="N377" s="1" t="str">
        <f>VLOOKUP(B377,Bounties!A:D,4,FALSE)</f>
        <v>Community Building</v>
      </c>
      <c r="O377" s="1" t="str">
        <f t="shared" ref="O377:P377" si="381">IF(ISBLANK(K377),M377,K377)</f>
        <v>Outreach</v>
      </c>
      <c r="P377" s="1" t="str">
        <f t="shared" si="381"/>
        <v>Community Building</v>
      </c>
      <c r="Q377" s="61" t="str">
        <f t="shared" si="3"/>
        <v>2024</v>
      </c>
      <c r="R377" s="62">
        <f t="shared" si="4"/>
        <v>5</v>
      </c>
      <c r="S377" s="61" t="str">
        <f t="shared" si="5"/>
        <v>2024-Q2</v>
      </c>
      <c r="T377" s="63" t="str">
        <f t="shared" si="6"/>
        <v>2024-05</v>
      </c>
      <c r="U377" s="64" t="str">
        <f t="shared" si="7"/>
        <v>2024-H1</v>
      </c>
      <c r="V377" s="9" t="str">
        <f>VLOOKUP(B377,Bounties!A:E,2,FALSE)</f>
        <v>Moderation Team Bounty</v>
      </c>
    </row>
    <row r="378" hidden="1">
      <c r="A378" s="67">
        <f>HYPERLINK("https://polkadot.subsquare.io/treasury/child-bounties/1025", 1025)</f>
        <v>1025</v>
      </c>
      <c r="B378" s="1">
        <v>24.0</v>
      </c>
      <c r="C378" s="1" t="s">
        <v>2414</v>
      </c>
      <c r="D378" s="1" t="s">
        <v>629</v>
      </c>
      <c r="E378" s="5">
        <v>237.21</v>
      </c>
      <c r="F378" s="4">
        <v>1563.6249799060822</v>
      </c>
      <c r="G378" s="1" t="s">
        <v>2549</v>
      </c>
      <c r="H378" s="95">
        <v>45408.0</v>
      </c>
      <c r="I378" s="95">
        <v>45428.0</v>
      </c>
      <c r="J378" s="4">
        <v>1645.6526320695878</v>
      </c>
      <c r="K378" s="1"/>
      <c r="L378" s="1"/>
      <c r="M378" s="1" t="str">
        <f>VLOOKUP(B378,Bounties!A:D,3,FALSE)</f>
        <v>Outreach</v>
      </c>
      <c r="N378" s="1" t="str">
        <f>VLOOKUP(B378,Bounties!A:D,4,FALSE)</f>
        <v>Community Building</v>
      </c>
      <c r="O378" s="1" t="str">
        <f t="shared" ref="O378:P378" si="382">IF(ISBLANK(K378),M378,K378)</f>
        <v>Outreach</v>
      </c>
      <c r="P378" s="1" t="str">
        <f t="shared" si="382"/>
        <v>Community Building</v>
      </c>
      <c r="Q378" s="61" t="str">
        <f t="shared" si="3"/>
        <v>2024</v>
      </c>
      <c r="R378" s="62">
        <f t="shared" si="4"/>
        <v>5</v>
      </c>
      <c r="S378" s="61" t="str">
        <f t="shared" si="5"/>
        <v>2024-Q2</v>
      </c>
      <c r="T378" s="63" t="str">
        <f t="shared" si="6"/>
        <v>2024-05</v>
      </c>
      <c r="U378" s="64" t="str">
        <f t="shared" si="7"/>
        <v>2024-H1</v>
      </c>
      <c r="V378" s="9" t="str">
        <f>VLOOKUP(B378,Bounties!A:E,2,FALSE)</f>
        <v>Moderation Team Bounty</v>
      </c>
    </row>
    <row r="379" hidden="1">
      <c r="A379" s="67">
        <f>HYPERLINK("https://polkadot.subsquare.io/treasury/child-bounties/1024", 1024)</f>
        <v>1024</v>
      </c>
      <c r="B379" s="1">
        <v>24.0</v>
      </c>
      <c r="C379" s="1" t="s">
        <v>2414</v>
      </c>
      <c r="D379" s="1" t="s">
        <v>628</v>
      </c>
      <c r="E379" s="5">
        <v>201.27</v>
      </c>
      <c r="F379" s="4">
        <v>1326.7180966472627</v>
      </c>
      <c r="G379" s="1" t="s">
        <v>2550</v>
      </c>
      <c r="H379" s="95">
        <v>45408.0</v>
      </c>
      <c r="I379" s="95">
        <v>45417.0</v>
      </c>
      <c r="J379" s="4">
        <v>1406.9012471866608</v>
      </c>
      <c r="K379" s="1"/>
      <c r="L379" s="1"/>
      <c r="M379" s="1" t="str">
        <f>VLOOKUP(B379,Bounties!A:D,3,FALSE)</f>
        <v>Outreach</v>
      </c>
      <c r="N379" s="1" t="str">
        <f>VLOOKUP(B379,Bounties!A:D,4,FALSE)</f>
        <v>Community Building</v>
      </c>
      <c r="O379" s="1" t="str">
        <f t="shared" ref="O379:P379" si="383">IF(ISBLANK(K379),M379,K379)</f>
        <v>Outreach</v>
      </c>
      <c r="P379" s="1" t="str">
        <f t="shared" si="383"/>
        <v>Community Building</v>
      </c>
      <c r="Q379" s="61" t="str">
        <f t="shared" si="3"/>
        <v>2024</v>
      </c>
      <c r="R379" s="62">
        <f t="shared" si="4"/>
        <v>5</v>
      </c>
      <c r="S379" s="61" t="str">
        <f t="shared" si="5"/>
        <v>2024-Q2</v>
      </c>
      <c r="T379" s="63" t="str">
        <f t="shared" si="6"/>
        <v>2024-05</v>
      </c>
      <c r="U379" s="64" t="str">
        <f t="shared" si="7"/>
        <v>2024-H1</v>
      </c>
      <c r="V379" s="9" t="str">
        <f>VLOOKUP(B379,Bounties!A:E,2,FALSE)</f>
        <v>Moderation Team Bounty</v>
      </c>
    </row>
    <row r="380" hidden="1">
      <c r="A380" s="67">
        <f>HYPERLINK("https://polkadot.subsquare.io/treasury/child-bounties/1023", 1023)</f>
        <v>1023</v>
      </c>
      <c r="B380" s="1">
        <v>24.0</v>
      </c>
      <c r="C380" s="1" t="s">
        <v>2414</v>
      </c>
      <c r="D380" s="1" t="s">
        <v>627</v>
      </c>
      <c r="E380" s="5">
        <v>201.27</v>
      </c>
      <c r="F380" s="4">
        <v>1326.7180966472627</v>
      </c>
      <c r="G380" s="1" t="s">
        <v>2551</v>
      </c>
      <c r="H380" s="95">
        <v>45408.0</v>
      </c>
      <c r="I380" s="95">
        <v>45416.0</v>
      </c>
      <c r="J380" s="4">
        <v>1408.233640551567</v>
      </c>
      <c r="K380" s="1"/>
      <c r="L380" s="1"/>
      <c r="M380" s="1" t="str">
        <f>VLOOKUP(B380,Bounties!A:D,3,FALSE)</f>
        <v>Outreach</v>
      </c>
      <c r="N380" s="1" t="str">
        <f>VLOOKUP(B380,Bounties!A:D,4,FALSE)</f>
        <v>Community Building</v>
      </c>
      <c r="O380" s="1" t="str">
        <f t="shared" ref="O380:P380" si="384">IF(ISBLANK(K380),M380,K380)</f>
        <v>Outreach</v>
      </c>
      <c r="P380" s="1" t="str">
        <f t="shared" si="384"/>
        <v>Community Building</v>
      </c>
      <c r="Q380" s="61" t="str">
        <f t="shared" si="3"/>
        <v>2024</v>
      </c>
      <c r="R380" s="62">
        <f t="shared" si="4"/>
        <v>5</v>
      </c>
      <c r="S380" s="61" t="str">
        <f t="shared" si="5"/>
        <v>2024-Q2</v>
      </c>
      <c r="T380" s="63" t="str">
        <f t="shared" si="6"/>
        <v>2024-05</v>
      </c>
      <c r="U380" s="64" t="str">
        <f t="shared" si="7"/>
        <v>2024-H1</v>
      </c>
      <c r="V380" s="9" t="str">
        <f>VLOOKUP(B380,Bounties!A:E,2,FALSE)</f>
        <v>Moderation Team Bounty</v>
      </c>
    </row>
    <row r="381" hidden="1">
      <c r="A381" s="67">
        <f>HYPERLINK("https://polkadot.subsquare.io/treasury/child-bounties/1022", 1022)</f>
        <v>1022</v>
      </c>
      <c r="B381" s="1">
        <v>24.0</v>
      </c>
      <c r="C381" s="1" t="s">
        <v>2414</v>
      </c>
      <c r="D381" s="1" t="s">
        <v>626</v>
      </c>
      <c r="E381" s="5">
        <v>19.41</v>
      </c>
      <c r="F381" s="4">
        <v>127.94553711891174</v>
      </c>
      <c r="G381" s="1" t="s">
        <v>2552</v>
      </c>
      <c r="H381" s="95">
        <v>45408.0</v>
      </c>
      <c r="I381" s="95">
        <v>45459.0</v>
      </c>
      <c r="J381" s="4">
        <v>112.46565228939056</v>
      </c>
      <c r="K381" s="1"/>
      <c r="L381" s="1"/>
      <c r="M381" s="1" t="str">
        <f>VLOOKUP(B381,Bounties!A:D,3,FALSE)</f>
        <v>Outreach</v>
      </c>
      <c r="N381" s="1" t="str">
        <f>VLOOKUP(B381,Bounties!A:D,4,FALSE)</f>
        <v>Community Building</v>
      </c>
      <c r="O381" s="1" t="str">
        <f t="shared" ref="O381:P381" si="385">IF(ISBLANK(K381),M381,K381)</f>
        <v>Outreach</v>
      </c>
      <c r="P381" s="1" t="str">
        <f t="shared" si="385"/>
        <v>Community Building</v>
      </c>
      <c r="Q381" s="61" t="str">
        <f t="shared" si="3"/>
        <v>2024</v>
      </c>
      <c r="R381" s="62">
        <f t="shared" si="4"/>
        <v>6</v>
      </c>
      <c r="S381" s="61" t="str">
        <f t="shared" si="5"/>
        <v>2024-Q2</v>
      </c>
      <c r="T381" s="63" t="str">
        <f t="shared" si="6"/>
        <v>2024-06</v>
      </c>
      <c r="U381" s="64" t="str">
        <f t="shared" si="7"/>
        <v>2024-H1</v>
      </c>
      <c r="V381" s="9" t="str">
        <f>VLOOKUP(B381,Bounties!A:E,2,FALSE)</f>
        <v>Moderation Team Bounty</v>
      </c>
    </row>
    <row r="382" hidden="1">
      <c r="A382" s="67">
        <f>HYPERLINK("https://polkadot.subsquare.io/treasury/child-bounties/1021", 1021)</f>
        <v>1021</v>
      </c>
      <c r="B382" s="1">
        <v>37.0</v>
      </c>
      <c r="C382" s="1" t="s">
        <v>2414</v>
      </c>
      <c r="D382" s="1" t="s">
        <v>625</v>
      </c>
      <c r="E382" s="5">
        <v>132.38</v>
      </c>
      <c r="F382" s="4">
        <v>900.0033020877838</v>
      </c>
      <c r="G382" s="1" t="s">
        <v>2599</v>
      </c>
      <c r="H382" s="95">
        <v>45406.0</v>
      </c>
      <c r="I382" s="95">
        <v>45419.0</v>
      </c>
      <c r="J382" s="4">
        <v>893.5599501037598</v>
      </c>
      <c r="K382" s="1"/>
      <c r="L382" s="1"/>
      <c r="M382" s="1" t="str">
        <f>VLOOKUP(B382,Bounties!A:D,3,FALSE)</f>
        <v>Operations</v>
      </c>
      <c r="N382" s="1" t="str">
        <f>VLOOKUP(B382,Bounties!A:D,4,FALSE)</f>
        <v>Infrastructure</v>
      </c>
      <c r="O382" s="1" t="str">
        <f t="shared" ref="O382:P382" si="386">IF(ISBLANK(K382),M382,K382)</f>
        <v>Operations</v>
      </c>
      <c r="P382" s="1" t="str">
        <f t="shared" si="386"/>
        <v>Infrastructure</v>
      </c>
      <c r="Q382" s="61" t="str">
        <f t="shared" si="3"/>
        <v>2024</v>
      </c>
      <c r="R382" s="62">
        <f t="shared" si="4"/>
        <v>5</v>
      </c>
      <c r="S382" s="61" t="str">
        <f t="shared" si="5"/>
        <v>2024-Q2</v>
      </c>
      <c r="T382" s="63" t="str">
        <f t="shared" si="6"/>
        <v>2024-05</v>
      </c>
      <c r="U382" s="64" t="str">
        <f t="shared" si="7"/>
        <v>2024-H1</v>
      </c>
      <c r="V382" s="9" t="str">
        <f>VLOOKUP(B382,Bounties!A:E,2,FALSE)</f>
        <v>Paseo Testnet Bounty</v>
      </c>
    </row>
    <row r="383" hidden="1">
      <c r="A383" s="67">
        <f>HYPERLINK("https://polkadot.subsquare.io/treasury/child-bounties/1020", 1020)</f>
        <v>1020</v>
      </c>
      <c r="B383" s="1">
        <v>37.0</v>
      </c>
      <c r="C383" s="1" t="s">
        <v>2414</v>
      </c>
      <c r="D383" s="1" t="s">
        <v>624</v>
      </c>
      <c r="E383" s="5">
        <v>31.62</v>
      </c>
      <c r="F383" s="4">
        <v>214.97283888816835</v>
      </c>
      <c r="G383" s="1" t="s">
        <v>2599</v>
      </c>
      <c r="H383" s="95">
        <v>45406.0</v>
      </c>
      <c r="I383" s="95">
        <v>45419.0</v>
      </c>
      <c r="J383" s="4">
        <v>213.43379379272463</v>
      </c>
      <c r="K383" s="1"/>
      <c r="L383" s="1"/>
      <c r="M383" s="1" t="str">
        <f>VLOOKUP(B383,Bounties!A:D,3,FALSE)</f>
        <v>Operations</v>
      </c>
      <c r="N383" s="1" t="str">
        <f>VLOOKUP(B383,Bounties!A:D,4,FALSE)</f>
        <v>Infrastructure</v>
      </c>
      <c r="O383" s="1" t="str">
        <f t="shared" ref="O383:P383" si="387">IF(ISBLANK(K383),M383,K383)</f>
        <v>Operations</v>
      </c>
      <c r="P383" s="1" t="str">
        <f t="shared" si="387"/>
        <v>Infrastructure</v>
      </c>
      <c r="Q383" s="61" t="str">
        <f t="shared" si="3"/>
        <v>2024</v>
      </c>
      <c r="R383" s="62">
        <f t="shared" si="4"/>
        <v>5</v>
      </c>
      <c r="S383" s="61" t="str">
        <f t="shared" si="5"/>
        <v>2024-Q2</v>
      </c>
      <c r="T383" s="63" t="str">
        <f t="shared" si="6"/>
        <v>2024-05</v>
      </c>
      <c r="U383" s="64" t="str">
        <f t="shared" si="7"/>
        <v>2024-H1</v>
      </c>
      <c r="V383" s="9" t="str">
        <f>VLOOKUP(B383,Bounties!A:E,2,FALSE)</f>
        <v>Paseo Testnet Bounty</v>
      </c>
    </row>
    <row r="384" hidden="1">
      <c r="A384" s="67">
        <f>HYPERLINK("https://polkadot.subsquare.io/treasury/child-bounties/1019", 1019)</f>
        <v>1019</v>
      </c>
      <c r="B384" s="1">
        <v>37.0</v>
      </c>
      <c r="C384" s="1" t="s">
        <v>2414</v>
      </c>
      <c r="D384" s="1" t="s">
        <v>623</v>
      </c>
      <c r="E384" s="5">
        <v>198.55</v>
      </c>
      <c r="F384" s="4">
        <v>1349.8689804315568</v>
      </c>
      <c r="G384" s="1" t="s">
        <v>2440</v>
      </c>
      <c r="H384" s="95">
        <v>45406.0</v>
      </c>
      <c r="I384" s="95">
        <v>45415.0</v>
      </c>
      <c r="J384" s="4">
        <v>1414.125120306015</v>
      </c>
      <c r="K384" s="1"/>
      <c r="L384" s="1"/>
      <c r="M384" s="1" t="str">
        <f>VLOOKUP(B384,Bounties!A:D,3,FALSE)</f>
        <v>Operations</v>
      </c>
      <c r="N384" s="1" t="str">
        <f>VLOOKUP(B384,Bounties!A:D,4,FALSE)</f>
        <v>Infrastructure</v>
      </c>
      <c r="O384" s="1" t="str">
        <f t="shared" ref="O384:P384" si="388">IF(ISBLANK(K384),M384,K384)</f>
        <v>Operations</v>
      </c>
      <c r="P384" s="1" t="str">
        <f t="shared" si="388"/>
        <v>Infrastructure</v>
      </c>
      <c r="Q384" s="61" t="str">
        <f t="shared" si="3"/>
        <v>2024</v>
      </c>
      <c r="R384" s="62">
        <f t="shared" si="4"/>
        <v>5</v>
      </c>
      <c r="S384" s="61" t="str">
        <f t="shared" si="5"/>
        <v>2024-Q2</v>
      </c>
      <c r="T384" s="63" t="str">
        <f t="shared" si="6"/>
        <v>2024-05</v>
      </c>
      <c r="U384" s="64" t="str">
        <f t="shared" si="7"/>
        <v>2024-H1</v>
      </c>
      <c r="V384" s="9" t="str">
        <f>VLOOKUP(B384,Bounties!A:E,2,FALSE)</f>
        <v>Paseo Testnet Bounty</v>
      </c>
    </row>
    <row r="385" hidden="1">
      <c r="A385" s="67">
        <f>HYPERLINK("https://polkadot.subsquare.io/treasury/child-bounties/1018", 1018)</f>
        <v>1018</v>
      </c>
      <c r="B385" s="1">
        <v>37.0</v>
      </c>
      <c r="C385" s="1" t="s">
        <v>2414</v>
      </c>
      <c r="D385" s="1" t="s">
        <v>622</v>
      </c>
      <c r="E385" s="5">
        <v>58.08</v>
      </c>
      <c r="F385" s="4">
        <v>394.86472114562986</v>
      </c>
      <c r="G385" s="1" t="s">
        <v>2440</v>
      </c>
      <c r="H385" s="95">
        <v>45406.0</v>
      </c>
      <c r="I385" s="95">
        <v>45415.0</v>
      </c>
      <c r="J385" s="4">
        <v>413.66097702026366</v>
      </c>
      <c r="K385" s="1"/>
      <c r="L385" s="1"/>
      <c r="M385" s="1" t="str">
        <f>VLOOKUP(B385,Bounties!A:D,3,FALSE)</f>
        <v>Operations</v>
      </c>
      <c r="N385" s="1" t="str">
        <f>VLOOKUP(B385,Bounties!A:D,4,FALSE)</f>
        <v>Infrastructure</v>
      </c>
      <c r="O385" s="1" t="str">
        <f t="shared" ref="O385:P385" si="389">IF(ISBLANK(K385),M385,K385)</f>
        <v>Operations</v>
      </c>
      <c r="P385" s="1" t="str">
        <f t="shared" si="389"/>
        <v>Infrastructure</v>
      </c>
      <c r="Q385" s="61" t="str">
        <f t="shared" si="3"/>
        <v>2024</v>
      </c>
      <c r="R385" s="62">
        <f t="shared" si="4"/>
        <v>5</v>
      </c>
      <c r="S385" s="61" t="str">
        <f t="shared" si="5"/>
        <v>2024-Q2</v>
      </c>
      <c r="T385" s="63" t="str">
        <f t="shared" si="6"/>
        <v>2024-05</v>
      </c>
      <c r="U385" s="64" t="str">
        <f t="shared" si="7"/>
        <v>2024-H1</v>
      </c>
      <c r="V385" s="9" t="str">
        <f>VLOOKUP(B385,Bounties!A:E,2,FALSE)</f>
        <v>Paseo Testnet Bounty</v>
      </c>
    </row>
    <row r="386" hidden="1">
      <c r="A386" s="67">
        <f>HYPERLINK("https://polkadot.subsquare.io/treasury/child-bounties/1017", 1017)</f>
        <v>1017</v>
      </c>
      <c r="B386" s="1">
        <v>17.0</v>
      </c>
      <c r="C386" s="1" t="s">
        <v>2414</v>
      </c>
      <c r="D386" s="1" t="s">
        <v>621</v>
      </c>
      <c r="E386" s="5">
        <v>230.37</v>
      </c>
      <c r="F386" s="4">
        <v>1556.8904175567627</v>
      </c>
      <c r="G386" s="1" t="s">
        <v>2600</v>
      </c>
      <c r="H386" s="95">
        <v>45406.0</v>
      </c>
      <c r="I386" s="95">
        <v>45417.0</v>
      </c>
      <c r="J386" s="4">
        <v>1610.3137095165253</v>
      </c>
      <c r="K386" s="1"/>
      <c r="L386" s="1"/>
      <c r="M386" s="1" t="str">
        <f>VLOOKUP(B386,Bounties!A:D,3,FALSE)</f>
        <v>Outreach</v>
      </c>
      <c r="N386" s="1" t="str">
        <f>VLOOKUP(B386,Bounties!A:D,4,FALSE)</f>
        <v>Events/Meetups</v>
      </c>
      <c r="O386" s="1" t="str">
        <f t="shared" ref="O386:P386" si="390">IF(ISBLANK(K386),M386,K386)</f>
        <v>Outreach</v>
      </c>
      <c r="P386" s="1" t="str">
        <f t="shared" si="390"/>
        <v>Events/Meetups</v>
      </c>
      <c r="Q386" s="61" t="str">
        <f t="shared" si="3"/>
        <v>2024</v>
      </c>
      <c r="R386" s="62">
        <f t="shared" si="4"/>
        <v>5</v>
      </c>
      <c r="S386" s="61" t="str">
        <f t="shared" si="5"/>
        <v>2024-Q2</v>
      </c>
      <c r="T386" s="63" t="str">
        <f t="shared" si="6"/>
        <v>2024-05</v>
      </c>
      <c r="U386" s="64" t="str">
        <f t="shared" si="7"/>
        <v>2024-H1</v>
      </c>
      <c r="V386" s="9" t="str">
        <f>VLOOKUP(B386,Bounties!A:E,2,FALSE)</f>
        <v>Events Bounty</v>
      </c>
    </row>
    <row r="387" hidden="1">
      <c r="A387" s="67">
        <f>HYPERLINK("https://polkadot.subsquare.io/treasury/child-bounties/1016", 1016)</f>
        <v>1016</v>
      </c>
      <c r="B387" s="1">
        <v>17.0</v>
      </c>
      <c r="C387" s="1" t="s">
        <v>2414</v>
      </c>
      <c r="D387" s="1" t="s">
        <v>620</v>
      </c>
      <c r="E387" s="5">
        <v>124.2</v>
      </c>
      <c r="F387" s="4">
        <v>839.3705337524415</v>
      </c>
      <c r="G387" s="1" t="s">
        <v>2601</v>
      </c>
      <c r="H387" s="95">
        <v>45406.0</v>
      </c>
      <c r="I387" s="95">
        <v>45417.0</v>
      </c>
      <c r="J387" s="4">
        <v>868.1727773666382</v>
      </c>
      <c r="K387" s="1"/>
      <c r="L387" s="1" t="s">
        <v>86</v>
      </c>
      <c r="M387" s="1" t="str">
        <f>VLOOKUP(B387,Bounties!A:D,3,FALSE)</f>
        <v>Outreach</v>
      </c>
      <c r="N387" s="1" t="str">
        <f>VLOOKUP(B387,Bounties!A:D,4,FALSE)</f>
        <v>Events/Meetups</v>
      </c>
      <c r="O387" s="1" t="str">
        <f t="shared" ref="O387:P387" si="391">IF(ISBLANK(K387),M387,K387)</f>
        <v>Outreach</v>
      </c>
      <c r="P387" s="1" t="str">
        <f t="shared" si="391"/>
        <v>Events/Conference Attendance &amp; Side Events</v>
      </c>
      <c r="Q387" s="61" t="str">
        <f t="shared" si="3"/>
        <v>2024</v>
      </c>
      <c r="R387" s="62">
        <f t="shared" si="4"/>
        <v>5</v>
      </c>
      <c r="S387" s="61" t="str">
        <f t="shared" si="5"/>
        <v>2024-Q2</v>
      </c>
      <c r="T387" s="63" t="str">
        <f t="shared" si="6"/>
        <v>2024-05</v>
      </c>
      <c r="U387" s="64" t="str">
        <f t="shared" si="7"/>
        <v>2024-H1</v>
      </c>
      <c r="V387" s="9" t="str">
        <f>VLOOKUP(B387,Bounties!A:E,2,FALSE)</f>
        <v>Events Bounty</v>
      </c>
    </row>
    <row r="388" hidden="1">
      <c r="A388" s="67">
        <f>HYPERLINK("https://polkadot.subsquare.io/treasury/child-bounties/1015", 1015)</f>
        <v>1015</v>
      </c>
      <c r="B388" s="1">
        <v>17.0</v>
      </c>
      <c r="C388" s="1" t="s">
        <v>2414</v>
      </c>
      <c r="D388" s="1" t="s">
        <v>619</v>
      </c>
      <c r="E388" s="5">
        <v>176.44</v>
      </c>
      <c r="F388" s="4">
        <v>1192.419782409668</v>
      </c>
      <c r="G388" s="1" t="s">
        <v>2602</v>
      </c>
      <c r="H388" s="95">
        <v>45406.0</v>
      </c>
      <c r="I388" s="95">
        <v>45418.0</v>
      </c>
      <c r="J388" s="4">
        <v>1233.3365929031372</v>
      </c>
      <c r="K388" s="1"/>
      <c r="L388" s="1"/>
      <c r="M388" s="1" t="str">
        <f>VLOOKUP(B388,Bounties!A:D,3,FALSE)</f>
        <v>Outreach</v>
      </c>
      <c r="N388" s="1" t="str">
        <f>VLOOKUP(B388,Bounties!A:D,4,FALSE)</f>
        <v>Events/Meetups</v>
      </c>
      <c r="O388" s="1" t="str">
        <f t="shared" ref="O388:P388" si="392">IF(ISBLANK(K388),M388,K388)</f>
        <v>Outreach</v>
      </c>
      <c r="P388" s="1" t="str">
        <f t="shared" si="392"/>
        <v>Events/Meetups</v>
      </c>
      <c r="Q388" s="61" t="str">
        <f t="shared" si="3"/>
        <v>2024</v>
      </c>
      <c r="R388" s="62">
        <f t="shared" si="4"/>
        <v>5</v>
      </c>
      <c r="S388" s="61" t="str">
        <f t="shared" si="5"/>
        <v>2024-Q2</v>
      </c>
      <c r="T388" s="63" t="str">
        <f t="shared" si="6"/>
        <v>2024-05</v>
      </c>
      <c r="U388" s="64" t="str">
        <f t="shared" si="7"/>
        <v>2024-H1</v>
      </c>
      <c r="V388" s="9" t="str">
        <f>VLOOKUP(B388,Bounties!A:E,2,FALSE)</f>
        <v>Events Bounty</v>
      </c>
    </row>
    <row r="389" hidden="1">
      <c r="A389" s="67">
        <f>HYPERLINK("https://polkadot.subsquare.io/treasury/child-bounties/1014", 1014)</f>
        <v>1014</v>
      </c>
      <c r="B389" s="1">
        <v>17.0</v>
      </c>
      <c r="C389" s="1" t="s">
        <v>2414</v>
      </c>
      <c r="D389" s="1" t="s">
        <v>618</v>
      </c>
      <c r="E389" s="5">
        <v>239.78</v>
      </c>
      <c r="F389" s="4">
        <v>1620.4852381896974</v>
      </c>
      <c r="G389" s="1" t="s">
        <v>2495</v>
      </c>
      <c r="H389" s="95">
        <v>45406.0</v>
      </c>
      <c r="I389" s="95">
        <v>45417.0</v>
      </c>
      <c r="J389" s="4">
        <v>1677.6780560016632</v>
      </c>
      <c r="K389" s="1"/>
      <c r="L389" s="1"/>
      <c r="M389" s="1" t="str">
        <f>VLOOKUP(B389,Bounties!A:D,3,FALSE)</f>
        <v>Outreach</v>
      </c>
      <c r="N389" s="1" t="str">
        <f>VLOOKUP(B389,Bounties!A:D,4,FALSE)</f>
        <v>Events/Meetups</v>
      </c>
      <c r="O389" s="1" t="str">
        <f t="shared" ref="O389:P389" si="393">IF(ISBLANK(K389),M389,K389)</f>
        <v>Outreach</v>
      </c>
      <c r="P389" s="1" t="str">
        <f t="shared" si="393"/>
        <v>Events/Meetups</v>
      </c>
      <c r="Q389" s="61" t="str">
        <f t="shared" si="3"/>
        <v>2024</v>
      </c>
      <c r="R389" s="62">
        <f t="shared" si="4"/>
        <v>5</v>
      </c>
      <c r="S389" s="61" t="str">
        <f t="shared" si="5"/>
        <v>2024-Q2</v>
      </c>
      <c r="T389" s="63" t="str">
        <f t="shared" si="6"/>
        <v>2024-05</v>
      </c>
      <c r="U389" s="64" t="str">
        <f t="shared" si="7"/>
        <v>2024-H1</v>
      </c>
      <c r="V389" s="9" t="str">
        <f>VLOOKUP(B389,Bounties!A:E,2,FALSE)</f>
        <v>Events Bounty</v>
      </c>
    </row>
    <row r="390" hidden="1">
      <c r="A390" s="67">
        <f>HYPERLINK("https://polkadot.subsquare.io/treasury/child-bounties/1013", 1013)</f>
        <v>1013</v>
      </c>
      <c r="B390" s="1">
        <v>17.0</v>
      </c>
      <c r="C390" s="1" t="s">
        <v>2414</v>
      </c>
      <c r="D390" s="1" t="s">
        <v>617</v>
      </c>
      <c r="E390" s="5">
        <v>42.7</v>
      </c>
      <c r="F390" s="4">
        <v>288.5758598327637</v>
      </c>
      <c r="G390" s="1" t="s">
        <v>2562</v>
      </c>
      <c r="H390" s="95">
        <v>45406.0</v>
      </c>
      <c r="I390" s="95">
        <v>45430.0</v>
      </c>
      <c r="J390" s="4">
        <v>323.45377459526065</v>
      </c>
      <c r="K390" s="1"/>
      <c r="L390" s="1"/>
      <c r="M390" s="1" t="str">
        <f>VLOOKUP(B390,Bounties!A:D,3,FALSE)</f>
        <v>Outreach</v>
      </c>
      <c r="N390" s="1" t="str">
        <f>VLOOKUP(B390,Bounties!A:D,4,FALSE)</f>
        <v>Events/Meetups</v>
      </c>
      <c r="O390" s="1" t="str">
        <f t="shared" ref="O390:P390" si="394">IF(ISBLANK(K390),M390,K390)</f>
        <v>Outreach</v>
      </c>
      <c r="P390" s="1" t="str">
        <f t="shared" si="394"/>
        <v>Events/Meetups</v>
      </c>
      <c r="Q390" s="61" t="str">
        <f t="shared" si="3"/>
        <v>2024</v>
      </c>
      <c r="R390" s="62">
        <f t="shared" si="4"/>
        <v>5</v>
      </c>
      <c r="S390" s="61" t="str">
        <f t="shared" si="5"/>
        <v>2024-Q2</v>
      </c>
      <c r="T390" s="63" t="str">
        <f t="shared" si="6"/>
        <v>2024-05</v>
      </c>
      <c r="U390" s="64" t="str">
        <f t="shared" si="7"/>
        <v>2024-H1</v>
      </c>
      <c r="V390" s="9" t="str">
        <f>VLOOKUP(B390,Bounties!A:E,2,FALSE)</f>
        <v>Events Bounty</v>
      </c>
    </row>
    <row r="391" hidden="1">
      <c r="A391" s="67">
        <f>HYPERLINK("https://polkadot.subsquare.io/treasury/child-bounties/1012", 1012)</f>
        <v>1012</v>
      </c>
      <c r="B391" s="1">
        <v>17.0</v>
      </c>
      <c r="C391" s="1" t="s">
        <v>2414</v>
      </c>
      <c r="D391" s="1" t="s">
        <v>616</v>
      </c>
      <c r="E391" s="5">
        <v>327.0</v>
      </c>
      <c r="F391" s="4">
        <v>2209.936912536621</v>
      </c>
      <c r="G391" s="1" t="s">
        <v>2603</v>
      </c>
      <c r="H391" s="95">
        <v>45406.0</v>
      </c>
      <c r="I391" s="95">
        <v>45418.0</v>
      </c>
      <c r="J391" s="4">
        <v>2305.389199733734</v>
      </c>
      <c r="K391" s="1"/>
      <c r="L391" s="1" t="s">
        <v>86</v>
      </c>
      <c r="M391" s="1" t="str">
        <f>VLOOKUP(B391,Bounties!A:D,3,FALSE)</f>
        <v>Outreach</v>
      </c>
      <c r="N391" s="1" t="str">
        <f>VLOOKUP(B391,Bounties!A:D,4,FALSE)</f>
        <v>Events/Meetups</v>
      </c>
      <c r="O391" s="1" t="str">
        <f t="shared" ref="O391:P391" si="395">IF(ISBLANK(K391),M391,K391)</f>
        <v>Outreach</v>
      </c>
      <c r="P391" s="1" t="str">
        <f t="shared" si="395"/>
        <v>Events/Conference Attendance &amp; Side Events</v>
      </c>
      <c r="Q391" s="61" t="str">
        <f t="shared" si="3"/>
        <v>2024</v>
      </c>
      <c r="R391" s="62">
        <f t="shared" si="4"/>
        <v>5</v>
      </c>
      <c r="S391" s="61" t="str">
        <f t="shared" si="5"/>
        <v>2024-Q2</v>
      </c>
      <c r="T391" s="63" t="str">
        <f t="shared" si="6"/>
        <v>2024-05</v>
      </c>
      <c r="U391" s="64" t="str">
        <f t="shared" si="7"/>
        <v>2024-H1</v>
      </c>
      <c r="V391" s="9" t="str">
        <f>VLOOKUP(B391,Bounties!A:E,2,FALSE)</f>
        <v>Events Bounty</v>
      </c>
    </row>
    <row r="392" hidden="1">
      <c r="A392" s="67">
        <f>HYPERLINK("https://polkadot.subsquare.io/treasury/child-bounties/1011", 1011)</f>
        <v>1011</v>
      </c>
      <c r="B392" s="1">
        <v>17.0</v>
      </c>
      <c r="C392" s="1" t="s">
        <v>2414</v>
      </c>
      <c r="D392" s="1" t="s">
        <v>615</v>
      </c>
      <c r="E392" s="5">
        <v>8219.47</v>
      </c>
      <c r="F392" s="4">
        <v>55548.96071708679</v>
      </c>
      <c r="G392" s="1" t="s">
        <v>2604</v>
      </c>
      <c r="H392" s="95">
        <v>45406.0</v>
      </c>
      <c r="I392" s="95">
        <v>45420.0</v>
      </c>
      <c r="J392" s="4">
        <v>54735.32352023601</v>
      </c>
      <c r="K392" s="1"/>
      <c r="L392" s="1" t="s">
        <v>86</v>
      </c>
      <c r="M392" s="1" t="str">
        <f>VLOOKUP(B392,Bounties!A:D,3,FALSE)</f>
        <v>Outreach</v>
      </c>
      <c r="N392" s="1" t="str">
        <f>VLOOKUP(B392,Bounties!A:D,4,FALSE)</f>
        <v>Events/Meetups</v>
      </c>
      <c r="O392" s="1" t="str">
        <f t="shared" ref="O392:P392" si="396">IF(ISBLANK(K392),M392,K392)</f>
        <v>Outreach</v>
      </c>
      <c r="P392" s="1" t="str">
        <f t="shared" si="396"/>
        <v>Events/Conference Attendance &amp; Side Events</v>
      </c>
      <c r="Q392" s="61" t="str">
        <f t="shared" si="3"/>
        <v>2024</v>
      </c>
      <c r="R392" s="62">
        <f t="shared" si="4"/>
        <v>5</v>
      </c>
      <c r="S392" s="61" t="str">
        <f t="shared" si="5"/>
        <v>2024-Q2</v>
      </c>
      <c r="T392" s="63" t="str">
        <f t="shared" si="6"/>
        <v>2024-05</v>
      </c>
      <c r="U392" s="64" t="str">
        <f t="shared" si="7"/>
        <v>2024-H1</v>
      </c>
      <c r="V392" s="9" t="str">
        <f>VLOOKUP(B392,Bounties!A:E,2,FALSE)</f>
        <v>Events Bounty</v>
      </c>
    </row>
    <row r="393" hidden="1">
      <c r="A393" s="67">
        <f>HYPERLINK("https://polkadot.subsquare.io/treasury/child-bounties/1010", 1010)</f>
        <v>1010</v>
      </c>
      <c r="B393" s="1">
        <v>17.0</v>
      </c>
      <c r="C393" s="1" t="s">
        <v>2414</v>
      </c>
      <c r="D393" s="1" t="s">
        <v>614</v>
      </c>
      <c r="E393" s="5">
        <v>1282.7</v>
      </c>
      <c r="F393" s="4">
        <v>8668.764763641359</v>
      </c>
      <c r="G393" s="1" t="s">
        <v>2605</v>
      </c>
      <c r="H393" s="95">
        <v>45406.0</v>
      </c>
      <c r="I393" s="95">
        <v>45417.0</v>
      </c>
      <c r="J393" s="4">
        <v>8966.225616168977</v>
      </c>
      <c r="K393" s="1"/>
      <c r="L393" s="1" t="s">
        <v>86</v>
      </c>
      <c r="M393" s="1" t="str">
        <f>VLOOKUP(B393,Bounties!A:D,3,FALSE)</f>
        <v>Outreach</v>
      </c>
      <c r="N393" s="1" t="str">
        <f>VLOOKUP(B393,Bounties!A:D,4,FALSE)</f>
        <v>Events/Meetups</v>
      </c>
      <c r="O393" s="1" t="str">
        <f t="shared" ref="O393:P393" si="397">IF(ISBLANK(K393),M393,K393)</f>
        <v>Outreach</v>
      </c>
      <c r="P393" s="1" t="str">
        <f t="shared" si="397"/>
        <v>Events/Conference Attendance &amp; Side Events</v>
      </c>
      <c r="Q393" s="61" t="str">
        <f t="shared" si="3"/>
        <v>2024</v>
      </c>
      <c r="R393" s="62">
        <f t="shared" si="4"/>
        <v>5</v>
      </c>
      <c r="S393" s="61" t="str">
        <f t="shared" si="5"/>
        <v>2024-Q2</v>
      </c>
      <c r="T393" s="63" t="str">
        <f t="shared" si="6"/>
        <v>2024-05</v>
      </c>
      <c r="U393" s="64" t="str">
        <f t="shared" si="7"/>
        <v>2024-H1</v>
      </c>
      <c r="V393" s="9" t="str">
        <f>VLOOKUP(B393,Bounties!A:E,2,FALSE)</f>
        <v>Events Bounty</v>
      </c>
    </row>
    <row r="394" hidden="1">
      <c r="A394" s="67">
        <f>HYPERLINK("https://polkadot.subsquare.io/treasury/child-bounties/1009", 1009)</f>
        <v>1009</v>
      </c>
      <c r="B394" s="1">
        <v>17.0</v>
      </c>
      <c r="C394" s="1" t="s">
        <v>2414</v>
      </c>
      <c r="D394" s="1" t="s">
        <v>613</v>
      </c>
      <c r="E394" s="5">
        <v>2743.39</v>
      </c>
      <c r="F394" s="4">
        <v>18540.42454582214</v>
      </c>
      <c r="G394" s="1" t="s">
        <v>2606</v>
      </c>
      <c r="H394" s="95">
        <v>45406.0</v>
      </c>
      <c r="I394" s="95">
        <v>45435.0</v>
      </c>
      <c r="J394" s="4">
        <v>20705.006443419454</v>
      </c>
      <c r="K394" s="1"/>
      <c r="L394" s="1" t="s">
        <v>86</v>
      </c>
      <c r="M394" s="1" t="str">
        <f>VLOOKUP(B394,Bounties!A:D,3,FALSE)</f>
        <v>Outreach</v>
      </c>
      <c r="N394" s="1" t="str">
        <f>VLOOKUP(B394,Bounties!A:D,4,FALSE)</f>
        <v>Events/Meetups</v>
      </c>
      <c r="O394" s="1" t="str">
        <f t="shared" ref="O394:P394" si="398">IF(ISBLANK(K394),M394,K394)</f>
        <v>Outreach</v>
      </c>
      <c r="P394" s="1" t="str">
        <f t="shared" si="398"/>
        <v>Events/Conference Attendance &amp; Side Events</v>
      </c>
      <c r="Q394" s="61" t="str">
        <f t="shared" si="3"/>
        <v>2024</v>
      </c>
      <c r="R394" s="62">
        <f t="shared" si="4"/>
        <v>5</v>
      </c>
      <c r="S394" s="61" t="str">
        <f t="shared" si="5"/>
        <v>2024-Q2</v>
      </c>
      <c r="T394" s="63" t="str">
        <f t="shared" si="6"/>
        <v>2024-05</v>
      </c>
      <c r="U394" s="64" t="str">
        <f t="shared" si="7"/>
        <v>2024-H1</v>
      </c>
      <c r="V394" s="9" t="str">
        <f>VLOOKUP(B394,Bounties!A:E,2,FALSE)</f>
        <v>Events Bounty</v>
      </c>
    </row>
    <row r="395" hidden="1">
      <c r="A395" s="67">
        <f>HYPERLINK("https://polkadot.subsquare.io/treasury/child-bounties/1008", 1008)</f>
        <v>1008</v>
      </c>
      <c r="B395" s="1">
        <v>17.0</v>
      </c>
      <c r="C395" s="1" t="s">
        <v>2414</v>
      </c>
      <c r="D395" s="1" t="s">
        <v>612</v>
      </c>
      <c r="E395" s="5">
        <v>844.67</v>
      </c>
      <c r="F395" s="4">
        <v>5708.463033370971</v>
      </c>
      <c r="G395" s="1" t="s">
        <v>2587</v>
      </c>
      <c r="H395" s="95">
        <v>45406.0</v>
      </c>
      <c r="I395" s="95">
        <v>45417.0</v>
      </c>
      <c r="J395" s="4">
        <v>5904.343799180984</v>
      </c>
      <c r="K395" s="1"/>
      <c r="L395" s="1" t="s">
        <v>86</v>
      </c>
      <c r="M395" s="1" t="str">
        <f>VLOOKUP(B395,Bounties!A:D,3,FALSE)</f>
        <v>Outreach</v>
      </c>
      <c r="N395" s="1" t="str">
        <f>VLOOKUP(B395,Bounties!A:D,4,FALSE)</f>
        <v>Events/Meetups</v>
      </c>
      <c r="O395" s="1" t="str">
        <f t="shared" ref="O395:P395" si="399">IF(ISBLANK(K395),M395,K395)</f>
        <v>Outreach</v>
      </c>
      <c r="P395" s="1" t="str">
        <f t="shared" si="399"/>
        <v>Events/Conference Attendance &amp; Side Events</v>
      </c>
      <c r="Q395" s="61" t="str">
        <f t="shared" si="3"/>
        <v>2024</v>
      </c>
      <c r="R395" s="62">
        <f t="shared" si="4"/>
        <v>5</v>
      </c>
      <c r="S395" s="61" t="str">
        <f t="shared" si="5"/>
        <v>2024-Q2</v>
      </c>
      <c r="T395" s="63" t="str">
        <f t="shared" si="6"/>
        <v>2024-05</v>
      </c>
      <c r="U395" s="64" t="str">
        <f t="shared" si="7"/>
        <v>2024-H1</v>
      </c>
      <c r="V395" s="9" t="str">
        <f>VLOOKUP(B395,Bounties!A:E,2,FALSE)</f>
        <v>Events Bounty</v>
      </c>
    </row>
    <row r="396" hidden="1">
      <c r="A396" s="67">
        <f>HYPERLINK("https://polkadot.subsquare.io/treasury/child-bounties/1007", 1007)</f>
        <v>1007</v>
      </c>
      <c r="B396" s="1">
        <v>17.0</v>
      </c>
      <c r="C396" s="1" t="s">
        <v>2414</v>
      </c>
      <c r="D396" s="1" t="s">
        <v>611</v>
      </c>
      <c r="E396" s="5">
        <v>193.29</v>
      </c>
      <c r="F396" s="4">
        <v>1306.295736465454</v>
      </c>
      <c r="G396" s="1" t="s">
        <v>2607</v>
      </c>
      <c r="H396" s="95">
        <v>45406.0</v>
      </c>
      <c r="I396" s="95">
        <v>45417.0</v>
      </c>
      <c r="J396" s="4">
        <v>1351.1200977230071</v>
      </c>
      <c r="K396" s="1"/>
      <c r="M396" s="1" t="str">
        <f>VLOOKUP(B396,Bounties!A:D,3,FALSE)</f>
        <v>Outreach</v>
      </c>
      <c r="N396" s="1" t="str">
        <f>VLOOKUP(B396,Bounties!A:D,4,FALSE)</f>
        <v>Events/Meetups</v>
      </c>
      <c r="O396" s="1" t="str">
        <f t="shared" ref="O396:P396" si="400">IF(ISBLANK(K396),M396,K396)</f>
        <v>Outreach</v>
      </c>
      <c r="P396" s="1" t="str">
        <f t="shared" si="400"/>
        <v>Events/Meetups</v>
      </c>
      <c r="Q396" s="61" t="str">
        <f t="shared" si="3"/>
        <v>2024</v>
      </c>
      <c r="R396" s="62">
        <f t="shared" si="4"/>
        <v>5</v>
      </c>
      <c r="S396" s="61" t="str">
        <f t="shared" si="5"/>
        <v>2024-Q2</v>
      </c>
      <c r="T396" s="63" t="str">
        <f t="shared" si="6"/>
        <v>2024-05</v>
      </c>
      <c r="U396" s="64" t="str">
        <f t="shared" si="7"/>
        <v>2024-H1</v>
      </c>
      <c r="V396" s="9" t="str">
        <f>VLOOKUP(B396,Bounties!A:E,2,FALSE)</f>
        <v>Events Bounty</v>
      </c>
    </row>
    <row r="397" hidden="1">
      <c r="A397" s="67">
        <f>HYPERLINK("https://polkadot.subsquare.io/treasury/child-bounties/1006", 1006)</f>
        <v>1006</v>
      </c>
      <c r="B397" s="1">
        <v>17.0</v>
      </c>
      <c r="C397" s="1" t="s">
        <v>2508</v>
      </c>
      <c r="D397" s="1" t="s">
        <v>2608</v>
      </c>
      <c r="E397" s="5">
        <v>5159.13</v>
      </c>
      <c r="F397" s="4">
        <v>34866.51933815003</v>
      </c>
      <c r="G397" s="1"/>
      <c r="H397" s="95">
        <v>45406.0</v>
      </c>
      <c r="I397" s="95">
        <v>45417.0</v>
      </c>
      <c r="J397" s="4">
        <v>36097.085616230965</v>
      </c>
      <c r="K397" s="1"/>
      <c r="L397" s="1"/>
      <c r="M397" s="1" t="str">
        <f>VLOOKUP(B397,Bounties!A:D,3,FALSE)</f>
        <v>Outreach</v>
      </c>
      <c r="N397" s="1" t="str">
        <f>VLOOKUP(B397,Bounties!A:D,4,FALSE)</f>
        <v>Events/Meetups</v>
      </c>
      <c r="O397" s="1" t="str">
        <f t="shared" ref="O397:P397" si="401">IF(ISBLANK(K397),M397,K397)</f>
        <v>Outreach</v>
      </c>
      <c r="P397" s="1" t="str">
        <f t="shared" si="401"/>
        <v>Events/Meetups</v>
      </c>
      <c r="Q397" s="61" t="str">
        <f t="shared" si="3"/>
        <v>2024</v>
      </c>
      <c r="R397" s="62">
        <f t="shared" si="4"/>
        <v>5</v>
      </c>
      <c r="S397" s="61" t="str">
        <f t="shared" si="5"/>
        <v>2024-Q2</v>
      </c>
      <c r="T397" s="63" t="str">
        <f t="shared" si="6"/>
        <v>2024-05</v>
      </c>
      <c r="U397" s="64" t="str">
        <f t="shared" si="7"/>
        <v>2024-H1</v>
      </c>
      <c r="V397" s="9" t="str">
        <f>VLOOKUP(B397,Bounties!A:E,2,FALSE)</f>
        <v>Events Bounty</v>
      </c>
    </row>
    <row r="398" hidden="1">
      <c r="A398" s="67">
        <f>HYPERLINK("https://polkadot.subsquare.io/treasury/child-bounties/1005", 1005)</f>
        <v>1005</v>
      </c>
      <c r="B398" s="1">
        <v>17.0</v>
      </c>
      <c r="C398" s="1" t="s">
        <v>2414</v>
      </c>
      <c r="D398" s="1" t="s">
        <v>610</v>
      </c>
      <c r="E398" s="5">
        <v>2155.77</v>
      </c>
      <c r="F398" s="4">
        <v>14569.161155776977</v>
      </c>
      <c r="G398" s="1" t="s">
        <v>2609</v>
      </c>
      <c r="H398" s="95">
        <v>45406.0</v>
      </c>
      <c r="I398" s="95">
        <v>45418.0</v>
      </c>
      <c r="J398" s="4">
        <v>15198.436926941871</v>
      </c>
      <c r="K398" s="1"/>
      <c r="L398" s="1" t="s">
        <v>86</v>
      </c>
      <c r="M398" s="1" t="str">
        <f>VLOOKUP(B398,Bounties!A:D,3,FALSE)</f>
        <v>Outreach</v>
      </c>
      <c r="N398" s="1" t="str">
        <f>VLOOKUP(B398,Bounties!A:D,4,FALSE)</f>
        <v>Events/Meetups</v>
      </c>
      <c r="O398" s="1" t="str">
        <f t="shared" ref="O398:P398" si="402">IF(ISBLANK(K398),M398,K398)</f>
        <v>Outreach</v>
      </c>
      <c r="P398" s="1" t="str">
        <f t="shared" si="402"/>
        <v>Events/Conference Attendance &amp; Side Events</v>
      </c>
      <c r="Q398" s="61" t="str">
        <f t="shared" si="3"/>
        <v>2024</v>
      </c>
      <c r="R398" s="62">
        <f t="shared" si="4"/>
        <v>5</v>
      </c>
      <c r="S398" s="61" t="str">
        <f t="shared" si="5"/>
        <v>2024-Q2</v>
      </c>
      <c r="T398" s="63" t="str">
        <f t="shared" si="6"/>
        <v>2024-05</v>
      </c>
      <c r="U398" s="64" t="str">
        <f t="shared" si="7"/>
        <v>2024-H1</v>
      </c>
      <c r="V398" s="9" t="str">
        <f>VLOOKUP(B398,Bounties!A:E,2,FALSE)</f>
        <v>Events Bounty</v>
      </c>
    </row>
    <row r="399" hidden="1">
      <c r="A399" s="67">
        <f>HYPERLINK("https://polkadot.subsquare.io/treasury/child-bounties/1004", 1004)</f>
        <v>1004</v>
      </c>
      <c r="B399" s="1">
        <v>33.0</v>
      </c>
      <c r="C399" s="1" t="s">
        <v>2414</v>
      </c>
      <c r="D399" s="1" t="s">
        <v>609</v>
      </c>
      <c r="E399" s="5">
        <v>726.21</v>
      </c>
      <c r="F399" s="4">
        <v>4907.884664382935</v>
      </c>
      <c r="G399" s="1" t="s">
        <v>2553</v>
      </c>
      <c r="H399" s="95">
        <v>45406.0</v>
      </c>
      <c r="I399" s="95">
        <v>45414.0</v>
      </c>
      <c r="J399" s="4">
        <v>5175.742196502686</v>
      </c>
      <c r="K399" s="1" t="s">
        <v>81</v>
      </c>
      <c r="L399" s="1" t="s">
        <v>87</v>
      </c>
      <c r="M399" s="1" t="str">
        <f>VLOOKUP(B399,Bounties!A:D,3,FALSE)</f>
        <v>Outreach</v>
      </c>
      <c r="N399" s="1" t="str">
        <f>VLOOKUP(B399,Bounties!A:D,4,FALSE)</f>
        <v>Advertising</v>
      </c>
      <c r="O399" s="1" t="str">
        <f t="shared" ref="O399:P399" si="403">IF(ISBLANK(K399),M399,K399)</f>
        <v>Outreach</v>
      </c>
      <c r="P399" s="1" t="str">
        <f t="shared" si="403"/>
        <v>Advertising/Digital Ads</v>
      </c>
      <c r="Q399" s="61" t="str">
        <f t="shared" si="3"/>
        <v>2024</v>
      </c>
      <c r="R399" s="62">
        <f t="shared" si="4"/>
        <v>5</v>
      </c>
      <c r="S399" s="61" t="str">
        <f t="shared" si="5"/>
        <v>2024-Q2</v>
      </c>
      <c r="T399" s="63" t="str">
        <f t="shared" si="6"/>
        <v>2024-05</v>
      </c>
      <c r="U399" s="64" t="str">
        <f t="shared" si="7"/>
        <v>2024-H1</v>
      </c>
      <c r="V399" s="9" t="str">
        <f>VLOOKUP(B399,Bounties!A:E,2,FALSE)</f>
        <v>Marketing Bounty</v>
      </c>
    </row>
    <row r="400" hidden="1">
      <c r="A400" s="67">
        <f>HYPERLINK("https://polkadot.subsquare.io/treasury/child-bounties/1003", 1003)</f>
        <v>1003</v>
      </c>
      <c r="B400" s="1">
        <v>31.0</v>
      </c>
      <c r="C400" s="1" t="s">
        <v>2414</v>
      </c>
      <c r="D400" s="1" t="s">
        <v>608</v>
      </c>
      <c r="E400" s="5">
        <v>558.699</v>
      </c>
      <c r="F400" s="4">
        <v>4047.5434813499446</v>
      </c>
      <c r="G400" s="1" t="s">
        <v>2569</v>
      </c>
      <c r="H400" s="95">
        <v>45402.0</v>
      </c>
      <c r="I400" s="95">
        <v>45413.0</v>
      </c>
      <c r="J400" s="4">
        <v>3981.881259475708</v>
      </c>
      <c r="K400" s="1"/>
      <c r="L400" s="1"/>
      <c r="M400" s="1" t="str">
        <f>VLOOKUP(B400,Bounties!A:D,3,FALSE)</f>
        <v>Operations</v>
      </c>
      <c r="N400" s="1" t="str">
        <f>VLOOKUP(B400,Bounties!A:D,4,FALSE)</f>
        <v>RPCs and Nodes</v>
      </c>
      <c r="O400" s="1" t="str">
        <f t="shared" ref="O400:P400" si="404">IF(ISBLANK(K400),M400,K400)</f>
        <v>Operations</v>
      </c>
      <c r="P400" s="1" t="str">
        <f t="shared" si="404"/>
        <v>RPCs and Nodes</v>
      </c>
      <c r="Q400" s="61" t="str">
        <f t="shared" si="3"/>
        <v>2024</v>
      </c>
      <c r="R400" s="62">
        <f t="shared" si="4"/>
        <v>5</v>
      </c>
      <c r="S400" s="61" t="str">
        <f t="shared" si="5"/>
        <v>2024-Q2</v>
      </c>
      <c r="T400" s="63" t="str">
        <f t="shared" si="6"/>
        <v>2024-05</v>
      </c>
      <c r="U400" s="64" t="str">
        <f t="shared" si="7"/>
        <v>2024-H1</v>
      </c>
      <c r="V400" s="9" t="str">
        <f>VLOOKUP(B400,Bounties!A:E,2,FALSE)</f>
        <v>Public RPCs for Relay and System Chains</v>
      </c>
    </row>
    <row r="401" hidden="1">
      <c r="A401" s="67">
        <f>HYPERLINK("https://polkadot.subsquare.io/treasury/child-bounties/1002", 1002)</f>
        <v>1002</v>
      </c>
      <c r="B401" s="1">
        <v>31.0</v>
      </c>
      <c r="C401" s="1" t="s">
        <v>2414</v>
      </c>
      <c r="D401" s="1" t="s">
        <v>607</v>
      </c>
      <c r="E401" s="5">
        <v>495.05</v>
      </c>
      <c r="F401" s="4">
        <v>3586.4327669143677</v>
      </c>
      <c r="G401" s="1" t="s">
        <v>2570</v>
      </c>
      <c r="H401" s="95">
        <v>45402.0</v>
      </c>
      <c r="I401" s="95">
        <v>45411.0</v>
      </c>
      <c r="J401" s="4">
        <v>3606.496772670746</v>
      </c>
      <c r="K401" s="1"/>
      <c r="L401" s="1"/>
      <c r="M401" s="1" t="str">
        <f>VLOOKUP(B401,Bounties!A:D,3,FALSE)</f>
        <v>Operations</v>
      </c>
      <c r="N401" s="1" t="str">
        <f>VLOOKUP(B401,Bounties!A:D,4,FALSE)</f>
        <v>RPCs and Nodes</v>
      </c>
      <c r="O401" s="1" t="str">
        <f t="shared" ref="O401:P401" si="405">IF(ISBLANK(K401),M401,K401)</f>
        <v>Operations</v>
      </c>
      <c r="P401" s="1" t="str">
        <f t="shared" si="405"/>
        <v>RPCs and Nodes</v>
      </c>
      <c r="Q401" s="61" t="str">
        <f t="shared" si="3"/>
        <v>2024</v>
      </c>
      <c r="R401" s="62">
        <f t="shared" si="4"/>
        <v>4</v>
      </c>
      <c r="S401" s="61" t="str">
        <f t="shared" si="5"/>
        <v>2024-Q2</v>
      </c>
      <c r="T401" s="63" t="str">
        <f t="shared" si="6"/>
        <v>2024-04</v>
      </c>
      <c r="U401" s="64" t="str">
        <f t="shared" si="7"/>
        <v>2024-H1</v>
      </c>
      <c r="V401" s="9" t="str">
        <f>VLOOKUP(B401,Bounties!A:E,2,FALSE)</f>
        <v>Public RPCs for Relay and System Chains</v>
      </c>
    </row>
    <row r="402" hidden="1">
      <c r="A402" s="67">
        <f>HYPERLINK("https://polkadot.subsquare.io/treasury/child-bounties/1001", 1001)</f>
        <v>1001</v>
      </c>
      <c r="B402" s="1">
        <v>31.0</v>
      </c>
      <c r="C402" s="1" t="s">
        <v>2460</v>
      </c>
      <c r="D402" s="1" t="s">
        <v>2610</v>
      </c>
      <c r="E402" s="5">
        <v>254.597</v>
      </c>
      <c r="F402" s="4">
        <v>1844.4501023292542</v>
      </c>
      <c r="G402" s="1" t="s">
        <v>2572</v>
      </c>
      <c r="H402" s="95">
        <v>45402.0</v>
      </c>
      <c r="I402" s="95">
        <v>45403.0</v>
      </c>
      <c r="J402" s="4">
        <v>1844.4501023292542</v>
      </c>
      <c r="K402" s="1"/>
      <c r="L402" s="1"/>
      <c r="M402" s="1" t="str">
        <f>VLOOKUP(B402,Bounties!A:D,3,FALSE)</f>
        <v>Operations</v>
      </c>
      <c r="N402" s="1" t="str">
        <f>VLOOKUP(B402,Bounties!A:D,4,FALSE)</f>
        <v>RPCs and Nodes</v>
      </c>
      <c r="O402" s="1" t="str">
        <f t="shared" ref="O402:P402" si="406">IF(ISBLANK(K402),M402,K402)</f>
        <v>Operations</v>
      </c>
      <c r="P402" s="1" t="str">
        <f t="shared" si="406"/>
        <v>RPCs and Nodes</v>
      </c>
      <c r="Q402" s="61" t="str">
        <f t="shared" si="3"/>
        <v>2024</v>
      </c>
      <c r="R402" s="62">
        <f t="shared" si="4"/>
        <v>4</v>
      </c>
      <c r="S402" s="61" t="str">
        <f t="shared" si="5"/>
        <v>2024-Q2</v>
      </c>
      <c r="T402" s="63" t="str">
        <f t="shared" si="6"/>
        <v>2024-04</v>
      </c>
      <c r="U402" s="64" t="str">
        <f t="shared" si="7"/>
        <v>2024-H1</v>
      </c>
      <c r="V402" s="9" t="str">
        <f>VLOOKUP(B402,Bounties!A:E,2,FALSE)</f>
        <v>Public RPCs for Relay and System Chains</v>
      </c>
    </row>
    <row r="403" hidden="1">
      <c r="A403" s="67">
        <f>HYPERLINK("https://polkadot.subsquare.io/treasury/child-bounties/1000", 1000)</f>
        <v>1000</v>
      </c>
      <c r="B403" s="1">
        <v>31.0</v>
      </c>
      <c r="C403" s="1" t="s">
        <v>2414</v>
      </c>
      <c r="D403" s="1" t="s">
        <v>606</v>
      </c>
      <c r="E403" s="5">
        <v>707.214</v>
      </c>
      <c r="F403" s="4">
        <v>5123.473311424255</v>
      </c>
      <c r="G403" s="1" t="s">
        <v>2441</v>
      </c>
      <c r="H403" s="95">
        <v>45402.0</v>
      </c>
      <c r="I403" s="95">
        <v>45411.0</v>
      </c>
      <c r="J403" s="4">
        <v>5152.136165210724</v>
      </c>
      <c r="K403" s="1"/>
      <c r="L403" s="1"/>
      <c r="M403" s="1" t="str">
        <f>VLOOKUP(B403,Bounties!A:D,3,FALSE)</f>
        <v>Operations</v>
      </c>
      <c r="N403" s="1" t="str">
        <f>VLOOKUP(B403,Bounties!A:D,4,FALSE)</f>
        <v>RPCs and Nodes</v>
      </c>
      <c r="O403" s="1" t="str">
        <f t="shared" ref="O403:P403" si="407">IF(ISBLANK(K403),M403,K403)</f>
        <v>Operations</v>
      </c>
      <c r="P403" s="1" t="str">
        <f t="shared" si="407"/>
        <v>RPCs and Nodes</v>
      </c>
      <c r="Q403" s="61" t="str">
        <f t="shared" si="3"/>
        <v>2024</v>
      </c>
      <c r="R403" s="62">
        <f t="shared" si="4"/>
        <v>4</v>
      </c>
      <c r="S403" s="61" t="str">
        <f t="shared" si="5"/>
        <v>2024-Q2</v>
      </c>
      <c r="T403" s="63" t="str">
        <f t="shared" si="6"/>
        <v>2024-04</v>
      </c>
      <c r="U403" s="64" t="str">
        <f t="shared" si="7"/>
        <v>2024-H1</v>
      </c>
      <c r="V403" s="9" t="str">
        <f>VLOOKUP(B403,Bounties!A:E,2,FALSE)</f>
        <v>Public RPCs for Relay and System Chains</v>
      </c>
    </row>
    <row r="404" hidden="1">
      <c r="A404" s="67">
        <f>HYPERLINK("https://polkadot.subsquare.io/treasury/child-bounties/999", 999)</f>
        <v>999</v>
      </c>
      <c r="B404" s="1">
        <v>31.0</v>
      </c>
      <c r="C404" s="1" t="s">
        <v>2414</v>
      </c>
      <c r="D404" s="1" t="s">
        <v>605</v>
      </c>
      <c r="E404" s="5">
        <v>537.482</v>
      </c>
      <c r="F404" s="4">
        <v>3893.8350801467896</v>
      </c>
      <c r="G404" s="1" t="s">
        <v>2573</v>
      </c>
      <c r="H404" s="95">
        <v>45402.0</v>
      </c>
      <c r="I404" s="95">
        <v>45425.0</v>
      </c>
      <c r="J404" s="4">
        <v>3742.7451550636288</v>
      </c>
      <c r="K404" s="1"/>
      <c r="L404" s="1"/>
      <c r="M404" s="1" t="str">
        <f>VLOOKUP(B404,Bounties!A:D,3,FALSE)</f>
        <v>Operations</v>
      </c>
      <c r="N404" s="1" t="str">
        <f>VLOOKUP(B404,Bounties!A:D,4,FALSE)</f>
        <v>RPCs and Nodes</v>
      </c>
      <c r="O404" s="1" t="str">
        <f t="shared" ref="O404:P404" si="408">IF(ISBLANK(K404),M404,K404)</f>
        <v>Operations</v>
      </c>
      <c r="P404" s="1" t="str">
        <f t="shared" si="408"/>
        <v>RPCs and Nodes</v>
      </c>
      <c r="Q404" s="61" t="str">
        <f t="shared" si="3"/>
        <v>2024</v>
      </c>
      <c r="R404" s="62">
        <f t="shared" si="4"/>
        <v>5</v>
      </c>
      <c r="S404" s="61" t="str">
        <f t="shared" si="5"/>
        <v>2024-Q2</v>
      </c>
      <c r="T404" s="63" t="str">
        <f t="shared" si="6"/>
        <v>2024-05</v>
      </c>
      <c r="U404" s="64" t="str">
        <f t="shared" si="7"/>
        <v>2024-H1</v>
      </c>
      <c r="V404" s="9" t="str">
        <f>VLOOKUP(B404,Bounties!A:E,2,FALSE)</f>
        <v>Public RPCs for Relay and System Chains</v>
      </c>
    </row>
    <row r="405" hidden="1">
      <c r="A405" s="67">
        <f>HYPERLINK("https://polkadot.subsquare.io/treasury/child-bounties/998", 998)</f>
        <v>998</v>
      </c>
      <c r="B405" s="1">
        <v>31.0</v>
      </c>
      <c r="C405" s="1" t="s">
        <v>2460</v>
      </c>
      <c r="D405" s="1" t="s">
        <v>2611</v>
      </c>
      <c r="E405" s="5">
        <v>311.287</v>
      </c>
      <c r="F405" s="4">
        <v>2255.145736217499</v>
      </c>
      <c r="G405" s="1" t="s">
        <v>2480</v>
      </c>
      <c r="H405" s="95">
        <v>45402.0</v>
      </c>
      <c r="I405" s="95">
        <v>45403.0</v>
      </c>
      <c r="J405" s="4">
        <v>2255.145736217499</v>
      </c>
      <c r="K405" s="1"/>
      <c r="L405" s="1"/>
      <c r="M405" s="1" t="str">
        <f>VLOOKUP(B405,Bounties!A:D,3,FALSE)</f>
        <v>Operations</v>
      </c>
      <c r="N405" s="1" t="str">
        <f>VLOOKUP(B405,Bounties!A:D,4,FALSE)</f>
        <v>RPCs and Nodes</v>
      </c>
      <c r="O405" s="1" t="str">
        <f t="shared" ref="O405:P405" si="409">IF(ISBLANK(K405),M405,K405)</f>
        <v>Operations</v>
      </c>
      <c r="P405" s="1" t="str">
        <f t="shared" si="409"/>
        <v>RPCs and Nodes</v>
      </c>
      <c r="Q405" s="61" t="str">
        <f t="shared" si="3"/>
        <v>2024</v>
      </c>
      <c r="R405" s="62">
        <f t="shared" si="4"/>
        <v>4</v>
      </c>
      <c r="S405" s="61" t="str">
        <f t="shared" si="5"/>
        <v>2024-Q2</v>
      </c>
      <c r="T405" s="63" t="str">
        <f t="shared" si="6"/>
        <v>2024-04</v>
      </c>
      <c r="U405" s="64" t="str">
        <f t="shared" si="7"/>
        <v>2024-H1</v>
      </c>
      <c r="V405" s="9" t="str">
        <f>VLOOKUP(B405,Bounties!A:E,2,FALSE)</f>
        <v>Public RPCs for Relay and System Chains</v>
      </c>
    </row>
    <row r="406" hidden="1">
      <c r="A406" s="67">
        <f>HYPERLINK("https://polkadot.subsquare.io/treasury/child-bounties/997", 997)</f>
        <v>997</v>
      </c>
      <c r="B406" s="1">
        <v>31.0</v>
      </c>
      <c r="C406" s="1" t="s">
        <v>2414</v>
      </c>
      <c r="D406" s="1" t="s">
        <v>604</v>
      </c>
      <c r="E406" s="5">
        <v>98.557</v>
      </c>
      <c r="F406" s="4">
        <v>714.0047554969788</v>
      </c>
      <c r="G406" s="1" t="s">
        <v>2575</v>
      </c>
      <c r="H406" s="95">
        <v>45402.0</v>
      </c>
      <c r="I406" s="95">
        <v>45420.0</v>
      </c>
      <c r="J406" s="4">
        <v>656.3135190205575</v>
      </c>
      <c r="K406" s="1"/>
      <c r="L406" s="1"/>
      <c r="M406" s="1" t="str">
        <f>VLOOKUP(B406,Bounties!A:D,3,FALSE)</f>
        <v>Operations</v>
      </c>
      <c r="N406" s="1" t="str">
        <f>VLOOKUP(B406,Bounties!A:D,4,FALSE)</f>
        <v>RPCs and Nodes</v>
      </c>
      <c r="O406" s="1" t="str">
        <f t="shared" ref="O406:P406" si="410">IF(ISBLANK(K406),M406,K406)</f>
        <v>Operations</v>
      </c>
      <c r="P406" s="1" t="str">
        <f t="shared" si="410"/>
        <v>RPCs and Nodes</v>
      </c>
      <c r="Q406" s="61" t="str">
        <f t="shared" si="3"/>
        <v>2024</v>
      </c>
      <c r="R406" s="62">
        <f t="shared" si="4"/>
        <v>5</v>
      </c>
      <c r="S406" s="61" t="str">
        <f t="shared" si="5"/>
        <v>2024-Q2</v>
      </c>
      <c r="T406" s="63" t="str">
        <f t="shared" si="6"/>
        <v>2024-05</v>
      </c>
      <c r="U406" s="64" t="str">
        <f t="shared" si="7"/>
        <v>2024-H1</v>
      </c>
      <c r="V406" s="9" t="str">
        <f>VLOOKUP(B406,Bounties!A:E,2,FALSE)</f>
        <v>Public RPCs for Relay and System Chains</v>
      </c>
    </row>
    <row r="407" hidden="1">
      <c r="A407" s="67">
        <f>HYPERLINK("https://polkadot.subsquare.io/treasury/child-bounties/996", 996)</f>
        <v>996</v>
      </c>
      <c r="B407" s="1">
        <v>38.0</v>
      </c>
      <c r="C407" s="1" t="s">
        <v>2414</v>
      </c>
      <c r="D407" s="1" t="s">
        <v>603</v>
      </c>
      <c r="E407" s="5">
        <v>1.0</v>
      </c>
      <c r="F407" s="4">
        <v>7.477910995483398</v>
      </c>
      <c r="G407" s="1" t="s">
        <v>2612</v>
      </c>
      <c r="H407" s="95">
        <v>45401.0</v>
      </c>
      <c r="I407" s="95">
        <v>45431.0</v>
      </c>
      <c r="J407" s="4">
        <v>7.454471111297607</v>
      </c>
      <c r="K407" s="1"/>
      <c r="L407" s="1"/>
      <c r="M407" s="1" t="str">
        <f>VLOOKUP(B407,Bounties!A:D,3,FALSE)</f>
        <v>Development</v>
      </c>
      <c r="N407" s="1" t="str">
        <f>VLOOKUP(B407,Bounties!A:D,4,FALSE)</f>
        <v>Games</v>
      </c>
      <c r="O407" s="1" t="str">
        <f t="shared" ref="O407:P407" si="411">IF(ISBLANK(K407),M407,K407)</f>
        <v>Development</v>
      </c>
      <c r="P407" s="1" t="str">
        <f t="shared" si="411"/>
        <v>Games</v>
      </c>
      <c r="Q407" s="61" t="str">
        <f t="shared" si="3"/>
        <v>2024</v>
      </c>
      <c r="R407" s="62">
        <f t="shared" si="4"/>
        <v>5</v>
      </c>
      <c r="S407" s="61" t="str">
        <f t="shared" si="5"/>
        <v>2024-Q2</v>
      </c>
      <c r="T407" s="63" t="str">
        <f t="shared" si="6"/>
        <v>2024-05</v>
      </c>
      <c r="U407" s="64" t="str">
        <f t="shared" si="7"/>
        <v>2024-H1</v>
      </c>
      <c r="V407" s="9" t="str">
        <f>VLOOKUP(B407,Bounties!A:E,2,FALSE)</f>
        <v>Games Bounty</v>
      </c>
    </row>
    <row r="408" hidden="1">
      <c r="A408" s="67">
        <f>HYPERLINK("https://polkadot.subsquare.io/treasury/child-bounties/995", 995)</f>
        <v>995</v>
      </c>
      <c r="B408" s="1">
        <v>33.0</v>
      </c>
      <c r="C408" s="1" t="s">
        <v>2414</v>
      </c>
      <c r="D408" s="1" t="s">
        <v>602</v>
      </c>
      <c r="E408" s="5">
        <v>21810.74</v>
      </c>
      <c r="F408" s="4">
        <v>155620.25890235903</v>
      </c>
      <c r="G408" s="1" t="s">
        <v>2554</v>
      </c>
      <c r="H408" s="95">
        <v>45400.0</v>
      </c>
      <c r="I408" s="95">
        <v>45409.0</v>
      </c>
      <c r="J408" s="4">
        <v>143770.574150486</v>
      </c>
      <c r="K408" s="1" t="s">
        <v>81</v>
      </c>
      <c r="L408" s="1" t="s">
        <v>84</v>
      </c>
      <c r="M408" s="1" t="str">
        <f>VLOOKUP(B408,Bounties!A:D,3,FALSE)</f>
        <v>Outreach</v>
      </c>
      <c r="N408" s="1" t="str">
        <f>VLOOKUP(B408,Bounties!A:D,4,FALSE)</f>
        <v>Advertising</v>
      </c>
      <c r="O408" s="1" t="str">
        <f t="shared" ref="O408:P408" si="412">IF(ISBLANK(K408),M408,K408)</f>
        <v>Outreach</v>
      </c>
      <c r="P408" s="1" t="str">
        <f t="shared" si="412"/>
        <v>Advertising/Influencers</v>
      </c>
      <c r="Q408" s="61" t="str">
        <f t="shared" si="3"/>
        <v>2024</v>
      </c>
      <c r="R408" s="62">
        <f t="shared" si="4"/>
        <v>4</v>
      </c>
      <c r="S408" s="61" t="str">
        <f t="shared" si="5"/>
        <v>2024-Q2</v>
      </c>
      <c r="T408" s="63" t="str">
        <f t="shared" si="6"/>
        <v>2024-04</v>
      </c>
      <c r="U408" s="64" t="str">
        <f t="shared" si="7"/>
        <v>2024-H1</v>
      </c>
      <c r="V408" s="9" t="str">
        <f>VLOOKUP(B408,Bounties!A:E,2,FALSE)</f>
        <v>Marketing Bounty</v>
      </c>
    </row>
    <row r="409" hidden="1">
      <c r="A409" s="67">
        <f>HYPERLINK("https://polkadot.subsquare.io/treasury/child-bounties/994", 994)</f>
        <v>994</v>
      </c>
      <c r="B409" s="1">
        <v>37.0</v>
      </c>
      <c r="C409" s="1" t="s">
        <v>2414</v>
      </c>
      <c r="D409" s="1" t="s">
        <v>601</v>
      </c>
      <c r="E409" s="5">
        <v>45.6</v>
      </c>
      <c r="F409" s="4">
        <v>300.03099288940433</v>
      </c>
      <c r="G409" s="1" t="s">
        <v>2487</v>
      </c>
      <c r="H409" s="95">
        <v>45396.0</v>
      </c>
      <c r="I409" s="95">
        <v>45405.0</v>
      </c>
      <c r="J409" s="4">
        <v>308.17468872070316</v>
      </c>
      <c r="K409" s="1"/>
      <c r="L409" s="1"/>
      <c r="M409" s="1" t="str">
        <f>VLOOKUP(B409,Bounties!A:D,3,FALSE)</f>
        <v>Operations</v>
      </c>
      <c r="N409" s="1" t="str">
        <f>VLOOKUP(B409,Bounties!A:D,4,FALSE)</f>
        <v>Infrastructure</v>
      </c>
      <c r="O409" s="1" t="str">
        <f t="shared" ref="O409:P409" si="413">IF(ISBLANK(K409),M409,K409)</f>
        <v>Operations</v>
      </c>
      <c r="P409" s="1" t="str">
        <f t="shared" si="413"/>
        <v>Infrastructure</v>
      </c>
      <c r="Q409" s="61" t="str">
        <f t="shared" si="3"/>
        <v>2024</v>
      </c>
      <c r="R409" s="62">
        <f t="shared" si="4"/>
        <v>4</v>
      </c>
      <c r="S409" s="61" t="str">
        <f t="shared" si="5"/>
        <v>2024-Q2</v>
      </c>
      <c r="T409" s="63" t="str">
        <f t="shared" si="6"/>
        <v>2024-04</v>
      </c>
      <c r="U409" s="64" t="str">
        <f t="shared" si="7"/>
        <v>2024-H1</v>
      </c>
      <c r="V409" s="9" t="str">
        <f>VLOOKUP(B409,Bounties!A:E,2,FALSE)</f>
        <v>Paseo Testnet Bounty</v>
      </c>
    </row>
    <row r="410" hidden="1">
      <c r="A410" s="67">
        <f>HYPERLINK("https://polkadot.subsquare.io/treasury/child-bounties/993", 993)</f>
        <v>993</v>
      </c>
      <c r="B410" s="1">
        <v>37.0</v>
      </c>
      <c r="C410" s="1" t="s">
        <v>2414</v>
      </c>
      <c r="D410" s="1" t="s">
        <v>600</v>
      </c>
      <c r="E410" s="5">
        <v>10295.5</v>
      </c>
      <c r="F410" s="4">
        <v>67740.55015993118</v>
      </c>
      <c r="G410" s="1" t="s">
        <v>2613</v>
      </c>
      <c r="H410" s="95">
        <v>45396.0</v>
      </c>
      <c r="I410" s="95">
        <v>45422.0</v>
      </c>
      <c r="J410" s="4">
        <v>68160.11169695854</v>
      </c>
      <c r="K410" s="1"/>
      <c r="L410" s="1"/>
      <c r="M410" s="1" t="str">
        <f>VLOOKUP(B410,Bounties!A:D,3,FALSE)</f>
        <v>Operations</v>
      </c>
      <c r="N410" s="1" t="str">
        <f>VLOOKUP(B410,Bounties!A:D,4,FALSE)</f>
        <v>Infrastructure</v>
      </c>
      <c r="O410" s="1" t="str">
        <f t="shared" ref="O410:P410" si="414">IF(ISBLANK(K410),M410,K410)</f>
        <v>Operations</v>
      </c>
      <c r="P410" s="1" t="str">
        <f t="shared" si="414"/>
        <v>Infrastructure</v>
      </c>
      <c r="Q410" s="61" t="str">
        <f t="shared" si="3"/>
        <v>2024</v>
      </c>
      <c r="R410" s="62">
        <f t="shared" si="4"/>
        <v>5</v>
      </c>
      <c r="S410" s="61" t="str">
        <f t="shared" si="5"/>
        <v>2024-Q2</v>
      </c>
      <c r="T410" s="63" t="str">
        <f t="shared" si="6"/>
        <v>2024-05</v>
      </c>
      <c r="U410" s="64" t="str">
        <f t="shared" si="7"/>
        <v>2024-H1</v>
      </c>
      <c r="V410" s="9" t="str">
        <f>VLOOKUP(B410,Bounties!A:E,2,FALSE)</f>
        <v>Paseo Testnet Bounty</v>
      </c>
    </row>
    <row r="411" hidden="1">
      <c r="A411" s="67">
        <f>HYPERLINK("https://polkadot.subsquare.io/treasury/child-bounties/992", 992)</f>
        <v>992</v>
      </c>
      <c r="B411" s="1">
        <v>37.0</v>
      </c>
      <c r="C411" s="1" t="s">
        <v>2414</v>
      </c>
      <c r="D411" s="1" t="s">
        <v>599</v>
      </c>
      <c r="E411" s="5">
        <v>5147.75</v>
      </c>
      <c r="F411" s="4">
        <v>33870.27507996559</v>
      </c>
      <c r="G411" s="1" t="s">
        <v>2614</v>
      </c>
      <c r="H411" s="95">
        <v>45396.0</v>
      </c>
      <c r="I411" s="95">
        <v>45406.0</v>
      </c>
      <c r="J411" s="4">
        <v>34997.67335188389</v>
      </c>
      <c r="K411" s="1"/>
      <c r="L411" s="1"/>
      <c r="M411" s="1" t="str">
        <f>VLOOKUP(B411,Bounties!A:D,3,FALSE)</f>
        <v>Operations</v>
      </c>
      <c r="N411" s="1" t="str">
        <f>VLOOKUP(B411,Bounties!A:D,4,FALSE)</f>
        <v>Infrastructure</v>
      </c>
      <c r="O411" s="1" t="str">
        <f t="shared" ref="O411:P411" si="415">IF(ISBLANK(K411),M411,K411)</f>
        <v>Operations</v>
      </c>
      <c r="P411" s="1" t="str">
        <f t="shared" si="415"/>
        <v>Infrastructure</v>
      </c>
      <c r="Q411" s="61" t="str">
        <f t="shared" si="3"/>
        <v>2024</v>
      </c>
      <c r="R411" s="62">
        <f t="shared" si="4"/>
        <v>4</v>
      </c>
      <c r="S411" s="61" t="str">
        <f t="shared" si="5"/>
        <v>2024-Q2</v>
      </c>
      <c r="T411" s="63" t="str">
        <f t="shared" si="6"/>
        <v>2024-04</v>
      </c>
      <c r="U411" s="64" t="str">
        <f t="shared" si="7"/>
        <v>2024-H1</v>
      </c>
      <c r="V411" s="9" t="str">
        <f>VLOOKUP(B411,Bounties!A:E,2,FALSE)</f>
        <v>Paseo Testnet Bounty</v>
      </c>
    </row>
    <row r="412" hidden="1">
      <c r="A412" s="67">
        <f>HYPERLINK("https://polkadot.subsquare.io/treasury/child-bounties/991", 991)</f>
        <v>991</v>
      </c>
      <c r="B412" s="1">
        <v>37.0</v>
      </c>
      <c r="C412" s="1" t="s">
        <v>2414</v>
      </c>
      <c r="D412" s="1" t="s">
        <v>598</v>
      </c>
      <c r="E412" s="5">
        <v>10295.5</v>
      </c>
      <c r="F412" s="4">
        <v>67740.55015993118</v>
      </c>
      <c r="G412" s="1" t="s">
        <v>2615</v>
      </c>
      <c r="H412" s="95">
        <v>45396.0</v>
      </c>
      <c r="I412" s="95">
        <v>45406.0</v>
      </c>
      <c r="J412" s="4">
        <v>69579.22166061401</v>
      </c>
      <c r="K412" s="1"/>
      <c r="L412" s="1"/>
      <c r="M412" s="1" t="str">
        <f>VLOOKUP(B412,Bounties!A:D,3,FALSE)</f>
        <v>Operations</v>
      </c>
      <c r="N412" s="1" t="str">
        <f>VLOOKUP(B412,Bounties!A:D,4,FALSE)</f>
        <v>Infrastructure</v>
      </c>
      <c r="O412" s="1" t="str">
        <f t="shared" ref="O412:P412" si="416">IF(ISBLANK(K412),M412,K412)</f>
        <v>Operations</v>
      </c>
      <c r="P412" s="1" t="str">
        <f t="shared" si="416"/>
        <v>Infrastructure</v>
      </c>
      <c r="Q412" s="61" t="str">
        <f t="shared" si="3"/>
        <v>2024</v>
      </c>
      <c r="R412" s="62">
        <f t="shared" si="4"/>
        <v>4</v>
      </c>
      <c r="S412" s="61" t="str">
        <f t="shared" si="5"/>
        <v>2024-Q2</v>
      </c>
      <c r="T412" s="63" t="str">
        <f t="shared" si="6"/>
        <v>2024-04</v>
      </c>
      <c r="U412" s="64" t="str">
        <f t="shared" si="7"/>
        <v>2024-H1</v>
      </c>
      <c r="V412" s="9" t="str">
        <f>VLOOKUP(B412,Bounties!A:E,2,FALSE)</f>
        <v>Paseo Testnet Bounty</v>
      </c>
    </row>
    <row r="413" hidden="1">
      <c r="A413" s="67">
        <f>HYPERLINK("https://polkadot.subsquare.io/treasury/child-bounties/990", 990)</f>
        <v>990</v>
      </c>
      <c r="B413" s="1">
        <v>37.0</v>
      </c>
      <c r="C413" s="1" t="s">
        <v>2414</v>
      </c>
      <c r="D413" s="1" t="s">
        <v>597</v>
      </c>
      <c r="E413" s="5">
        <v>5147.75</v>
      </c>
      <c r="F413" s="4">
        <v>34490.16702735424</v>
      </c>
      <c r="G413" s="1" t="s">
        <v>2616</v>
      </c>
      <c r="H413" s="95">
        <v>45396.0</v>
      </c>
      <c r="I413" s="95">
        <v>45406.0</v>
      </c>
      <c r="J413" s="4">
        <v>34997.67335188389</v>
      </c>
      <c r="K413" s="1"/>
      <c r="L413" s="1"/>
      <c r="M413" s="1" t="str">
        <f>VLOOKUP(B413,Bounties!A:D,3,FALSE)</f>
        <v>Operations</v>
      </c>
      <c r="N413" s="1" t="str">
        <f>VLOOKUP(B413,Bounties!A:D,4,FALSE)</f>
        <v>Infrastructure</v>
      </c>
      <c r="O413" s="1" t="str">
        <f t="shared" ref="O413:P413" si="417">IF(ISBLANK(K413),M413,K413)</f>
        <v>Operations</v>
      </c>
      <c r="P413" s="1" t="str">
        <f t="shared" si="417"/>
        <v>Infrastructure</v>
      </c>
      <c r="Q413" s="61" t="str">
        <f t="shared" si="3"/>
        <v>2024</v>
      </c>
      <c r="R413" s="62">
        <f t="shared" si="4"/>
        <v>4</v>
      </c>
      <c r="S413" s="61" t="str">
        <f t="shared" si="5"/>
        <v>2024-Q2</v>
      </c>
      <c r="T413" s="63" t="str">
        <f t="shared" si="6"/>
        <v>2024-04</v>
      </c>
      <c r="U413" s="64" t="str">
        <f t="shared" si="7"/>
        <v>2024-H1</v>
      </c>
      <c r="V413" s="9" t="str">
        <f>VLOOKUP(B413,Bounties!A:E,2,FALSE)</f>
        <v>Paseo Testnet Bounty</v>
      </c>
    </row>
    <row r="414" hidden="1">
      <c r="A414" s="67">
        <f>HYPERLINK("https://polkadot.subsquare.io/treasury/child-bounties/989", 989)</f>
        <v>989</v>
      </c>
      <c r="B414" s="1">
        <v>33.0</v>
      </c>
      <c r="C414" s="1" t="s">
        <v>2414</v>
      </c>
      <c r="D414" s="1" t="s">
        <v>596</v>
      </c>
      <c r="E414" s="5">
        <v>396.26</v>
      </c>
      <c r="F414" s="4">
        <v>2659.9075696372984</v>
      </c>
      <c r="G414" s="1" t="s">
        <v>2553</v>
      </c>
      <c r="H414" s="95">
        <v>45395.0</v>
      </c>
      <c r="I414" s="95">
        <v>45403.0</v>
      </c>
      <c r="J414" s="4">
        <v>2870.7400226593018</v>
      </c>
      <c r="K414" s="1" t="s">
        <v>81</v>
      </c>
      <c r="L414" s="1" t="s">
        <v>87</v>
      </c>
      <c r="M414" s="1" t="str">
        <f>VLOOKUP(B414,Bounties!A:D,3,FALSE)</f>
        <v>Outreach</v>
      </c>
      <c r="N414" s="1" t="str">
        <f>VLOOKUP(B414,Bounties!A:D,4,FALSE)</f>
        <v>Advertising</v>
      </c>
      <c r="O414" s="1" t="str">
        <f t="shared" ref="O414:P414" si="418">IF(ISBLANK(K414),M414,K414)</f>
        <v>Outreach</v>
      </c>
      <c r="P414" s="1" t="str">
        <f t="shared" si="418"/>
        <v>Advertising/Digital Ads</v>
      </c>
      <c r="Q414" s="61" t="str">
        <f t="shared" si="3"/>
        <v>2024</v>
      </c>
      <c r="R414" s="62">
        <f t="shared" si="4"/>
        <v>4</v>
      </c>
      <c r="S414" s="61" t="str">
        <f t="shared" si="5"/>
        <v>2024-Q2</v>
      </c>
      <c r="T414" s="63" t="str">
        <f t="shared" si="6"/>
        <v>2024-04</v>
      </c>
      <c r="U414" s="64" t="str">
        <f t="shared" si="7"/>
        <v>2024-H1</v>
      </c>
      <c r="V414" s="9" t="str">
        <f>VLOOKUP(B414,Bounties!A:E,2,FALSE)</f>
        <v>Marketing Bounty</v>
      </c>
    </row>
    <row r="415" hidden="1">
      <c r="A415" s="67">
        <f>HYPERLINK("https://polkadot.subsquare.io/treasury/child-bounties/988", 988)</f>
        <v>988</v>
      </c>
      <c r="B415" s="1">
        <v>19.0</v>
      </c>
      <c r="C415" s="1" t="s">
        <v>2414</v>
      </c>
      <c r="D415" s="1" t="s">
        <v>595</v>
      </c>
      <c r="E415" s="5">
        <v>2221.0</v>
      </c>
      <c r="F415" s="4">
        <v>16082.458374023438</v>
      </c>
      <c r="G415" s="1" t="s">
        <v>2498</v>
      </c>
      <c r="H415" s="95">
        <v>45391.0</v>
      </c>
      <c r="I415" s="95">
        <v>45432.0</v>
      </c>
      <c r="J415" s="4">
        <v>15992.91948223114</v>
      </c>
      <c r="K415" s="1"/>
      <c r="L415" s="1"/>
      <c r="M415" s="1" t="str">
        <f>VLOOKUP(B415,Bounties!A:D,3,FALSE)</f>
        <v>Development</v>
      </c>
      <c r="N415" s="1" t="str">
        <f>VLOOKUP(B415,Bounties!A:D,4,FALSE)</f>
        <v>Smart Contracts</v>
      </c>
      <c r="O415" s="1" t="str">
        <f t="shared" ref="O415:P415" si="419">IF(ISBLANK(K415),M415,K415)</f>
        <v>Development</v>
      </c>
      <c r="P415" s="1" t="str">
        <f t="shared" si="419"/>
        <v>Smart Contracts</v>
      </c>
      <c r="Q415" s="61" t="str">
        <f t="shared" si="3"/>
        <v>2024</v>
      </c>
      <c r="R415" s="62">
        <f t="shared" si="4"/>
        <v>5</v>
      </c>
      <c r="S415" s="61" t="str">
        <f t="shared" si="5"/>
        <v>2024-Q2</v>
      </c>
      <c r="T415" s="63" t="str">
        <f t="shared" si="6"/>
        <v>2024-05</v>
      </c>
      <c r="U415" s="64" t="str">
        <f t="shared" si="7"/>
        <v>2024-H1</v>
      </c>
      <c r="V415" s="9" t="str">
        <f>VLOOKUP(B415,Bounties!A:E,2,FALSE)</f>
        <v>Wasm Smart Contracts Bounty</v>
      </c>
    </row>
    <row r="416" hidden="1">
      <c r="A416" s="67">
        <f>HYPERLINK("https://polkadot.subsquare.io/treasury/child-bounties/987", 987)</f>
        <v>987</v>
      </c>
      <c r="B416" s="1">
        <v>19.0</v>
      </c>
      <c r="C416" s="1" t="s">
        <v>2414</v>
      </c>
      <c r="D416" s="1" t="s">
        <v>594</v>
      </c>
      <c r="E416" s="5">
        <v>3480.0</v>
      </c>
      <c r="F416" s="4">
        <v>25198.9892578125</v>
      </c>
      <c r="G416" s="1" t="s">
        <v>2617</v>
      </c>
      <c r="H416" s="95">
        <v>45391.0</v>
      </c>
      <c r="I416" s="95">
        <v>45406.0</v>
      </c>
      <c r="J416" s="4">
        <v>23518.594665527344</v>
      </c>
      <c r="K416" s="1"/>
      <c r="L416" s="1"/>
      <c r="M416" s="1" t="str">
        <f>VLOOKUP(B416,Bounties!A:D,3,FALSE)</f>
        <v>Development</v>
      </c>
      <c r="N416" s="1" t="str">
        <f>VLOOKUP(B416,Bounties!A:D,4,FALSE)</f>
        <v>Smart Contracts</v>
      </c>
      <c r="O416" s="1" t="str">
        <f t="shared" ref="O416:P416" si="420">IF(ISBLANK(K416),M416,K416)</f>
        <v>Development</v>
      </c>
      <c r="P416" s="1" t="str">
        <f t="shared" si="420"/>
        <v>Smart Contracts</v>
      </c>
      <c r="Q416" s="61" t="str">
        <f t="shared" si="3"/>
        <v>2024</v>
      </c>
      <c r="R416" s="62">
        <f t="shared" si="4"/>
        <v>4</v>
      </c>
      <c r="S416" s="61" t="str">
        <f t="shared" si="5"/>
        <v>2024-Q2</v>
      </c>
      <c r="T416" s="63" t="str">
        <f t="shared" si="6"/>
        <v>2024-04</v>
      </c>
      <c r="U416" s="64" t="str">
        <f t="shared" si="7"/>
        <v>2024-H1</v>
      </c>
      <c r="V416" s="9" t="str">
        <f>VLOOKUP(B416,Bounties!A:E,2,FALSE)</f>
        <v>Wasm Smart Contracts Bounty</v>
      </c>
    </row>
    <row r="417" hidden="1">
      <c r="A417" s="67">
        <f>HYPERLINK("https://polkadot.subsquare.io/treasury/child-bounties/986", 986)</f>
        <v>986</v>
      </c>
      <c r="B417" s="1">
        <v>33.0</v>
      </c>
      <c r="C417" s="1" t="s">
        <v>2414</v>
      </c>
      <c r="D417" s="1" t="s">
        <v>593</v>
      </c>
      <c r="E417" s="5">
        <v>6361.8</v>
      </c>
      <c r="F417" s="4">
        <v>53559.36720314026</v>
      </c>
      <c r="G417" s="1" t="s">
        <v>2618</v>
      </c>
      <c r="H417" s="95">
        <v>45390.0</v>
      </c>
      <c r="I417" s="95">
        <v>45401.0</v>
      </c>
      <c r="J417" s="4">
        <v>45391.62646865845</v>
      </c>
      <c r="K417" s="1" t="s">
        <v>81</v>
      </c>
      <c r="L417" s="1" t="s">
        <v>82</v>
      </c>
      <c r="M417" s="1" t="str">
        <f>VLOOKUP(B417,Bounties!A:D,3,FALSE)</f>
        <v>Outreach</v>
      </c>
      <c r="N417" s="1" t="str">
        <f>VLOOKUP(B417,Bounties!A:D,4,FALSE)</f>
        <v>Advertising</v>
      </c>
      <c r="O417" s="1" t="str">
        <f t="shared" ref="O417:P417" si="421">IF(ISBLANK(K417),M417,K417)</f>
        <v>Outreach</v>
      </c>
      <c r="P417" s="1" t="str">
        <f t="shared" si="421"/>
        <v>Advertising/Sponsorships</v>
      </c>
      <c r="Q417" s="61" t="str">
        <f t="shared" si="3"/>
        <v>2024</v>
      </c>
      <c r="R417" s="62">
        <f t="shared" si="4"/>
        <v>4</v>
      </c>
      <c r="S417" s="61" t="str">
        <f t="shared" si="5"/>
        <v>2024-Q2</v>
      </c>
      <c r="T417" s="63" t="str">
        <f t="shared" si="6"/>
        <v>2024-04</v>
      </c>
      <c r="U417" s="64" t="str">
        <f t="shared" si="7"/>
        <v>2024-H1</v>
      </c>
      <c r="V417" s="9" t="str">
        <f>VLOOKUP(B417,Bounties!A:E,2,FALSE)</f>
        <v>Marketing Bounty</v>
      </c>
    </row>
    <row r="418" hidden="1">
      <c r="A418" s="67">
        <f>HYPERLINK("https://polkadot.subsquare.io/treasury/child-bounties/985", 985)</f>
        <v>985</v>
      </c>
      <c r="B418" s="1">
        <v>33.0</v>
      </c>
      <c r="C418" s="1" t="s">
        <v>2414</v>
      </c>
      <c r="D418" s="1" t="s">
        <v>592</v>
      </c>
      <c r="E418" s="5">
        <v>70702.8</v>
      </c>
      <c r="F418" s="4">
        <v>612289.9457210541</v>
      </c>
      <c r="G418" s="1" t="s">
        <v>2554</v>
      </c>
      <c r="H418" s="95">
        <v>45388.0</v>
      </c>
      <c r="I418" s="95">
        <v>45397.0</v>
      </c>
      <c r="J418" s="4">
        <v>465198.0544750214</v>
      </c>
      <c r="K418" s="1" t="s">
        <v>81</v>
      </c>
      <c r="L418" s="1" t="s">
        <v>84</v>
      </c>
      <c r="M418" s="1" t="str">
        <f>VLOOKUP(B418,Bounties!A:D,3,FALSE)</f>
        <v>Outreach</v>
      </c>
      <c r="N418" s="1" t="str">
        <f>VLOOKUP(B418,Bounties!A:D,4,FALSE)</f>
        <v>Advertising</v>
      </c>
      <c r="O418" s="1" t="str">
        <f t="shared" ref="O418:P418" si="422">IF(ISBLANK(K418),M418,K418)</f>
        <v>Outreach</v>
      </c>
      <c r="P418" s="1" t="str">
        <f t="shared" si="422"/>
        <v>Advertising/Influencers</v>
      </c>
      <c r="Q418" s="61" t="str">
        <f t="shared" si="3"/>
        <v>2024</v>
      </c>
      <c r="R418" s="62">
        <f t="shared" si="4"/>
        <v>4</v>
      </c>
      <c r="S418" s="61" t="str">
        <f t="shared" si="5"/>
        <v>2024-Q2</v>
      </c>
      <c r="T418" s="63" t="str">
        <f t="shared" si="6"/>
        <v>2024-04</v>
      </c>
      <c r="U418" s="64" t="str">
        <f t="shared" si="7"/>
        <v>2024-H1</v>
      </c>
      <c r="V418" s="9" t="str">
        <f>VLOOKUP(B418,Bounties!A:E,2,FALSE)</f>
        <v>Marketing Bounty</v>
      </c>
    </row>
    <row r="419" hidden="1">
      <c r="A419" s="67">
        <f>HYPERLINK("https://polkadot.subsquare.io/treasury/child-bounties/984", 984)</f>
        <v>984</v>
      </c>
      <c r="B419" s="1">
        <v>33.0</v>
      </c>
      <c r="C419" s="1" t="s">
        <v>2414</v>
      </c>
      <c r="D419" s="1" t="s">
        <v>591</v>
      </c>
      <c r="E419" s="5">
        <v>6278.0</v>
      </c>
      <c r="F419" s="4">
        <v>54367.808336257935</v>
      </c>
      <c r="G419" s="1" t="s">
        <v>2577</v>
      </c>
      <c r="H419" s="95">
        <v>45388.0</v>
      </c>
      <c r="I419" s="95">
        <v>45397.0</v>
      </c>
      <c r="J419" s="4">
        <v>41306.89853858948</v>
      </c>
      <c r="K419" s="1" t="s">
        <v>81</v>
      </c>
      <c r="L419" s="1" t="s">
        <v>84</v>
      </c>
      <c r="M419" s="1" t="str">
        <f>VLOOKUP(B419,Bounties!A:D,3,FALSE)</f>
        <v>Outreach</v>
      </c>
      <c r="N419" s="1" t="str">
        <f>VLOOKUP(B419,Bounties!A:D,4,FALSE)</f>
        <v>Advertising</v>
      </c>
      <c r="O419" s="1" t="str">
        <f t="shared" ref="O419:P419" si="423">IF(ISBLANK(K419),M419,K419)</f>
        <v>Outreach</v>
      </c>
      <c r="P419" s="1" t="str">
        <f t="shared" si="423"/>
        <v>Advertising/Influencers</v>
      </c>
      <c r="Q419" s="61" t="str">
        <f t="shared" si="3"/>
        <v>2024</v>
      </c>
      <c r="R419" s="62">
        <f t="shared" si="4"/>
        <v>4</v>
      </c>
      <c r="S419" s="61" t="str">
        <f t="shared" si="5"/>
        <v>2024-Q2</v>
      </c>
      <c r="T419" s="63" t="str">
        <f t="shared" si="6"/>
        <v>2024-04</v>
      </c>
      <c r="U419" s="64" t="str">
        <f t="shared" si="7"/>
        <v>2024-H1</v>
      </c>
      <c r="V419" s="9" t="str">
        <f>VLOOKUP(B419,Bounties!A:E,2,FALSE)</f>
        <v>Marketing Bounty</v>
      </c>
    </row>
    <row r="420" hidden="1">
      <c r="A420" s="67">
        <f>HYPERLINK("https://polkadot.subsquare.io/treasury/child-bounties/983", 983)</f>
        <v>983</v>
      </c>
      <c r="B420" s="1">
        <v>33.0</v>
      </c>
      <c r="C420" s="1" t="s">
        <v>2414</v>
      </c>
      <c r="D420" s="100" t="s">
        <v>590</v>
      </c>
      <c r="E420" s="5">
        <v>135.0</v>
      </c>
      <c r="F420" s="4">
        <v>1169.107060432434</v>
      </c>
      <c r="G420" s="1" t="s">
        <v>2465</v>
      </c>
      <c r="H420" s="95">
        <v>45388.0</v>
      </c>
      <c r="I420" s="95">
        <v>45400.0</v>
      </c>
      <c r="J420" s="4">
        <v>963.2288932800293</v>
      </c>
      <c r="K420" s="1" t="s">
        <v>49</v>
      </c>
      <c r="L420" s="1" t="s">
        <v>108</v>
      </c>
      <c r="M420" s="1" t="str">
        <f>VLOOKUP(B420,Bounties!A:D,3,FALSE)</f>
        <v>Outreach</v>
      </c>
      <c r="N420" s="1" t="str">
        <f>VLOOKUP(B420,Bounties!A:D,4,FALSE)</f>
        <v>Advertising</v>
      </c>
      <c r="O420" s="1" t="str">
        <f t="shared" ref="O420:P420" si="424">IF(ISBLANK(K420),M420,K420)</f>
        <v>Operations</v>
      </c>
      <c r="P420" s="1" t="str">
        <f t="shared" si="424"/>
        <v>Governance</v>
      </c>
      <c r="Q420" s="61" t="str">
        <f t="shared" si="3"/>
        <v>2024</v>
      </c>
      <c r="R420" s="62">
        <f t="shared" si="4"/>
        <v>4</v>
      </c>
      <c r="S420" s="61" t="str">
        <f t="shared" si="5"/>
        <v>2024-Q2</v>
      </c>
      <c r="T420" s="63" t="str">
        <f t="shared" si="6"/>
        <v>2024-04</v>
      </c>
      <c r="U420" s="64" t="str">
        <f t="shared" si="7"/>
        <v>2024-H1</v>
      </c>
      <c r="V420" s="9" t="str">
        <f>VLOOKUP(B420,Bounties!A:E,2,FALSE)</f>
        <v>Marketing Bounty</v>
      </c>
    </row>
    <row r="421" hidden="1">
      <c r="A421" s="67">
        <f>HYPERLINK("https://polkadot.subsquare.io/treasury/child-bounties/982", 982)</f>
        <v>982</v>
      </c>
      <c r="B421" s="1">
        <v>33.0</v>
      </c>
      <c r="C421" s="1" t="s">
        <v>2414</v>
      </c>
      <c r="D421" s="1" t="s">
        <v>589</v>
      </c>
      <c r="E421" s="5">
        <v>1620.0</v>
      </c>
      <c r="F421" s="4">
        <v>14029.284725189209</v>
      </c>
      <c r="G421" s="1" t="s">
        <v>2435</v>
      </c>
      <c r="H421" s="95">
        <v>45388.0</v>
      </c>
      <c r="I421" s="95">
        <v>45398.0</v>
      </c>
      <c r="J421" s="4">
        <v>10992.547159194946</v>
      </c>
      <c r="K421" s="1" t="s">
        <v>81</v>
      </c>
      <c r="L421" s="1" t="s">
        <v>84</v>
      </c>
      <c r="M421" s="1" t="str">
        <f>VLOOKUP(B421,Bounties!A:D,3,FALSE)</f>
        <v>Outreach</v>
      </c>
      <c r="N421" s="1" t="str">
        <f>VLOOKUP(B421,Bounties!A:D,4,FALSE)</f>
        <v>Advertising</v>
      </c>
      <c r="O421" s="1" t="str">
        <f t="shared" ref="O421:P421" si="425">IF(ISBLANK(K421),M421,K421)</f>
        <v>Outreach</v>
      </c>
      <c r="P421" s="1" t="str">
        <f t="shared" si="425"/>
        <v>Advertising/Influencers</v>
      </c>
      <c r="Q421" s="61" t="str">
        <f t="shared" si="3"/>
        <v>2024</v>
      </c>
      <c r="R421" s="62">
        <f t="shared" si="4"/>
        <v>4</v>
      </c>
      <c r="S421" s="61" t="str">
        <f t="shared" si="5"/>
        <v>2024-Q2</v>
      </c>
      <c r="T421" s="63" t="str">
        <f t="shared" si="6"/>
        <v>2024-04</v>
      </c>
      <c r="U421" s="64" t="str">
        <f t="shared" si="7"/>
        <v>2024-H1</v>
      </c>
      <c r="V421" s="9" t="str">
        <f>VLOOKUP(B421,Bounties!A:E,2,FALSE)</f>
        <v>Marketing Bounty</v>
      </c>
    </row>
    <row r="422" hidden="1">
      <c r="A422" s="67">
        <f>HYPERLINK("https://polkadot.subsquare.io/treasury/child-bounties/981", 981)</f>
        <v>981</v>
      </c>
      <c r="B422" s="1">
        <v>22.0</v>
      </c>
      <c r="C422" s="1" t="s">
        <v>2414</v>
      </c>
      <c r="D422" s="1" t="s">
        <v>588</v>
      </c>
      <c r="E422" s="5">
        <v>1057.0</v>
      </c>
      <c r="F422" s="4">
        <v>9560.194124221802</v>
      </c>
      <c r="G422" s="1" t="s">
        <v>2415</v>
      </c>
      <c r="H422" s="95">
        <v>45388.0</v>
      </c>
      <c r="I422" s="95">
        <v>45426.0</v>
      </c>
      <c r="J422" s="4">
        <v>7606.97097158432</v>
      </c>
      <c r="K422" s="1"/>
      <c r="L422" s="1"/>
      <c r="M422" s="1" t="str">
        <f>VLOOKUP(B422,Bounties!A:D,3,FALSE)</f>
        <v>Development</v>
      </c>
      <c r="N422" s="1" t="str">
        <f>VLOOKUP(B422,Bounties!A:D,4,FALSE)</f>
        <v>Ecosystem Services</v>
      </c>
      <c r="O422" s="1" t="str">
        <f t="shared" ref="O422:P422" si="426">IF(ISBLANK(K422),M422,K422)</f>
        <v>Development</v>
      </c>
      <c r="P422" s="1" t="str">
        <f t="shared" si="426"/>
        <v>Ecosystem Services</v>
      </c>
      <c r="Q422" s="61" t="str">
        <f t="shared" si="3"/>
        <v>2024</v>
      </c>
      <c r="R422" s="62">
        <f t="shared" si="4"/>
        <v>5</v>
      </c>
      <c r="S422" s="61" t="str">
        <f t="shared" si="5"/>
        <v>2024-Q2</v>
      </c>
      <c r="T422" s="63" t="str">
        <f t="shared" si="6"/>
        <v>2024-05</v>
      </c>
      <c r="U422" s="64" t="str">
        <f t="shared" si="7"/>
        <v>2024-H1</v>
      </c>
      <c r="V422" s="9" t="str">
        <f>VLOOKUP(B422,Bounties!A:E,2,FALSE)</f>
        <v>Polkadot Assurance Legion Bounty</v>
      </c>
    </row>
    <row r="423" hidden="1">
      <c r="A423" s="67">
        <f>HYPERLINK("https://polkadot.subsquare.io/treasury/child-bounties/980", 980)</f>
        <v>980</v>
      </c>
      <c r="B423" s="1">
        <v>11.0</v>
      </c>
      <c r="C423" s="1" t="s">
        <v>2414</v>
      </c>
      <c r="D423" s="1" t="s">
        <v>587</v>
      </c>
      <c r="E423" s="5">
        <v>748.336</v>
      </c>
      <c r="F423" s="4">
        <v>6768.436546966553</v>
      </c>
      <c r="G423" s="1" t="s">
        <v>2438</v>
      </c>
      <c r="H423" s="95">
        <v>45387.0</v>
      </c>
      <c r="I423" s="95">
        <v>45397.0</v>
      </c>
      <c r="J423" s="4">
        <v>5077.851093162537</v>
      </c>
      <c r="K423" s="1"/>
      <c r="L423" s="1"/>
      <c r="M423" s="1" t="str">
        <f>VLOOKUP(B423,Bounties!A:D,3,FALSE)</f>
        <v>Research</v>
      </c>
      <c r="N423" s="1" t="str">
        <f>VLOOKUP(B423,Bounties!A:D,4,FALSE)</f>
        <v>Anti-Scam</v>
      </c>
      <c r="O423" s="1" t="str">
        <f t="shared" ref="O423:P423" si="427">IF(ISBLANK(K423),M423,K423)</f>
        <v>Research</v>
      </c>
      <c r="P423" s="1" t="str">
        <f t="shared" si="427"/>
        <v>Anti-Scam</v>
      </c>
      <c r="Q423" s="61" t="str">
        <f t="shared" si="3"/>
        <v>2024</v>
      </c>
      <c r="R423" s="62">
        <f t="shared" si="4"/>
        <v>4</v>
      </c>
      <c r="S423" s="61" t="str">
        <f t="shared" si="5"/>
        <v>2024-Q2</v>
      </c>
      <c r="T423" s="63" t="str">
        <f t="shared" si="6"/>
        <v>2024-04</v>
      </c>
      <c r="U423" s="64" t="str">
        <f t="shared" si="7"/>
        <v>2024-H1</v>
      </c>
      <c r="V423" s="9" t="str">
        <f>VLOOKUP(B423,Bounties!A:E,2,FALSE)</f>
        <v>Anti-Scam Bounty</v>
      </c>
    </row>
    <row r="424" hidden="1">
      <c r="A424" s="67">
        <f>HYPERLINK("https://polkadot.subsquare.io/treasury/child-bounties/979", 979)</f>
        <v>979</v>
      </c>
      <c r="B424" s="1">
        <v>11.0</v>
      </c>
      <c r="C424" s="1" t="s">
        <v>2414</v>
      </c>
      <c r="D424" s="1" t="s">
        <v>586</v>
      </c>
      <c r="E424" s="5">
        <v>283.937</v>
      </c>
      <c r="F424" s="4">
        <v>2568.110538362503</v>
      </c>
      <c r="G424" s="1" t="s">
        <v>2527</v>
      </c>
      <c r="H424" s="95">
        <v>45387.0</v>
      </c>
      <c r="I424" s="95">
        <v>45396.0</v>
      </c>
      <c r="J424" s="4">
        <v>1902.391249622822</v>
      </c>
      <c r="K424" s="1"/>
      <c r="L424" s="1"/>
      <c r="M424" s="1" t="str">
        <f>VLOOKUP(B424,Bounties!A:D,3,FALSE)</f>
        <v>Research</v>
      </c>
      <c r="N424" s="1" t="str">
        <f>VLOOKUP(B424,Bounties!A:D,4,FALSE)</f>
        <v>Anti-Scam</v>
      </c>
      <c r="O424" s="1" t="str">
        <f t="shared" ref="O424:P424" si="428">IF(ISBLANK(K424),M424,K424)</f>
        <v>Research</v>
      </c>
      <c r="P424" s="1" t="str">
        <f t="shared" si="428"/>
        <v>Anti-Scam</v>
      </c>
      <c r="Q424" s="61" t="str">
        <f t="shared" si="3"/>
        <v>2024</v>
      </c>
      <c r="R424" s="62">
        <f t="shared" si="4"/>
        <v>4</v>
      </c>
      <c r="S424" s="61" t="str">
        <f t="shared" si="5"/>
        <v>2024-Q2</v>
      </c>
      <c r="T424" s="63" t="str">
        <f t="shared" si="6"/>
        <v>2024-04</v>
      </c>
      <c r="U424" s="64" t="str">
        <f t="shared" si="7"/>
        <v>2024-H1</v>
      </c>
      <c r="V424" s="9" t="str">
        <f>VLOOKUP(B424,Bounties!A:E,2,FALSE)</f>
        <v>Anti-Scam Bounty</v>
      </c>
    </row>
    <row r="425" hidden="1">
      <c r="A425" s="67">
        <f>HYPERLINK("https://polkadot.subsquare.io/treasury/child-bounties/978", 978)</f>
        <v>978</v>
      </c>
      <c r="B425" s="1">
        <v>11.0</v>
      </c>
      <c r="C425" s="1" t="s">
        <v>2414</v>
      </c>
      <c r="D425" s="1" t="s">
        <v>585</v>
      </c>
      <c r="E425" s="5">
        <v>289.129</v>
      </c>
      <c r="F425" s="4">
        <v>2615.070356615067</v>
      </c>
      <c r="G425" s="1" t="s">
        <v>2463</v>
      </c>
      <c r="H425" s="95">
        <v>45387.0</v>
      </c>
      <c r="I425" s="95">
        <v>45396.0</v>
      </c>
      <c r="J425" s="4">
        <v>1937.1778937306406</v>
      </c>
      <c r="K425" s="1"/>
      <c r="L425" s="1"/>
      <c r="M425" s="1" t="str">
        <f>VLOOKUP(B425,Bounties!A:D,3,FALSE)</f>
        <v>Research</v>
      </c>
      <c r="N425" s="1" t="str">
        <f>VLOOKUP(B425,Bounties!A:D,4,FALSE)</f>
        <v>Anti-Scam</v>
      </c>
      <c r="O425" s="1" t="str">
        <f t="shared" ref="O425:P425" si="429">IF(ISBLANK(K425),M425,K425)</f>
        <v>Research</v>
      </c>
      <c r="P425" s="1" t="str">
        <f t="shared" si="429"/>
        <v>Anti-Scam</v>
      </c>
      <c r="Q425" s="61" t="str">
        <f t="shared" si="3"/>
        <v>2024</v>
      </c>
      <c r="R425" s="62">
        <f t="shared" si="4"/>
        <v>4</v>
      </c>
      <c r="S425" s="61" t="str">
        <f t="shared" si="5"/>
        <v>2024-Q2</v>
      </c>
      <c r="T425" s="63" t="str">
        <f t="shared" si="6"/>
        <v>2024-04</v>
      </c>
      <c r="U425" s="64" t="str">
        <f t="shared" si="7"/>
        <v>2024-H1</v>
      </c>
      <c r="V425" s="9" t="str">
        <f>VLOOKUP(B425,Bounties!A:E,2,FALSE)</f>
        <v>Anti-Scam Bounty</v>
      </c>
    </row>
    <row r="426" hidden="1">
      <c r="A426" s="67">
        <f>HYPERLINK("https://polkadot.subsquare.io/treasury/child-bounties/977", 977)</f>
        <v>977</v>
      </c>
      <c r="B426" s="1">
        <v>11.0</v>
      </c>
      <c r="C426" s="1" t="s">
        <v>2414</v>
      </c>
      <c r="D426" s="1" t="s">
        <v>584</v>
      </c>
      <c r="E426" s="5">
        <v>83.79</v>
      </c>
      <c r="F426" s="4">
        <v>711.7278785705566</v>
      </c>
      <c r="G426" s="1" t="s">
        <v>2423</v>
      </c>
      <c r="H426" s="95">
        <v>45385.0</v>
      </c>
      <c r="I426" s="95">
        <v>45395.0</v>
      </c>
      <c r="J426" s="4">
        <v>561.3969394826889</v>
      </c>
      <c r="K426" s="1"/>
      <c r="L426" s="1"/>
      <c r="M426" s="1" t="str">
        <f>VLOOKUP(B426,Bounties!A:D,3,FALSE)</f>
        <v>Research</v>
      </c>
      <c r="N426" s="1" t="str">
        <f>VLOOKUP(B426,Bounties!A:D,4,FALSE)</f>
        <v>Anti-Scam</v>
      </c>
      <c r="O426" s="1" t="str">
        <f t="shared" ref="O426:P426" si="430">IF(ISBLANK(K426),M426,K426)</f>
        <v>Research</v>
      </c>
      <c r="P426" s="1" t="str">
        <f t="shared" si="430"/>
        <v>Anti-Scam</v>
      </c>
      <c r="Q426" s="61" t="str">
        <f t="shared" si="3"/>
        <v>2024</v>
      </c>
      <c r="R426" s="62">
        <f t="shared" si="4"/>
        <v>4</v>
      </c>
      <c r="S426" s="61" t="str">
        <f t="shared" si="5"/>
        <v>2024-Q2</v>
      </c>
      <c r="T426" s="63" t="str">
        <f t="shared" si="6"/>
        <v>2024-04</v>
      </c>
      <c r="U426" s="64" t="str">
        <f t="shared" si="7"/>
        <v>2024-H1</v>
      </c>
      <c r="V426" s="9" t="str">
        <f>VLOOKUP(B426,Bounties!A:E,2,FALSE)</f>
        <v>Anti-Scam Bounty</v>
      </c>
    </row>
    <row r="427" hidden="1">
      <c r="A427" s="67">
        <f>HYPERLINK("https://polkadot.subsquare.io/treasury/child-bounties/976", 976)</f>
        <v>976</v>
      </c>
      <c r="B427" s="1">
        <v>11.0</v>
      </c>
      <c r="C427" s="1" t="s">
        <v>2414</v>
      </c>
      <c r="D427" s="1" t="s">
        <v>583</v>
      </c>
      <c r="E427" s="5">
        <v>30.16</v>
      </c>
      <c r="F427" s="4">
        <v>256.1846618652344</v>
      </c>
      <c r="G427" s="1" t="s">
        <v>2527</v>
      </c>
      <c r="H427" s="95">
        <v>45385.0</v>
      </c>
      <c r="I427" s="95">
        <v>45396.0</v>
      </c>
      <c r="J427" s="4">
        <v>202.073418006897</v>
      </c>
      <c r="K427" s="1"/>
      <c r="L427" s="1"/>
      <c r="M427" s="1" t="str">
        <f>VLOOKUP(B427,Bounties!A:D,3,FALSE)</f>
        <v>Research</v>
      </c>
      <c r="N427" s="1" t="str">
        <f>VLOOKUP(B427,Bounties!A:D,4,FALSE)</f>
        <v>Anti-Scam</v>
      </c>
      <c r="O427" s="1" t="str">
        <f t="shared" ref="O427:P427" si="431">IF(ISBLANK(K427),M427,K427)</f>
        <v>Research</v>
      </c>
      <c r="P427" s="1" t="str">
        <f t="shared" si="431"/>
        <v>Anti-Scam</v>
      </c>
      <c r="Q427" s="61" t="str">
        <f t="shared" si="3"/>
        <v>2024</v>
      </c>
      <c r="R427" s="62">
        <f t="shared" si="4"/>
        <v>4</v>
      </c>
      <c r="S427" s="61" t="str">
        <f t="shared" si="5"/>
        <v>2024-Q2</v>
      </c>
      <c r="T427" s="63" t="str">
        <f t="shared" si="6"/>
        <v>2024-04</v>
      </c>
      <c r="U427" s="64" t="str">
        <f t="shared" si="7"/>
        <v>2024-H1</v>
      </c>
      <c r="V427" s="9" t="str">
        <f>VLOOKUP(B427,Bounties!A:E,2,FALSE)</f>
        <v>Anti-Scam Bounty</v>
      </c>
    </row>
    <row r="428" hidden="1">
      <c r="A428" s="67">
        <f>HYPERLINK("https://polkadot.subsquare.io/treasury/child-bounties/975", 975)</f>
        <v>975</v>
      </c>
      <c r="B428" s="1">
        <v>11.0</v>
      </c>
      <c r="C428" s="1" t="s">
        <v>2414</v>
      </c>
      <c r="D428" s="1" t="s">
        <v>582</v>
      </c>
      <c r="E428" s="5">
        <v>297.9</v>
      </c>
      <c r="F428" s="4">
        <v>2530.418128967285</v>
      </c>
      <c r="G428" s="1" t="s">
        <v>2495</v>
      </c>
      <c r="H428" s="95">
        <v>45385.0</v>
      </c>
      <c r="I428" s="95">
        <v>45395.0</v>
      </c>
      <c r="J428" s="4">
        <v>1995.9440061092375</v>
      </c>
      <c r="K428" s="1"/>
      <c r="L428" s="1"/>
      <c r="M428" s="1" t="str">
        <f>VLOOKUP(B428,Bounties!A:D,3,FALSE)</f>
        <v>Research</v>
      </c>
      <c r="N428" s="1" t="str">
        <f>VLOOKUP(B428,Bounties!A:D,4,FALSE)</f>
        <v>Anti-Scam</v>
      </c>
      <c r="O428" s="1" t="str">
        <f t="shared" ref="O428:P428" si="432">IF(ISBLANK(K428),M428,K428)</f>
        <v>Research</v>
      </c>
      <c r="P428" s="1" t="str">
        <f t="shared" si="432"/>
        <v>Anti-Scam</v>
      </c>
      <c r="Q428" s="61" t="str">
        <f t="shared" si="3"/>
        <v>2024</v>
      </c>
      <c r="R428" s="62">
        <f t="shared" si="4"/>
        <v>4</v>
      </c>
      <c r="S428" s="61" t="str">
        <f t="shared" si="5"/>
        <v>2024-Q2</v>
      </c>
      <c r="T428" s="63" t="str">
        <f t="shared" si="6"/>
        <v>2024-04</v>
      </c>
      <c r="U428" s="64" t="str">
        <f t="shared" si="7"/>
        <v>2024-H1</v>
      </c>
      <c r="V428" s="9" t="str">
        <f>VLOOKUP(B428,Bounties!A:E,2,FALSE)</f>
        <v>Anti-Scam Bounty</v>
      </c>
    </row>
    <row r="429" hidden="1">
      <c r="A429" s="67">
        <f>HYPERLINK("https://polkadot.subsquare.io/treasury/child-bounties/974", 974)</f>
        <v>974</v>
      </c>
      <c r="B429" s="1">
        <v>11.0</v>
      </c>
      <c r="C429" s="1" t="s">
        <v>2414</v>
      </c>
      <c r="D429" s="1" t="s">
        <v>581</v>
      </c>
      <c r="E429" s="5">
        <v>297.9</v>
      </c>
      <c r="F429" s="4">
        <v>2530.418128967285</v>
      </c>
      <c r="G429" s="1" t="s">
        <v>2496</v>
      </c>
      <c r="H429" s="95">
        <v>45385.0</v>
      </c>
      <c r="I429" s="95">
        <v>45395.0</v>
      </c>
      <c r="J429" s="4">
        <v>1995.9440061092375</v>
      </c>
      <c r="K429" s="1"/>
      <c r="L429" s="1"/>
      <c r="M429" s="1" t="str">
        <f>VLOOKUP(B429,Bounties!A:D,3,FALSE)</f>
        <v>Research</v>
      </c>
      <c r="N429" s="1" t="str">
        <f>VLOOKUP(B429,Bounties!A:D,4,FALSE)</f>
        <v>Anti-Scam</v>
      </c>
      <c r="O429" s="1" t="str">
        <f t="shared" ref="O429:P429" si="433">IF(ISBLANK(K429),M429,K429)</f>
        <v>Research</v>
      </c>
      <c r="P429" s="1" t="str">
        <f t="shared" si="433"/>
        <v>Anti-Scam</v>
      </c>
      <c r="Q429" s="61" t="str">
        <f t="shared" si="3"/>
        <v>2024</v>
      </c>
      <c r="R429" s="62">
        <f t="shared" si="4"/>
        <v>4</v>
      </c>
      <c r="S429" s="61" t="str">
        <f t="shared" si="5"/>
        <v>2024-Q2</v>
      </c>
      <c r="T429" s="63" t="str">
        <f t="shared" si="6"/>
        <v>2024-04</v>
      </c>
      <c r="U429" s="64" t="str">
        <f t="shared" si="7"/>
        <v>2024-H1</v>
      </c>
      <c r="V429" s="9" t="str">
        <f>VLOOKUP(B429,Bounties!A:E,2,FALSE)</f>
        <v>Anti-Scam Bounty</v>
      </c>
    </row>
    <row r="430" hidden="1">
      <c r="A430" s="67">
        <f>HYPERLINK("https://polkadot.subsquare.io/treasury/child-bounties/973", 973)</f>
        <v>973</v>
      </c>
      <c r="B430" s="1">
        <v>11.0</v>
      </c>
      <c r="C430" s="1" t="s">
        <v>2414</v>
      </c>
      <c r="D430" s="1" t="s">
        <v>580</v>
      </c>
      <c r="E430" s="5">
        <v>297.9</v>
      </c>
      <c r="F430" s="4">
        <v>2530.418128967285</v>
      </c>
      <c r="G430" s="1" t="s">
        <v>2497</v>
      </c>
      <c r="H430" s="95">
        <v>45385.0</v>
      </c>
      <c r="I430" s="95">
        <v>45395.0</v>
      </c>
      <c r="J430" s="4">
        <v>1995.9440061092375</v>
      </c>
      <c r="K430" s="1"/>
      <c r="L430" s="1"/>
      <c r="M430" s="1" t="str">
        <f>VLOOKUP(B430,Bounties!A:D,3,FALSE)</f>
        <v>Research</v>
      </c>
      <c r="N430" s="1" t="str">
        <f>VLOOKUP(B430,Bounties!A:D,4,FALSE)</f>
        <v>Anti-Scam</v>
      </c>
      <c r="O430" s="1" t="str">
        <f t="shared" ref="O430:P430" si="434">IF(ISBLANK(K430),M430,K430)</f>
        <v>Research</v>
      </c>
      <c r="P430" s="1" t="str">
        <f t="shared" si="434"/>
        <v>Anti-Scam</v>
      </c>
      <c r="Q430" s="61" t="str">
        <f t="shared" si="3"/>
        <v>2024</v>
      </c>
      <c r="R430" s="62">
        <f t="shared" si="4"/>
        <v>4</v>
      </c>
      <c r="S430" s="61" t="str">
        <f t="shared" si="5"/>
        <v>2024-Q2</v>
      </c>
      <c r="T430" s="63" t="str">
        <f t="shared" si="6"/>
        <v>2024-04</v>
      </c>
      <c r="U430" s="64" t="str">
        <f t="shared" si="7"/>
        <v>2024-H1</v>
      </c>
      <c r="V430" s="9" t="str">
        <f>VLOOKUP(B430,Bounties!A:E,2,FALSE)</f>
        <v>Anti-Scam Bounty</v>
      </c>
    </row>
    <row r="431" hidden="1">
      <c r="A431" s="67">
        <f>HYPERLINK("https://polkadot.subsquare.io/treasury/child-bounties/972", 972)</f>
        <v>972</v>
      </c>
      <c r="B431" s="1">
        <v>11.0</v>
      </c>
      <c r="C431" s="1" t="s">
        <v>2414</v>
      </c>
      <c r="D431" s="1" t="s">
        <v>579</v>
      </c>
      <c r="E431" s="5">
        <v>55.86</v>
      </c>
      <c r="F431" s="4">
        <v>474.4852523803711</v>
      </c>
      <c r="G431" s="1" t="s">
        <v>2528</v>
      </c>
      <c r="H431" s="95">
        <v>45385.0</v>
      </c>
      <c r="I431" s="95">
        <v>45395.0</v>
      </c>
      <c r="J431" s="4">
        <v>374.2646263217926</v>
      </c>
      <c r="K431" s="1"/>
      <c r="L431" s="1"/>
      <c r="M431" s="1" t="str">
        <f>VLOOKUP(B431,Bounties!A:D,3,FALSE)</f>
        <v>Research</v>
      </c>
      <c r="N431" s="1" t="str">
        <f>VLOOKUP(B431,Bounties!A:D,4,FALSE)</f>
        <v>Anti-Scam</v>
      </c>
      <c r="O431" s="1" t="str">
        <f t="shared" ref="O431:P431" si="435">IF(ISBLANK(K431),M431,K431)</f>
        <v>Research</v>
      </c>
      <c r="P431" s="1" t="str">
        <f t="shared" si="435"/>
        <v>Anti-Scam</v>
      </c>
      <c r="Q431" s="61" t="str">
        <f t="shared" si="3"/>
        <v>2024</v>
      </c>
      <c r="R431" s="62">
        <f t="shared" si="4"/>
        <v>4</v>
      </c>
      <c r="S431" s="61" t="str">
        <f t="shared" si="5"/>
        <v>2024-Q2</v>
      </c>
      <c r="T431" s="63" t="str">
        <f t="shared" si="6"/>
        <v>2024-04</v>
      </c>
      <c r="U431" s="64" t="str">
        <f t="shared" si="7"/>
        <v>2024-H1</v>
      </c>
      <c r="V431" s="9" t="str">
        <f>VLOOKUP(B431,Bounties!A:E,2,FALSE)</f>
        <v>Anti-Scam Bounty</v>
      </c>
    </row>
    <row r="432" hidden="1">
      <c r="A432" s="67">
        <f>HYPERLINK("https://polkadot.subsquare.io/treasury/child-bounties/971", 971)</f>
        <v>971</v>
      </c>
      <c r="B432" s="1">
        <v>17.0</v>
      </c>
      <c r="C432" s="1" t="s">
        <v>2414</v>
      </c>
      <c r="D432" s="1" t="s">
        <v>578</v>
      </c>
      <c r="E432" s="5">
        <v>3678.0</v>
      </c>
      <c r="F432" s="4">
        <v>31241.617584228516</v>
      </c>
      <c r="G432" s="1" t="s">
        <v>2605</v>
      </c>
      <c r="H432" s="95">
        <v>45385.0</v>
      </c>
      <c r="I432" s="95">
        <v>45397.0</v>
      </c>
      <c r="J432" s="4">
        <v>24199.868242263794</v>
      </c>
      <c r="K432" s="1"/>
      <c r="L432" s="1" t="s">
        <v>86</v>
      </c>
      <c r="M432" s="1" t="str">
        <f>VLOOKUP(B432,Bounties!A:D,3,FALSE)</f>
        <v>Outreach</v>
      </c>
      <c r="N432" s="1" t="str">
        <f>VLOOKUP(B432,Bounties!A:D,4,FALSE)</f>
        <v>Events/Meetups</v>
      </c>
      <c r="O432" s="1" t="str">
        <f t="shared" ref="O432:P432" si="436">IF(ISBLANK(K432),M432,K432)</f>
        <v>Outreach</v>
      </c>
      <c r="P432" s="1" t="str">
        <f t="shared" si="436"/>
        <v>Events/Conference Attendance &amp; Side Events</v>
      </c>
      <c r="Q432" s="61" t="str">
        <f t="shared" si="3"/>
        <v>2024</v>
      </c>
      <c r="R432" s="62">
        <f t="shared" si="4"/>
        <v>4</v>
      </c>
      <c r="S432" s="61" t="str">
        <f t="shared" si="5"/>
        <v>2024-Q2</v>
      </c>
      <c r="T432" s="63" t="str">
        <f t="shared" si="6"/>
        <v>2024-04</v>
      </c>
      <c r="U432" s="64" t="str">
        <f t="shared" si="7"/>
        <v>2024-H1</v>
      </c>
      <c r="V432" s="9" t="str">
        <f>VLOOKUP(B432,Bounties!A:E,2,FALSE)</f>
        <v>Events Bounty</v>
      </c>
    </row>
    <row r="433" hidden="1">
      <c r="A433" s="67">
        <f>HYPERLINK("https://polkadot.subsquare.io/treasury/child-bounties/970", 970)</f>
        <v>970</v>
      </c>
      <c r="B433" s="1">
        <v>17.0</v>
      </c>
      <c r="C433" s="1" t="s">
        <v>2414</v>
      </c>
      <c r="D433" s="1" t="s">
        <v>577</v>
      </c>
      <c r="E433" s="5">
        <v>8389.3</v>
      </c>
      <c r="F433" s="4">
        <v>71260.27797698975</v>
      </c>
      <c r="G433" s="1" t="s">
        <v>2606</v>
      </c>
      <c r="H433" s="95">
        <v>45385.0</v>
      </c>
      <c r="I433" s="95">
        <v>45396.0</v>
      </c>
      <c r="J433" s="4">
        <v>55198.465101909635</v>
      </c>
      <c r="K433" s="1"/>
      <c r="L433" s="1" t="s">
        <v>86</v>
      </c>
      <c r="M433" s="1" t="str">
        <f>VLOOKUP(B433,Bounties!A:D,3,FALSE)</f>
        <v>Outreach</v>
      </c>
      <c r="N433" s="1" t="str">
        <f>VLOOKUP(B433,Bounties!A:D,4,FALSE)</f>
        <v>Events/Meetups</v>
      </c>
      <c r="O433" s="1" t="str">
        <f t="shared" ref="O433:P433" si="437">IF(ISBLANK(K433),M433,K433)</f>
        <v>Outreach</v>
      </c>
      <c r="P433" s="1" t="str">
        <f t="shared" si="437"/>
        <v>Events/Conference Attendance &amp; Side Events</v>
      </c>
      <c r="Q433" s="61" t="str">
        <f t="shared" si="3"/>
        <v>2024</v>
      </c>
      <c r="R433" s="62">
        <f t="shared" si="4"/>
        <v>4</v>
      </c>
      <c r="S433" s="61" t="str">
        <f t="shared" si="5"/>
        <v>2024-Q2</v>
      </c>
      <c r="T433" s="63" t="str">
        <f t="shared" si="6"/>
        <v>2024-04</v>
      </c>
      <c r="U433" s="64" t="str">
        <f t="shared" si="7"/>
        <v>2024-H1</v>
      </c>
      <c r="V433" s="9" t="str">
        <f>VLOOKUP(B433,Bounties!A:E,2,FALSE)</f>
        <v>Events Bounty</v>
      </c>
    </row>
    <row r="434" hidden="1">
      <c r="A434" s="67">
        <f>HYPERLINK("https://polkadot.subsquare.io/treasury/child-bounties/969", 969)</f>
        <v>969</v>
      </c>
      <c r="B434" s="1">
        <v>11.0</v>
      </c>
      <c r="C434" s="1" t="s">
        <v>2414</v>
      </c>
      <c r="D434" s="1" t="s">
        <v>576</v>
      </c>
      <c r="E434" s="5">
        <v>56.75</v>
      </c>
      <c r="F434" s="4">
        <v>476.07774901390076</v>
      </c>
      <c r="G434" s="1" t="s">
        <v>2433</v>
      </c>
      <c r="H434" s="95">
        <v>45385.0</v>
      </c>
      <c r="I434" s="95">
        <v>45393.0</v>
      </c>
      <c r="J434" s="4">
        <v>389.8353935480118</v>
      </c>
      <c r="K434" s="1"/>
      <c r="L434" s="1"/>
      <c r="M434" s="1" t="str">
        <f>VLOOKUP(B434,Bounties!A:D,3,FALSE)</f>
        <v>Research</v>
      </c>
      <c r="N434" s="1" t="str">
        <f>VLOOKUP(B434,Bounties!A:D,4,FALSE)</f>
        <v>Anti-Scam</v>
      </c>
      <c r="O434" s="1" t="str">
        <f t="shared" ref="O434:P434" si="438">IF(ISBLANK(K434),M434,K434)</f>
        <v>Research</v>
      </c>
      <c r="P434" s="1" t="str">
        <f t="shared" si="438"/>
        <v>Anti-Scam</v>
      </c>
      <c r="Q434" s="61" t="str">
        <f t="shared" si="3"/>
        <v>2024</v>
      </c>
      <c r="R434" s="62">
        <f t="shared" si="4"/>
        <v>4</v>
      </c>
      <c r="S434" s="61" t="str">
        <f t="shared" si="5"/>
        <v>2024-Q2</v>
      </c>
      <c r="T434" s="63" t="str">
        <f t="shared" si="6"/>
        <v>2024-04</v>
      </c>
      <c r="U434" s="64" t="str">
        <f t="shared" si="7"/>
        <v>2024-H1</v>
      </c>
      <c r="V434" s="9" t="str">
        <f>VLOOKUP(B434,Bounties!A:E,2,FALSE)</f>
        <v>Anti-Scam Bounty</v>
      </c>
    </row>
    <row r="435" hidden="1">
      <c r="A435" s="67">
        <f>HYPERLINK("https://polkadot.subsquare.io/treasury/child-bounties/968", 968)</f>
        <v>968</v>
      </c>
      <c r="B435" s="1">
        <v>11.0</v>
      </c>
      <c r="C435" s="1" t="s">
        <v>2414</v>
      </c>
      <c r="D435" s="1" t="s">
        <v>575</v>
      </c>
      <c r="E435" s="5">
        <v>22.7</v>
      </c>
      <c r="F435" s="4">
        <v>190.4310996055603</v>
      </c>
      <c r="G435" s="1" t="s">
        <v>2433</v>
      </c>
      <c r="H435" s="95">
        <v>45385.0</v>
      </c>
      <c r="I435" s="95">
        <v>45393.0</v>
      </c>
      <c r="J435" s="4">
        <v>155.9341574192047</v>
      </c>
      <c r="K435" s="1"/>
      <c r="L435" s="1"/>
      <c r="M435" s="1" t="str">
        <f>VLOOKUP(B435,Bounties!A:D,3,FALSE)</f>
        <v>Research</v>
      </c>
      <c r="N435" s="1" t="str">
        <f>VLOOKUP(B435,Bounties!A:D,4,FALSE)</f>
        <v>Anti-Scam</v>
      </c>
      <c r="O435" s="1" t="str">
        <f t="shared" ref="O435:P435" si="439">IF(ISBLANK(K435),M435,K435)</f>
        <v>Research</v>
      </c>
      <c r="P435" s="1" t="str">
        <f t="shared" si="439"/>
        <v>Anti-Scam</v>
      </c>
      <c r="Q435" s="61" t="str">
        <f t="shared" si="3"/>
        <v>2024</v>
      </c>
      <c r="R435" s="62">
        <f t="shared" si="4"/>
        <v>4</v>
      </c>
      <c r="S435" s="61" t="str">
        <f t="shared" si="5"/>
        <v>2024-Q2</v>
      </c>
      <c r="T435" s="63" t="str">
        <f t="shared" si="6"/>
        <v>2024-04</v>
      </c>
      <c r="U435" s="64" t="str">
        <f t="shared" si="7"/>
        <v>2024-H1</v>
      </c>
      <c r="V435" s="9" t="str">
        <f>VLOOKUP(B435,Bounties!A:E,2,FALSE)</f>
        <v>Anti-Scam Bounty</v>
      </c>
    </row>
    <row r="436" hidden="1">
      <c r="A436" s="67">
        <f>HYPERLINK("https://polkadot.subsquare.io/treasury/child-bounties/967", 967)</f>
        <v>967</v>
      </c>
      <c r="B436" s="1">
        <v>11.0</v>
      </c>
      <c r="C436" s="1" t="s">
        <v>2414</v>
      </c>
      <c r="D436" s="1" t="s">
        <v>574</v>
      </c>
      <c r="E436" s="5">
        <v>136.2</v>
      </c>
      <c r="F436" s="4">
        <v>1142.5865976333616</v>
      </c>
      <c r="G436" s="1" t="s">
        <v>2524</v>
      </c>
      <c r="H436" s="95">
        <v>45385.0</v>
      </c>
      <c r="I436" s="95">
        <v>45396.0</v>
      </c>
      <c r="J436" s="4">
        <v>896.1452024459838</v>
      </c>
      <c r="K436" s="1"/>
      <c r="L436" s="1"/>
      <c r="M436" s="1" t="str">
        <f>VLOOKUP(B436,Bounties!A:D,3,FALSE)</f>
        <v>Research</v>
      </c>
      <c r="N436" s="1" t="str">
        <f>VLOOKUP(B436,Bounties!A:D,4,FALSE)</f>
        <v>Anti-Scam</v>
      </c>
      <c r="O436" s="1" t="str">
        <f t="shared" ref="O436:P436" si="440">IF(ISBLANK(K436),M436,K436)</f>
        <v>Research</v>
      </c>
      <c r="P436" s="1" t="str">
        <f t="shared" si="440"/>
        <v>Anti-Scam</v>
      </c>
      <c r="Q436" s="61" t="str">
        <f t="shared" si="3"/>
        <v>2024</v>
      </c>
      <c r="R436" s="62">
        <f t="shared" si="4"/>
        <v>4</v>
      </c>
      <c r="S436" s="61" t="str">
        <f t="shared" si="5"/>
        <v>2024-Q2</v>
      </c>
      <c r="T436" s="63" t="str">
        <f t="shared" si="6"/>
        <v>2024-04</v>
      </c>
      <c r="U436" s="64" t="str">
        <f t="shared" si="7"/>
        <v>2024-H1</v>
      </c>
      <c r="V436" s="9" t="str">
        <f>VLOOKUP(B436,Bounties!A:E,2,FALSE)</f>
        <v>Anti-Scam Bounty</v>
      </c>
    </row>
    <row r="437" hidden="1">
      <c r="A437" s="67">
        <f>HYPERLINK("https://polkadot.subsquare.io/treasury/child-bounties/966", 966)</f>
        <v>966</v>
      </c>
      <c r="B437" s="1">
        <v>11.0</v>
      </c>
      <c r="C437" s="1" t="s">
        <v>2414</v>
      </c>
      <c r="D437" s="1" t="s">
        <v>573</v>
      </c>
      <c r="E437" s="5">
        <v>136.2</v>
      </c>
      <c r="F437" s="4">
        <v>1142.5865976333616</v>
      </c>
      <c r="G437" s="1" t="s">
        <v>2433</v>
      </c>
      <c r="H437" s="95">
        <v>45385.0</v>
      </c>
      <c r="I437" s="95">
        <v>45393.0</v>
      </c>
      <c r="J437" s="4">
        <v>935.6049445152282</v>
      </c>
      <c r="K437" s="1"/>
      <c r="L437" s="1"/>
      <c r="M437" s="1" t="str">
        <f>VLOOKUP(B437,Bounties!A:D,3,FALSE)</f>
        <v>Research</v>
      </c>
      <c r="N437" s="1" t="str">
        <f>VLOOKUP(B437,Bounties!A:D,4,FALSE)</f>
        <v>Anti-Scam</v>
      </c>
      <c r="O437" s="1" t="str">
        <f t="shared" ref="O437:P437" si="441">IF(ISBLANK(K437),M437,K437)</f>
        <v>Research</v>
      </c>
      <c r="P437" s="1" t="str">
        <f t="shared" si="441"/>
        <v>Anti-Scam</v>
      </c>
      <c r="Q437" s="61" t="str">
        <f t="shared" si="3"/>
        <v>2024</v>
      </c>
      <c r="R437" s="62">
        <f t="shared" si="4"/>
        <v>4</v>
      </c>
      <c r="S437" s="61" t="str">
        <f t="shared" si="5"/>
        <v>2024-Q2</v>
      </c>
      <c r="T437" s="63" t="str">
        <f t="shared" si="6"/>
        <v>2024-04</v>
      </c>
      <c r="U437" s="64" t="str">
        <f t="shared" si="7"/>
        <v>2024-H1</v>
      </c>
      <c r="V437" s="9" t="str">
        <f>VLOOKUP(B437,Bounties!A:E,2,FALSE)</f>
        <v>Anti-Scam Bounty</v>
      </c>
    </row>
    <row r="438" hidden="1">
      <c r="A438" s="67">
        <f>HYPERLINK("https://polkadot.subsquare.io/treasury/child-bounties/965", 965)</f>
        <v>965</v>
      </c>
      <c r="B438" s="1">
        <v>11.0</v>
      </c>
      <c r="C438" s="1" t="s">
        <v>2414</v>
      </c>
      <c r="D438" s="1" t="s">
        <v>572</v>
      </c>
      <c r="E438" s="5">
        <v>54.945</v>
      </c>
      <c r="F438" s="4">
        <v>460.93554043293</v>
      </c>
      <c r="G438" s="1" t="s">
        <v>2531</v>
      </c>
      <c r="H438" s="95">
        <v>45385.0</v>
      </c>
      <c r="I438" s="95">
        <v>45395.0</v>
      </c>
      <c r="J438" s="4">
        <v>368.13408330202105</v>
      </c>
      <c r="K438" s="1"/>
      <c r="L438" s="1"/>
      <c r="M438" s="1" t="str">
        <f>VLOOKUP(B438,Bounties!A:D,3,FALSE)</f>
        <v>Research</v>
      </c>
      <c r="N438" s="1" t="str">
        <f>VLOOKUP(B438,Bounties!A:D,4,FALSE)</f>
        <v>Anti-Scam</v>
      </c>
      <c r="O438" s="1" t="str">
        <f t="shared" ref="O438:P438" si="442">IF(ISBLANK(K438),M438,K438)</f>
        <v>Research</v>
      </c>
      <c r="P438" s="1" t="str">
        <f t="shared" si="442"/>
        <v>Anti-Scam</v>
      </c>
      <c r="Q438" s="61" t="str">
        <f t="shared" si="3"/>
        <v>2024</v>
      </c>
      <c r="R438" s="62">
        <f t="shared" si="4"/>
        <v>4</v>
      </c>
      <c r="S438" s="61" t="str">
        <f t="shared" si="5"/>
        <v>2024-Q2</v>
      </c>
      <c r="T438" s="63" t="str">
        <f t="shared" si="6"/>
        <v>2024-04</v>
      </c>
      <c r="U438" s="64" t="str">
        <f t="shared" si="7"/>
        <v>2024-H1</v>
      </c>
      <c r="V438" s="9" t="str">
        <f>VLOOKUP(B438,Bounties!A:E,2,FALSE)</f>
        <v>Anti-Scam Bounty</v>
      </c>
    </row>
    <row r="439" hidden="1">
      <c r="A439" s="67">
        <f>HYPERLINK("https://polkadot.subsquare.io/treasury/child-bounties/964", 964)</f>
        <v>964</v>
      </c>
      <c r="B439" s="1">
        <v>11.0</v>
      </c>
      <c r="C439" s="1" t="s">
        <v>2414</v>
      </c>
      <c r="D439" s="1" t="s">
        <v>571</v>
      </c>
      <c r="E439" s="5">
        <v>65.934</v>
      </c>
      <c r="F439" s="4">
        <v>553.122648519516</v>
      </c>
      <c r="G439" s="1" t="s">
        <v>2531</v>
      </c>
      <c r="H439" s="95">
        <v>45385.0</v>
      </c>
      <c r="I439" s="95">
        <v>45395.0</v>
      </c>
      <c r="J439" s="4">
        <v>441.76089996242524</v>
      </c>
      <c r="K439" s="1"/>
      <c r="L439" s="1"/>
      <c r="M439" s="1" t="str">
        <f>VLOOKUP(B439,Bounties!A:D,3,FALSE)</f>
        <v>Research</v>
      </c>
      <c r="N439" s="1" t="str">
        <f>VLOOKUP(B439,Bounties!A:D,4,FALSE)</f>
        <v>Anti-Scam</v>
      </c>
      <c r="O439" s="1" t="str">
        <f t="shared" ref="O439:P439" si="443">IF(ISBLANK(K439),M439,K439)</f>
        <v>Research</v>
      </c>
      <c r="P439" s="1" t="str">
        <f t="shared" si="443"/>
        <v>Anti-Scam</v>
      </c>
      <c r="Q439" s="61" t="str">
        <f t="shared" si="3"/>
        <v>2024</v>
      </c>
      <c r="R439" s="62">
        <f t="shared" si="4"/>
        <v>4</v>
      </c>
      <c r="S439" s="61" t="str">
        <f t="shared" si="5"/>
        <v>2024-Q2</v>
      </c>
      <c r="T439" s="63" t="str">
        <f t="shared" si="6"/>
        <v>2024-04</v>
      </c>
      <c r="U439" s="64" t="str">
        <f t="shared" si="7"/>
        <v>2024-H1</v>
      </c>
      <c r="V439" s="9" t="str">
        <f>VLOOKUP(B439,Bounties!A:E,2,FALSE)</f>
        <v>Anti-Scam Bounty</v>
      </c>
    </row>
    <row r="440" hidden="1">
      <c r="A440" s="67">
        <f>HYPERLINK("https://polkadot.subsquare.io/treasury/child-bounties/963", 963)</f>
        <v>963</v>
      </c>
      <c r="B440" s="1">
        <v>11.0</v>
      </c>
      <c r="C440" s="1" t="s">
        <v>2414</v>
      </c>
      <c r="D440" s="1" t="s">
        <v>570</v>
      </c>
      <c r="E440" s="5">
        <v>158.2417</v>
      </c>
      <c r="F440" s="4">
        <v>1327.495195350361</v>
      </c>
      <c r="G440" s="1" t="s">
        <v>2438</v>
      </c>
      <c r="H440" s="95">
        <v>45385.0</v>
      </c>
      <c r="I440" s="95">
        <v>45397.0</v>
      </c>
      <c r="J440" s="4">
        <v>1073.7526850624563</v>
      </c>
      <c r="K440" s="1"/>
      <c r="L440" s="1"/>
      <c r="M440" s="1" t="str">
        <f>VLOOKUP(B440,Bounties!A:D,3,FALSE)</f>
        <v>Research</v>
      </c>
      <c r="N440" s="1" t="str">
        <f>VLOOKUP(B440,Bounties!A:D,4,FALSE)</f>
        <v>Anti-Scam</v>
      </c>
      <c r="O440" s="1" t="str">
        <f t="shared" ref="O440:P440" si="444">IF(ISBLANK(K440),M440,K440)</f>
        <v>Research</v>
      </c>
      <c r="P440" s="1" t="str">
        <f t="shared" si="444"/>
        <v>Anti-Scam</v>
      </c>
      <c r="Q440" s="61" t="str">
        <f t="shared" si="3"/>
        <v>2024</v>
      </c>
      <c r="R440" s="62">
        <f t="shared" si="4"/>
        <v>4</v>
      </c>
      <c r="S440" s="61" t="str">
        <f t="shared" si="5"/>
        <v>2024-Q2</v>
      </c>
      <c r="T440" s="63" t="str">
        <f t="shared" si="6"/>
        <v>2024-04</v>
      </c>
      <c r="U440" s="64" t="str">
        <f t="shared" si="7"/>
        <v>2024-H1</v>
      </c>
      <c r="V440" s="9" t="str">
        <f>VLOOKUP(B440,Bounties!A:E,2,FALSE)</f>
        <v>Anti-Scam Bounty</v>
      </c>
    </row>
    <row r="441" hidden="1">
      <c r="A441" s="67">
        <f>HYPERLINK("https://polkadot.subsquare.io/treasury/child-bounties/962", 962)</f>
        <v>962</v>
      </c>
      <c r="B441" s="1">
        <v>11.0</v>
      </c>
      <c r="C441" s="1" t="s">
        <v>2414</v>
      </c>
      <c r="D441" s="1" t="s">
        <v>569</v>
      </c>
      <c r="E441" s="5">
        <v>184.6153</v>
      </c>
      <c r="F441" s="4">
        <v>1548.7442547581672</v>
      </c>
      <c r="G441" s="1" t="s">
        <v>2527</v>
      </c>
      <c r="H441" s="95">
        <v>45385.0</v>
      </c>
      <c r="I441" s="95">
        <v>45395.0</v>
      </c>
      <c r="J441" s="4">
        <v>1239.2359408995628</v>
      </c>
      <c r="K441" s="1"/>
      <c r="L441" s="1"/>
      <c r="M441" s="1" t="str">
        <f>VLOOKUP(B441,Bounties!A:D,3,FALSE)</f>
        <v>Research</v>
      </c>
      <c r="N441" s="1" t="str">
        <f>VLOOKUP(B441,Bounties!A:D,4,FALSE)</f>
        <v>Anti-Scam</v>
      </c>
      <c r="O441" s="1" t="str">
        <f t="shared" ref="O441:P441" si="445">IF(ISBLANK(K441),M441,K441)</f>
        <v>Research</v>
      </c>
      <c r="P441" s="1" t="str">
        <f t="shared" si="445"/>
        <v>Anti-Scam</v>
      </c>
      <c r="Q441" s="61" t="str">
        <f t="shared" si="3"/>
        <v>2024</v>
      </c>
      <c r="R441" s="62">
        <f t="shared" si="4"/>
        <v>4</v>
      </c>
      <c r="S441" s="61" t="str">
        <f t="shared" si="5"/>
        <v>2024-Q2</v>
      </c>
      <c r="T441" s="63" t="str">
        <f t="shared" si="6"/>
        <v>2024-04</v>
      </c>
      <c r="U441" s="64" t="str">
        <f t="shared" si="7"/>
        <v>2024-H1</v>
      </c>
      <c r="V441" s="9" t="str">
        <f>VLOOKUP(B441,Bounties!A:E,2,FALSE)</f>
        <v>Anti-Scam Bounty</v>
      </c>
    </row>
    <row r="442" hidden="1">
      <c r="A442" s="67">
        <f>HYPERLINK("https://polkadot.subsquare.io/treasury/child-bounties/961", 961)</f>
        <v>961</v>
      </c>
      <c r="B442" s="1">
        <v>11.0</v>
      </c>
      <c r="C442" s="1" t="s">
        <v>2414</v>
      </c>
      <c r="D442" s="1" t="s">
        <v>568</v>
      </c>
      <c r="E442" s="5">
        <v>27.4725</v>
      </c>
      <c r="F442" s="4">
        <v>230.467770216465</v>
      </c>
      <c r="G442" s="1" t="s">
        <v>2528</v>
      </c>
      <c r="H442" s="95">
        <v>45385.0</v>
      </c>
      <c r="I442" s="95">
        <v>45395.0</v>
      </c>
      <c r="J442" s="4">
        <v>184.06704165101053</v>
      </c>
      <c r="K442" s="1"/>
      <c r="L442" s="1"/>
      <c r="M442" s="1" t="str">
        <f>VLOOKUP(B442,Bounties!A:D,3,FALSE)</f>
        <v>Research</v>
      </c>
      <c r="N442" s="1" t="str">
        <f>VLOOKUP(B442,Bounties!A:D,4,FALSE)</f>
        <v>Anti-Scam</v>
      </c>
      <c r="O442" s="1" t="str">
        <f t="shared" ref="O442:P442" si="446">IF(ISBLANK(K442),M442,K442)</f>
        <v>Research</v>
      </c>
      <c r="P442" s="1" t="str">
        <f t="shared" si="446"/>
        <v>Anti-Scam</v>
      </c>
      <c r="Q442" s="61" t="str">
        <f t="shared" si="3"/>
        <v>2024</v>
      </c>
      <c r="R442" s="62">
        <f t="shared" si="4"/>
        <v>4</v>
      </c>
      <c r="S442" s="61" t="str">
        <f t="shared" si="5"/>
        <v>2024-Q2</v>
      </c>
      <c r="T442" s="63" t="str">
        <f t="shared" si="6"/>
        <v>2024-04</v>
      </c>
      <c r="U442" s="64" t="str">
        <f t="shared" si="7"/>
        <v>2024-H1</v>
      </c>
      <c r="V442" s="9" t="str">
        <f>VLOOKUP(B442,Bounties!A:E,2,FALSE)</f>
        <v>Anti-Scam Bounty</v>
      </c>
    </row>
    <row r="443" hidden="1">
      <c r="A443" s="67">
        <f>HYPERLINK("https://polkadot.subsquare.io/treasury/child-bounties/960", 960)</f>
        <v>960</v>
      </c>
      <c r="B443" s="1">
        <v>11.0</v>
      </c>
      <c r="C443" s="1" t="s">
        <v>2414</v>
      </c>
      <c r="D443" s="1" t="s">
        <v>567</v>
      </c>
      <c r="E443" s="5">
        <v>27.4725274725</v>
      </c>
      <c r="F443" s="4">
        <v>230.46800068423522</v>
      </c>
      <c r="G443" s="1" t="s">
        <v>2433</v>
      </c>
      <c r="H443" s="95">
        <v>45385.0</v>
      </c>
      <c r="I443" s="95">
        <v>45393.0</v>
      </c>
      <c r="J443" s="4">
        <v>188.71830059912958</v>
      </c>
      <c r="K443" s="1"/>
      <c r="L443" s="1"/>
      <c r="M443" s="1" t="str">
        <f>VLOOKUP(B443,Bounties!A:D,3,FALSE)</f>
        <v>Research</v>
      </c>
      <c r="N443" s="1" t="str">
        <f>VLOOKUP(B443,Bounties!A:D,4,FALSE)</f>
        <v>Anti-Scam</v>
      </c>
      <c r="O443" s="1" t="str">
        <f t="shared" ref="O443:P443" si="447">IF(ISBLANK(K443),M443,K443)</f>
        <v>Research</v>
      </c>
      <c r="P443" s="1" t="str">
        <f t="shared" si="447"/>
        <v>Anti-Scam</v>
      </c>
      <c r="Q443" s="61" t="str">
        <f t="shared" si="3"/>
        <v>2024</v>
      </c>
      <c r="R443" s="62">
        <f t="shared" si="4"/>
        <v>4</v>
      </c>
      <c r="S443" s="61" t="str">
        <f t="shared" si="5"/>
        <v>2024-Q2</v>
      </c>
      <c r="T443" s="63" t="str">
        <f t="shared" si="6"/>
        <v>2024-04</v>
      </c>
      <c r="U443" s="64" t="str">
        <f t="shared" si="7"/>
        <v>2024-H1</v>
      </c>
      <c r="V443" s="9" t="str">
        <f>VLOOKUP(B443,Bounties!A:E,2,FALSE)</f>
        <v>Anti-Scam Bounty</v>
      </c>
    </row>
    <row r="444" hidden="1">
      <c r="A444" s="67">
        <f>HYPERLINK("https://polkadot.subsquare.io/treasury/child-bounties/959", 959)</f>
        <v>959</v>
      </c>
      <c r="B444" s="1">
        <v>11.0</v>
      </c>
      <c r="C444" s="1" t="s">
        <v>2414</v>
      </c>
      <c r="D444" s="1" t="s">
        <v>566</v>
      </c>
      <c r="E444" s="5">
        <v>54.9450549451</v>
      </c>
      <c r="F444" s="4">
        <v>460.9360013693093</v>
      </c>
      <c r="G444" s="1" t="s">
        <v>2433</v>
      </c>
      <c r="H444" s="95">
        <v>45385.0</v>
      </c>
      <c r="I444" s="95">
        <v>45393.0</v>
      </c>
      <c r="J444" s="4">
        <v>377.43660119894605</v>
      </c>
      <c r="K444" s="1"/>
      <c r="L444" s="1"/>
      <c r="M444" s="1" t="str">
        <f>VLOOKUP(B444,Bounties!A:D,3,FALSE)</f>
        <v>Research</v>
      </c>
      <c r="N444" s="1" t="str">
        <f>VLOOKUP(B444,Bounties!A:D,4,FALSE)</f>
        <v>Anti-Scam</v>
      </c>
      <c r="O444" s="1" t="str">
        <f t="shared" ref="O444:P444" si="448">IF(ISBLANK(K444),M444,K444)</f>
        <v>Research</v>
      </c>
      <c r="P444" s="1" t="str">
        <f t="shared" si="448"/>
        <v>Anti-Scam</v>
      </c>
      <c r="Q444" s="61" t="str">
        <f t="shared" si="3"/>
        <v>2024</v>
      </c>
      <c r="R444" s="62">
        <f t="shared" si="4"/>
        <v>4</v>
      </c>
      <c r="S444" s="61" t="str">
        <f t="shared" si="5"/>
        <v>2024-Q2</v>
      </c>
      <c r="T444" s="63" t="str">
        <f t="shared" si="6"/>
        <v>2024-04</v>
      </c>
      <c r="U444" s="64" t="str">
        <f t="shared" si="7"/>
        <v>2024-H1</v>
      </c>
      <c r="V444" s="9" t="str">
        <f>VLOOKUP(B444,Bounties!A:E,2,FALSE)</f>
        <v>Anti-Scam Bounty</v>
      </c>
    </row>
    <row r="445" hidden="1">
      <c r="A445" s="67">
        <f>HYPERLINK("https://polkadot.subsquare.io/treasury/child-bounties/958", 958)</f>
        <v>958</v>
      </c>
      <c r="B445" s="1">
        <v>11.0</v>
      </c>
      <c r="C445" s="1" t="s">
        <v>2414</v>
      </c>
      <c r="D445" s="1" t="s">
        <v>565</v>
      </c>
      <c r="E445" s="5">
        <v>109.8901098901</v>
      </c>
      <c r="F445" s="4">
        <v>921.8720027377798</v>
      </c>
      <c r="G445" s="1" t="s">
        <v>2524</v>
      </c>
      <c r="H445" s="95">
        <v>45385.0</v>
      </c>
      <c r="I445" s="95">
        <v>45396.0</v>
      </c>
      <c r="J445" s="4">
        <v>723.0359381371152</v>
      </c>
      <c r="K445" s="1"/>
      <c r="L445" s="1"/>
      <c r="M445" s="1" t="str">
        <f>VLOOKUP(B445,Bounties!A:D,3,FALSE)</f>
        <v>Research</v>
      </c>
      <c r="N445" s="1" t="str">
        <f>VLOOKUP(B445,Bounties!A:D,4,FALSE)</f>
        <v>Anti-Scam</v>
      </c>
      <c r="O445" s="1" t="str">
        <f t="shared" ref="O445:P445" si="449">IF(ISBLANK(K445),M445,K445)</f>
        <v>Research</v>
      </c>
      <c r="P445" s="1" t="str">
        <f t="shared" si="449"/>
        <v>Anti-Scam</v>
      </c>
      <c r="Q445" s="61" t="str">
        <f t="shared" si="3"/>
        <v>2024</v>
      </c>
      <c r="R445" s="62">
        <f t="shared" si="4"/>
        <v>4</v>
      </c>
      <c r="S445" s="61" t="str">
        <f t="shared" si="5"/>
        <v>2024-Q2</v>
      </c>
      <c r="T445" s="63" t="str">
        <f t="shared" si="6"/>
        <v>2024-04</v>
      </c>
      <c r="U445" s="64" t="str">
        <f t="shared" si="7"/>
        <v>2024-H1</v>
      </c>
      <c r="V445" s="9" t="str">
        <f>VLOOKUP(B445,Bounties!A:E,2,FALSE)</f>
        <v>Anti-Scam Bounty</v>
      </c>
    </row>
    <row r="446" hidden="1">
      <c r="A446" s="67">
        <f>HYPERLINK("https://polkadot.subsquare.io/treasury/child-bounties/957", 957)</f>
        <v>957</v>
      </c>
      <c r="B446" s="1">
        <v>11.0</v>
      </c>
      <c r="C446" s="1" t="s">
        <v>2414</v>
      </c>
      <c r="D446" s="1" t="s">
        <v>564</v>
      </c>
      <c r="E446" s="5">
        <v>109.8901098901</v>
      </c>
      <c r="F446" s="4">
        <v>921.8720027377798</v>
      </c>
      <c r="G446" s="1" t="s">
        <v>2525</v>
      </c>
      <c r="H446" s="95">
        <v>45385.0</v>
      </c>
      <c r="I446" s="95">
        <v>45393.0</v>
      </c>
      <c r="J446" s="4">
        <v>754.8732023972052</v>
      </c>
      <c r="K446" s="1"/>
      <c r="L446" s="1"/>
      <c r="M446" s="1" t="str">
        <f>VLOOKUP(B446,Bounties!A:D,3,FALSE)</f>
        <v>Research</v>
      </c>
      <c r="N446" s="1" t="str">
        <f>VLOOKUP(B446,Bounties!A:D,4,FALSE)</f>
        <v>Anti-Scam</v>
      </c>
      <c r="O446" s="1" t="str">
        <f t="shared" ref="O446:P446" si="450">IF(ISBLANK(K446),M446,K446)</f>
        <v>Research</v>
      </c>
      <c r="P446" s="1" t="str">
        <f t="shared" si="450"/>
        <v>Anti-Scam</v>
      </c>
      <c r="Q446" s="61" t="str">
        <f t="shared" si="3"/>
        <v>2024</v>
      </c>
      <c r="R446" s="62">
        <f t="shared" si="4"/>
        <v>4</v>
      </c>
      <c r="S446" s="61" t="str">
        <f t="shared" si="5"/>
        <v>2024-Q2</v>
      </c>
      <c r="T446" s="63" t="str">
        <f t="shared" si="6"/>
        <v>2024-04</v>
      </c>
      <c r="U446" s="64" t="str">
        <f t="shared" si="7"/>
        <v>2024-H1</v>
      </c>
      <c r="V446" s="9" t="str">
        <f>VLOOKUP(B446,Bounties!A:E,2,FALSE)</f>
        <v>Anti-Scam Bounty</v>
      </c>
    </row>
    <row r="447" hidden="1">
      <c r="A447" s="67">
        <f>HYPERLINK("https://polkadot.subsquare.io/treasury/child-bounties/956", 956)</f>
        <v>956</v>
      </c>
      <c r="B447" s="1">
        <v>32.0</v>
      </c>
      <c r="C447" s="1" t="s">
        <v>2414</v>
      </c>
      <c r="D447" s="1" t="s">
        <v>563</v>
      </c>
      <c r="E447" s="5">
        <v>4.634</v>
      </c>
      <c r="F447" s="4">
        <v>38.87478923225403</v>
      </c>
      <c r="G447" s="1" t="s">
        <v>2437</v>
      </c>
      <c r="H447" s="95">
        <v>45384.0</v>
      </c>
      <c r="I447" s="95">
        <v>45393.0</v>
      </c>
      <c r="J447" s="4">
        <v>29.740909171104434</v>
      </c>
      <c r="K447" s="1"/>
      <c r="L447" s="1"/>
      <c r="M447" s="1" t="str">
        <f>VLOOKUP(B447,Bounties!A:D,3,FALSE)</f>
        <v>Operations</v>
      </c>
      <c r="N447" s="1" t="str">
        <f>VLOOKUP(B447,Bounties!A:D,4,FALSE)</f>
        <v>RPCs and Nodes</v>
      </c>
      <c r="O447" s="1" t="str">
        <f t="shared" ref="O447:P447" si="451">IF(ISBLANK(K447),M447,K447)</f>
        <v>Operations</v>
      </c>
      <c r="P447" s="1" t="str">
        <f t="shared" si="451"/>
        <v>RPCs and Nodes</v>
      </c>
      <c r="Q447" s="61" t="str">
        <f t="shared" si="3"/>
        <v>2024</v>
      </c>
      <c r="R447" s="62">
        <f t="shared" si="4"/>
        <v>4</v>
      </c>
      <c r="S447" s="61" t="str">
        <f t="shared" si="5"/>
        <v>2024-Q2</v>
      </c>
      <c r="T447" s="63" t="str">
        <f t="shared" si="6"/>
        <v>2024-04</v>
      </c>
      <c r="U447" s="64" t="str">
        <f t="shared" si="7"/>
        <v>2024-H1</v>
      </c>
      <c r="V447" s="9" t="str">
        <f>VLOOKUP(B447,Bounties!A:E,2,FALSE)</f>
        <v>System Parachains Collator Bounty</v>
      </c>
    </row>
    <row r="448" hidden="1">
      <c r="A448" s="67">
        <f>HYPERLINK("https://polkadot.subsquare.io/treasury/child-bounties/955", 955)</f>
        <v>955</v>
      </c>
      <c r="B448" s="1">
        <v>32.0</v>
      </c>
      <c r="C448" s="1" t="s">
        <v>2414</v>
      </c>
      <c r="D448" s="1" t="s">
        <v>562</v>
      </c>
      <c r="E448" s="5">
        <v>7.5542084484</v>
      </c>
      <c r="F448" s="4">
        <v>63.37252076997469</v>
      </c>
      <c r="G448" s="1" t="s">
        <v>2437</v>
      </c>
      <c r="H448" s="95">
        <v>45384.0</v>
      </c>
      <c r="I448" s="95">
        <v>45393.0</v>
      </c>
      <c r="J448" s="4">
        <v>48.48274219323568</v>
      </c>
      <c r="K448" s="1"/>
      <c r="L448" s="1"/>
      <c r="M448" s="1" t="str">
        <f>VLOOKUP(B448,Bounties!A:D,3,FALSE)</f>
        <v>Operations</v>
      </c>
      <c r="N448" s="1" t="str">
        <f>VLOOKUP(B448,Bounties!A:D,4,FALSE)</f>
        <v>RPCs and Nodes</v>
      </c>
      <c r="O448" s="1" t="str">
        <f t="shared" ref="O448:P448" si="452">IF(ISBLANK(K448),M448,K448)</f>
        <v>Operations</v>
      </c>
      <c r="P448" s="1" t="str">
        <f t="shared" si="452"/>
        <v>RPCs and Nodes</v>
      </c>
      <c r="Q448" s="61" t="str">
        <f t="shared" si="3"/>
        <v>2024</v>
      </c>
      <c r="R448" s="62">
        <f t="shared" si="4"/>
        <v>4</v>
      </c>
      <c r="S448" s="61" t="str">
        <f t="shared" si="5"/>
        <v>2024-Q2</v>
      </c>
      <c r="T448" s="63" t="str">
        <f t="shared" si="6"/>
        <v>2024-04</v>
      </c>
      <c r="U448" s="64" t="str">
        <f t="shared" si="7"/>
        <v>2024-H1</v>
      </c>
      <c r="V448" s="9" t="str">
        <f>VLOOKUP(B448,Bounties!A:E,2,FALSE)</f>
        <v>System Parachains Collator Bounty</v>
      </c>
    </row>
    <row r="449" hidden="1">
      <c r="A449" s="67">
        <f>HYPERLINK("https://polkadot.subsquare.io/treasury/child-bounties/954", 954)</f>
        <v>954</v>
      </c>
      <c r="B449" s="1">
        <v>32.0</v>
      </c>
      <c r="C449" s="1" t="s">
        <v>2414</v>
      </c>
      <c r="D449" s="1" t="s">
        <v>561</v>
      </c>
      <c r="E449" s="5">
        <v>7.5542084484</v>
      </c>
      <c r="F449" s="4">
        <v>63.37252076997469</v>
      </c>
      <c r="G449" s="1" t="s">
        <v>2463</v>
      </c>
      <c r="H449" s="95">
        <v>45384.0</v>
      </c>
      <c r="I449" s="95">
        <v>45393.0</v>
      </c>
      <c r="J449" s="4">
        <v>51.89247265948422</v>
      </c>
      <c r="K449" s="1"/>
      <c r="L449" s="1"/>
      <c r="M449" s="1" t="str">
        <f>VLOOKUP(B449,Bounties!A:D,3,FALSE)</f>
        <v>Operations</v>
      </c>
      <c r="N449" s="1" t="str">
        <f>VLOOKUP(B449,Bounties!A:D,4,FALSE)</f>
        <v>RPCs and Nodes</v>
      </c>
      <c r="O449" s="1" t="str">
        <f t="shared" ref="O449:P449" si="453">IF(ISBLANK(K449),M449,K449)</f>
        <v>Operations</v>
      </c>
      <c r="P449" s="1" t="str">
        <f t="shared" si="453"/>
        <v>RPCs and Nodes</v>
      </c>
      <c r="Q449" s="61" t="str">
        <f t="shared" si="3"/>
        <v>2024</v>
      </c>
      <c r="R449" s="62">
        <f t="shared" si="4"/>
        <v>4</v>
      </c>
      <c r="S449" s="61" t="str">
        <f t="shared" si="5"/>
        <v>2024-Q2</v>
      </c>
      <c r="T449" s="63" t="str">
        <f t="shared" si="6"/>
        <v>2024-04</v>
      </c>
      <c r="U449" s="64" t="str">
        <f t="shared" si="7"/>
        <v>2024-H1</v>
      </c>
      <c r="V449" s="9" t="str">
        <f>VLOOKUP(B449,Bounties!A:E,2,FALSE)</f>
        <v>System Parachains Collator Bounty</v>
      </c>
    </row>
    <row r="450" hidden="1">
      <c r="A450" s="67">
        <f>HYPERLINK("https://polkadot.subsquare.io/treasury/child-bounties/953", 953)</f>
        <v>953</v>
      </c>
      <c r="B450" s="1">
        <v>32.0</v>
      </c>
      <c r="C450" s="1" t="s">
        <v>2414</v>
      </c>
      <c r="D450" s="1" t="s">
        <v>560</v>
      </c>
      <c r="E450" s="5">
        <v>7.5542084484</v>
      </c>
      <c r="F450" s="4">
        <v>63.37252076997469</v>
      </c>
      <c r="G450" s="1" t="s">
        <v>2438</v>
      </c>
      <c r="H450" s="95">
        <v>45384.0</v>
      </c>
      <c r="I450" s="95">
        <v>45393.0</v>
      </c>
      <c r="J450" s="4">
        <v>51.89247265948422</v>
      </c>
      <c r="K450" s="1"/>
      <c r="L450" s="1"/>
      <c r="M450" s="1" t="str">
        <f>VLOOKUP(B450,Bounties!A:D,3,FALSE)</f>
        <v>Operations</v>
      </c>
      <c r="N450" s="1" t="str">
        <f>VLOOKUP(B450,Bounties!A:D,4,FALSE)</f>
        <v>RPCs and Nodes</v>
      </c>
      <c r="O450" s="1" t="str">
        <f t="shared" ref="O450:P450" si="454">IF(ISBLANK(K450),M450,K450)</f>
        <v>Operations</v>
      </c>
      <c r="P450" s="1" t="str">
        <f t="shared" si="454"/>
        <v>RPCs and Nodes</v>
      </c>
      <c r="Q450" s="61" t="str">
        <f t="shared" si="3"/>
        <v>2024</v>
      </c>
      <c r="R450" s="62">
        <f t="shared" si="4"/>
        <v>4</v>
      </c>
      <c r="S450" s="61" t="str">
        <f t="shared" si="5"/>
        <v>2024-Q2</v>
      </c>
      <c r="T450" s="63" t="str">
        <f t="shared" si="6"/>
        <v>2024-04</v>
      </c>
      <c r="U450" s="64" t="str">
        <f t="shared" si="7"/>
        <v>2024-H1</v>
      </c>
      <c r="V450" s="9" t="str">
        <f>VLOOKUP(B450,Bounties!A:E,2,FALSE)</f>
        <v>System Parachains Collator Bounty</v>
      </c>
    </row>
    <row r="451" hidden="1">
      <c r="A451" s="67">
        <f>HYPERLINK("https://polkadot.subsquare.io/treasury/child-bounties/952", 952)</f>
        <v>952</v>
      </c>
      <c r="B451" s="1">
        <v>32.0</v>
      </c>
      <c r="C451" s="1" t="s">
        <v>2414</v>
      </c>
      <c r="D451" s="1" t="s">
        <v>559</v>
      </c>
      <c r="E451" s="5">
        <v>43.8915351093</v>
      </c>
      <c r="F451" s="4">
        <v>368.20763410749146</v>
      </c>
      <c r="G451" s="1" t="s">
        <v>2442</v>
      </c>
      <c r="H451" s="95">
        <v>45384.0</v>
      </c>
      <c r="I451" s="95">
        <v>45393.0</v>
      </c>
      <c r="J451" s="4">
        <v>281.6948983741978</v>
      </c>
      <c r="K451" s="1"/>
      <c r="L451" s="1"/>
      <c r="M451" s="1" t="str">
        <f>VLOOKUP(B451,Bounties!A:D,3,FALSE)</f>
        <v>Operations</v>
      </c>
      <c r="N451" s="1" t="str">
        <f>VLOOKUP(B451,Bounties!A:D,4,FALSE)</f>
        <v>RPCs and Nodes</v>
      </c>
      <c r="O451" s="1" t="str">
        <f t="shared" ref="O451:P451" si="455">IF(ISBLANK(K451),M451,K451)</f>
        <v>Operations</v>
      </c>
      <c r="P451" s="1" t="str">
        <f t="shared" si="455"/>
        <v>RPCs and Nodes</v>
      </c>
      <c r="Q451" s="61" t="str">
        <f t="shared" si="3"/>
        <v>2024</v>
      </c>
      <c r="R451" s="62">
        <f t="shared" si="4"/>
        <v>4</v>
      </c>
      <c r="S451" s="61" t="str">
        <f t="shared" si="5"/>
        <v>2024-Q2</v>
      </c>
      <c r="T451" s="63" t="str">
        <f t="shared" si="6"/>
        <v>2024-04</v>
      </c>
      <c r="U451" s="64" t="str">
        <f t="shared" si="7"/>
        <v>2024-H1</v>
      </c>
      <c r="V451" s="9" t="str">
        <f>VLOOKUP(B451,Bounties!A:E,2,FALSE)</f>
        <v>System Parachains Collator Bounty</v>
      </c>
    </row>
    <row r="452" hidden="1">
      <c r="A452" s="67">
        <f>HYPERLINK("https://polkadot.subsquare.io/treasury/child-bounties/951", 951)</f>
        <v>951</v>
      </c>
      <c r="B452" s="1">
        <v>32.0</v>
      </c>
      <c r="C452" s="1" t="s">
        <v>2414</v>
      </c>
      <c r="D452" s="1" t="s">
        <v>558</v>
      </c>
      <c r="E452" s="5">
        <v>31.6616067615</v>
      </c>
      <c r="F452" s="4">
        <v>265.6103343996162</v>
      </c>
      <c r="G452" s="1" t="s">
        <v>2445</v>
      </c>
      <c r="H452" s="95">
        <v>45384.0</v>
      </c>
      <c r="I452" s="95">
        <v>45393.0</v>
      </c>
      <c r="J452" s="4">
        <v>217.49453625077962</v>
      </c>
      <c r="K452" s="1"/>
      <c r="L452" s="1"/>
      <c r="M452" s="1" t="str">
        <f>VLOOKUP(B452,Bounties!A:D,3,FALSE)</f>
        <v>Operations</v>
      </c>
      <c r="N452" s="1" t="str">
        <f>VLOOKUP(B452,Bounties!A:D,4,FALSE)</f>
        <v>RPCs and Nodes</v>
      </c>
      <c r="O452" s="1" t="str">
        <f t="shared" ref="O452:P452" si="456">IF(ISBLANK(K452),M452,K452)</f>
        <v>Operations</v>
      </c>
      <c r="P452" s="1" t="str">
        <f t="shared" si="456"/>
        <v>RPCs and Nodes</v>
      </c>
      <c r="Q452" s="61" t="str">
        <f t="shared" si="3"/>
        <v>2024</v>
      </c>
      <c r="R452" s="62">
        <f t="shared" si="4"/>
        <v>4</v>
      </c>
      <c r="S452" s="61" t="str">
        <f t="shared" si="5"/>
        <v>2024-Q2</v>
      </c>
      <c r="T452" s="63" t="str">
        <f t="shared" si="6"/>
        <v>2024-04</v>
      </c>
      <c r="U452" s="64" t="str">
        <f t="shared" si="7"/>
        <v>2024-H1</v>
      </c>
      <c r="V452" s="9" t="str">
        <f>VLOOKUP(B452,Bounties!A:E,2,FALSE)</f>
        <v>System Parachains Collator Bounty</v>
      </c>
    </row>
    <row r="453" hidden="1">
      <c r="A453" s="67">
        <f>HYPERLINK("https://polkadot.subsquare.io/treasury/child-bounties/950", 950)</f>
        <v>950</v>
      </c>
      <c r="B453" s="1">
        <v>32.0</v>
      </c>
      <c r="C453" s="1" t="s">
        <v>2414</v>
      </c>
      <c r="D453" s="1" t="s">
        <v>557</v>
      </c>
      <c r="E453" s="5">
        <v>27.9057013486</v>
      </c>
      <c r="F453" s="4">
        <v>234.1019115893509</v>
      </c>
      <c r="G453" s="1" t="s">
        <v>2578</v>
      </c>
      <c r="H453" s="95">
        <v>45384.0</v>
      </c>
      <c r="I453" s="95">
        <v>45393.0</v>
      </c>
      <c r="J453" s="4">
        <v>179.0981720251789</v>
      </c>
      <c r="K453" s="1"/>
      <c r="L453" s="1"/>
      <c r="M453" s="1" t="str">
        <f>VLOOKUP(B453,Bounties!A:D,3,FALSE)</f>
        <v>Operations</v>
      </c>
      <c r="N453" s="1" t="str">
        <f>VLOOKUP(B453,Bounties!A:D,4,FALSE)</f>
        <v>RPCs and Nodes</v>
      </c>
      <c r="O453" s="1" t="str">
        <f t="shared" ref="O453:P453" si="457">IF(ISBLANK(K453),M453,K453)</f>
        <v>Operations</v>
      </c>
      <c r="P453" s="1" t="str">
        <f t="shared" si="457"/>
        <v>RPCs and Nodes</v>
      </c>
      <c r="Q453" s="61" t="str">
        <f t="shared" si="3"/>
        <v>2024</v>
      </c>
      <c r="R453" s="62">
        <f t="shared" si="4"/>
        <v>4</v>
      </c>
      <c r="S453" s="61" t="str">
        <f t="shared" si="5"/>
        <v>2024-Q2</v>
      </c>
      <c r="T453" s="63" t="str">
        <f t="shared" si="6"/>
        <v>2024-04</v>
      </c>
      <c r="U453" s="64" t="str">
        <f t="shared" si="7"/>
        <v>2024-H1</v>
      </c>
      <c r="V453" s="9" t="str">
        <f>VLOOKUP(B453,Bounties!A:E,2,FALSE)</f>
        <v>System Parachains Collator Bounty</v>
      </c>
    </row>
    <row r="454" hidden="1">
      <c r="A454" s="67">
        <f>HYPERLINK("https://polkadot.subsquare.io/treasury/child-bounties/949", 949)</f>
        <v>949</v>
      </c>
      <c r="B454" s="1">
        <v>32.0</v>
      </c>
      <c r="C454" s="1" t="s">
        <v>2414</v>
      </c>
      <c r="D454" s="1" t="s">
        <v>556</v>
      </c>
      <c r="E454" s="5">
        <v>40.7016601486</v>
      </c>
      <c r="F454" s="4">
        <v>341.4476606991062</v>
      </c>
      <c r="G454" s="1" t="s">
        <v>2439</v>
      </c>
      <c r="H454" s="95">
        <v>45384.0</v>
      </c>
      <c r="I454" s="95">
        <v>45393.0</v>
      </c>
      <c r="J454" s="4">
        <v>279.5937921072583</v>
      </c>
      <c r="K454" s="1"/>
      <c r="L454" s="1"/>
      <c r="M454" s="1" t="str">
        <f>VLOOKUP(B454,Bounties!A:D,3,FALSE)</f>
        <v>Operations</v>
      </c>
      <c r="N454" s="1" t="str">
        <f>VLOOKUP(B454,Bounties!A:D,4,FALSE)</f>
        <v>RPCs and Nodes</v>
      </c>
      <c r="O454" s="1" t="str">
        <f t="shared" ref="O454:P454" si="458">IF(ISBLANK(K454),M454,K454)</f>
        <v>Operations</v>
      </c>
      <c r="P454" s="1" t="str">
        <f t="shared" si="458"/>
        <v>RPCs and Nodes</v>
      </c>
      <c r="Q454" s="61" t="str">
        <f t="shared" si="3"/>
        <v>2024</v>
      </c>
      <c r="R454" s="62">
        <f t="shared" si="4"/>
        <v>4</v>
      </c>
      <c r="S454" s="61" t="str">
        <f t="shared" si="5"/>
        <v>2024-Q2</v>
      </c>
      <c r="T454" s="63" t="str">
        <f t="shared" si="6"/>
        <v>2024-04</v>
      </c>
      <c r="U454" s="64" t="str">
        <f t="shared" si="7"/>
        <v>2024-H1</v>
      </c>
      <c r="V454" s="9" t="str">
        <f>VLOOKUP(B454,Bounties!A:E,2,FALSE)</f>
        <v>System Parachains Collator Bounty</v>
      </c>
    </row>
    <row r="455" hidden="1">
      <c r="A455" s="67">
        <f>HYPERLINK("https://polkadot.subsquare.io/treasury/child-bounties/948", 948)</f>
        <v>948</v>
      </c>
      <c r="B455" s="1">
        <v>32.0</v>
      </c>
      <c r="C455" s="1" t="s">
        <v>2414</v>
      </c>
      <c r="D455" s="1" t="s">
        <v>555</v>
      </c>
      <c r="E455" s="5">
        <v>46.9326446009</v>
      </c>
      <c r="F455" s="4">
        <v>393.7196087553458</v>
      </c>
      <c r="G455" s="1" t="s">
        <v>2579</v>
      </c>
      <c r="H455" s="95">
        <v>45384.0</v>
      </c>
      <c r="I455" s="95">
        <v>45393.0</v>
      </c>
      <c r="J455" s="4">
        <v>322.3965811143757</v>
      </c>
      <c r="K455" s="1"/>
      <c r="L455" s="1"/>
      <c r="M455" s="1" t="str">
        <f>VLOOKUP(B455,Bounties!A:D,3,FALSE)</f>
        <v>Operations</v>
      </c>
      <c r="N455" s="1" t="str">
        <f>VLOOKUP(B455,Bounties!A:D,4,FALSE)</f>
        <v>RPCs and Nodes</v>
      </c>
      <c r="O455" s="1" t="str">
        <f t="shared" ref="O455:P455" si="459">IF(ISBLANK(K455),M455,K455)</f>
        <v>Operations</v>
      </c>
      <c r="P455" s="1" t="str">
        <f t="shared" si="459"/>
        <v>RPCs and Nodes</v>
      </c>
      <c r="Q455" s="61" t="str">
        <f t="shared" si="3"/>
        <v>2024</v>
      </c>
      <c r="R455" s="62">
        <f t="shared" si="4"/>
        <v>4</v>
      </c>
      <c r="S455" s="61" t="str">
        <f t="shared" si="5"/>
        <v>2024-Q2</v>
      </c>
      <c r="T455" s="63" t="str">
        <f t="shared" si="6"/>
        <v>2024-04</v>
      </c>
      <c r="U455" s="64" t="str">
        <f t="shared" si="7"/>
        <v>2024-H1</v>
      </c>
      <c r="V455" s="9" t="str">
        <f>VLOOKUP(B455,Bounties!A:E,2,FALSE)</f>
        <v>System Parachains Collator Bounty</v>
      </c>
    </row>
    <row r="456" hidden="1">
      <c r="A456" s="67">
        <f>HYPERLINK("https://polkadot.subsquare.io/treasury/child-bounties/947", 947)</f>
        <v>947</v>
      </c>
      <c r="B456" s="1">
        <v>32.0</v>
      </c>
      <c r="C456" s="1" t="s">
        <v>2414</v>
      </c>
      <c r="D456" s="1" t="s">
        <v>554</v>
      </c>
      <c r="E456" s="5">
        <v>42.4525152839</v>
      </c>
      <c r="F456" s="4">
        <v>356.13564610286045</v>
      </c>
      <c r="G456" s="1" t="s">
        <v>2440</v>
      </c>
      <c r="H456" s="95">
        <v>45384.0</v>
      </c>
      <c r="I456" s="95">
        <v>45393.0</v>
      </c>
      <c r="J456" s="4">
        <v>291.62102207580864</v>
      </c>
      <c r="K456" s="1"/>
      <c r="L456" s="1"/>
      <c r="M456" s="1" t="str">
        <f>VLOOKUP(B456,Bounties!A:D,3,FALSE)</f>
        <v>Operations</v>
      </c>
      <c r="N456" s="1" t="str">
        <f>VLOOKUP(B456,Bounties!A:D,4,FALSE)</f>
        <v>RPCs and Nodes</v>
      </c>
      <c r="O456" s="1" t="str">
        <f t="shared" ref="O456:P456" si="460">IF(ISBLANK(K456),M456,K456)</f>
        <v>Operations</v>
      </c>
      <c r="P456" s="1" t="str">
        <f t="shared" si="460"/>
        <v>RPCs and Nodes</v>
      </c>
      <c r="Q456" s="61" t="str">
        <f t="shared" si="3"/>
        <v>2024</v>
      </c>
      <c r="R456" s="62">
        <f t="shared" si="4"/>
        <v>4</v>
      </c>
      <c r="S456" s="61" t="str">
        <f t="shared" si="5"/>
        <v>2024-Q2</v>
      </c>
      <c r="T456" s="63" t="str">
        <f t="shared" si="6"/>
        <v>2024-04</v>
      </c>
      <c r="U456" s="64" t="str">
        <f t="shared" si="7"/>
        <v>2024-H1</v>
      </c>
      <c r="V456" s="9" t="str">
        <f>VLOOKUP(B456,Bounties!A:E,2,FALSE)</f>
        <v>System Parachains Collator Bounty</v>
      </c>
    </row>
    <row r="457" hidden="1">
      <c r="A457" s="67">
        <f>HYPERLINK("https://polkadot.subsquare.io/treasury/child-bounties/946", 946)</f>
        <v>946</v>
      </c>
      <c r="B457" s="1">
        <v>32.0</v>
      </c>
      <c r="C457" s="1" t="s">
        <v>2414</v>
      </c>
      <c r="D457" s="1" t="s">
        <v>553</v>
      </c>
      <c r="E457" s="5">
        <v>40.6987992742</v>
      </c>
      <c r="F457" s="4">
        <v>341.4236607229905</v>
      </c>
      <c r="G457" s="1" t="s">
        <v>2580</v>
      </c>
      <c r="H457" s="95">
        <v>45384.0</v>
      </c>
      <c r="I457" s="95">
        <v>45393.0</v>
      </c>
      <c r="J457" s="4">
        <v>279.57413977073645</v>
      </c>
      <c r="K457" s="1"/>
      <c r="L457" s="1"/>
      <c r="M457" s="1" t="str">
        <f>VLOOKUP(B457,Bounties!A:D,3,FALSE)</f>
        <v>Operations</v>
      </c>
      <c r="N457" s="1" t="str">
        <f>VLOOKUP(B457,Bounties!A:D,4,FALSE)</f>
        <v>RPCs and Nodes</v>
      </c>
      <c r="O457" s="1" t="str">
        <f t="shared" ref="O457:P457" si="461">IF(ISBLANK(K457),M457,K457)</f>
        <v>Operations</v>
      </c>
      <c r="P457" s="1" t="str">
        <f t="shared" si="461"/>
        <v>RPCs and Nodes</v>
      </c>
      <c r="Q457" s="61" t="str">
        <f t="shared" si="3"/>
        <v>2024</v>
      </c>
      <c r="R457" s="62">
        <f t="shared" si="4"/>
        <v>4</v>
      </c>
      <c r="S457" s="61" t="str">
        <f t="shared" si="5"/>
        <v>2024-Q2</v>
      </c>
      <c r="T457" s="63" t="str">
        <f t="shared" si="6"/>
        <v>2024-04</v>
      </c>
      <c r="U457" s="64" t="str">
        <f t="shared" si="7"/>
        <v>2024-H1</v>
      </c>
      <c r="V457" s="9" t="str">
        <f>VLOOKUP(B457,Bounties!A:E,2,FALSE)</f>
        <v>System Parachains Collator Bounty</v>
      </c>
    </row>
    <row r="458" hidden="1">
      <c r="A458" s="67">
        <f>HYPERLINK("https://polkadot.subsquare.io/treasury/child-bounties/945", 945)</f>
        <v>945</v>
      </c>
      <c r="B458" s="1">
        <v>32.0</v>
      </c>
      <c r="C458" s="1" t="s">
        <v>2414</v>
      </c>
      <c r="D458" s="1" t="s">
        <v>552</v>
      </c>
      <c r="E458" s="5">
        <v>46.409104585</v>
      </c>
      <c r="F458" s="4">
        <v>389.3276131203084</v>
      </c>
      <c r="G458" s="1" t="s">
        <v>2465</v>
      </c>
      <c r="H458" s="95">
        <v>45384.0</v>
      </c>
      <c r="I458" s="95">
        <v>45393.0</v>
      </c>
      <c r="J458" s="4">
        <v>318.8002035260672</v>
      </c>
      <c r="K458" s="1"/>
      <c r="L458" s="1"/>
      <c r="M458" s="1" t="str">
        <f>VLOOKUP(B458,Bounties!A:D,3,FALSE)</f>
        <v>Operations</v>
      </c>
      <c r="N458" s="1" t="str">
        <f>VLOOKUP(B458,Bounties!A:D,4,FALSE)</f>
        <v>RPCs and Nodes</v>
      </c>
      <c r="O458" s="1" t="str">
        <f t="shared" ref="O458:P458" si="462">IF(ISBLANK(K458),M458,K458)</f>
        <v>Operations</v>
      </c>
      <c r="P458" s="1" t="str">
        <f t="shared" si="462"/>
        <v>RPCs and Nodes</v>
      </c>
      <c r="Q458" s="61" t="str">
        <f t="shared" si="3"/>
        <v>2024</v>
      </c>
      <c r="R458" s="62">
        <f t="shared" si="4"/>
        <v>4</v>
      </c>
      <c r="S458" s="61" t="str">
        <f t="shared" si="5"/>
        <v>2024-Q2</v>
      </c>
      <c r="T458" s="63" t="str">
        <f t="shared" si="6"/>
        <v>2024-04</v>
      </c>
      <c r="U458" s="64" t="str">
        <f t="shared" si="7"/>
        <v>2024-H1</v>
      </c>
      <c r="V458" s="9" t="str">
        <f>VLOOKUP(B458,Bounties!A:E,2,FALSE)</f>
        <v>System Parachains Collator Bounty</v>
      </c>
    </row>
    <row r="459" hidden="1">
      <c r="A459" s="67">
        <f>HYPERLINK("https://polkadot.subsquare.io/treasury/child-bounties/944", 944)</f>
        <v>944</v>
      </c>
      <c r="B459" s="1">
        <v>32.0</v>
      </c>
      <c r="C459" s="1" t="s">
        <v>2414</v>
      </c>
      <c r="D459" s="1" t="s">
        <v>551</v>
      </c>
      <c r="E459" s="5">
        <v>40.7588776367</v>
      </c>
      <c r="F459" s="4">
        <v>341.9276602222582</v>
      </c>
      <c r="G459" s="1" t="s">
        <v>2441</v>
      </c>
      <c r="H459" s="95">
        <v>45384.0</v>
      </c>
      <c r="I459" s="95">
        <v>45393.0</v>
      </c>
      <c r="J459" s="4">
        <v>279.98683883838237</v>
      </c>
      <c r="K459" s="1"/>
      <c r="L459" s="1"/>
      <c r="M459" s="1" t="str">
        <f>VLOOKUP(B459,Bounties!A:D,3,FALSE)</f>
        <v>Operations</v>
      </c>
      <c r="N459" s="1" t="str">
        <f>VLOOKUP(B459,Bounties!A:D,4,FALSE)</f>
        <v>RPCs and Nodes</v>
      </c>
      <c r="O459" s="1" t="str">
        <f t="shared" ref="O459:P459" si="463">IF(ISBLANK(K459),M459,K459)</f>
        <v>Operations</v>
      </c>
      <c r="P459" s="1" t="str">
        <f t="shared" si="463"/>
        <v>RPCs and Nodes</v>
      </c>
      <c r="Q459" s="61" t="str">
        <f t="shared" si="3"/>
        <v>2024</v>
      </c>
      <c r="R459" s="62">
        <f t="shared" si="4"/>
        <v>4</v>
      </c>
      <c r="S459" s="61" t="str">
        <f t="shared" si="5"/>
        <v>2024-Q2</v>
      </c>
      <c r="T459" s="63" t="str">
        <f t="shared" si="6"/>
        <v>2024-04</v>
      </c>
      <c r="U459" s="64" t="str">
        <f t="shared" si="7"/>
        <v>2024-H1</v>
      </c>
      <c r="V459" s="9" t="str">
        <f>VLOOKUP(B459,Bounties!A:E,2,FALSE)</f>
        <v>System Parachains Collator Bounty</v>
      </c>
    </row>
    <row r="460" hidden="1">
      <c r="A460" s="67">
        <f>HYPERLINK("https://polkadot.subsquare.io/treasury/child-bounties/943", 943)</f>
        <v>943</v>
      </c>
      <c r="B460" s="1">
        <v>32.0</v>
      </c>
      <c r="C460" s="1" t="s">
        <v>2414</v>
      </c>
      <c r="D460" s="1" t="s">
        <v>550</v>
      </c>
      <c r="E460" s="5">
        <v>29.0681975226</v>
      </c>
      <c r="F460" s="4">
        <v>243.85413294186526</v>
      </c>
      <c r="G460" s="1" t="s">
        <v>2581</v>
      </c>
      <c r="H460" s="95">
        <v>45384.0</v>
      </c>
      <c r="I460" s="95">
        <v>45393.0</v>
      </c>
      <c r="J460" s="4">
        <v>199.67951050139402</v>
      </c>
      <c r="K460" s="1"/>
      <c r="L460" s="1"/>
      <c r="M460" s="1" t="str">
        <f>VLOOKUP(B460,Bounties!A:D,3,FALSE)</f>
        <v>Operations</v>
      </c>
      <c r="N460" s="1" t="str">
        <f>VLOOKUP(B460,Bounties!A:D,4,FALSE)</f>
        <v>RPCs and Nodes</v>
      </c>
      <c r="O460" s="1" t="str">
        <f t="shared" ref="O460:P460" si="464">IF(ISBLANK(K460),M460,K460)</f>
        <v>Operations</v>
      </c>
      <c r="P460" s="1" t="str">
        <f t="shared" si="464"/>
        <v>RPCs and Nodes</v>
      </c>
      <c r="Q460" s="61" t="str">
        <f t="shared" si="3"/>
        <v>2024</v>
      </c>
      <c r="R460" s="62">
        <f t="shared" si="4"/>
        <v>4</v>
      </c>
      <c r="S460" s="61" t="str">
        <f t="shared" si="5"/>
        <v>2024-Q2</v>
      </c>
      <c r="T460" s="63" t="str">
        <f t="shared" si="6"/>
        <v>2024-04</v>
      </c>
      <c r="U460" s="64" t="str">
        <f t="shared" si="7"/>
        <v>2024-H1</v>
      </c>
      <c r="V460" s="9" t="str">
        <f>VLOOKUP(B460,Bounties!A:E,2,FALSE)</f>
        <v>System Parachains Collator Bounty</v>
      </c>
    </row>
    <row r="461" hidden="1">
      <c r="A461" s="67">
        <f>HYPERLINK("https://polkadot.subsquare.io/treasury/child-bounties/942", 942)</f>
        <v>942</v>
      </c>
      <c r="B461" s="1">
        <v>32.0</v>
      </c>
      <c r="C461" s="1" t="s">
        <v>2414</v>
      </c>
      <c r="D461" s="1" t="s">
        <v>549</v>
      </c>
      <c r="E461" s="5">
        <v>30.5686286311</v>
      </c>
      <c r="F461" s="4">
        <v>256.44130236362935</v>
      </c>
      <c r="G461" s="1" t="s">
        <v>2444</v>
      </c>
      <c r="H461" s="95">
        <v>45384.0</v>
      </c>
      <c r="I461" s="95">
        <v>45393.0</v>
      </c>
      <c r="J461" s="4">
        <v>209.98649114762802</v>
      </c>
      <c r="K461" s="1"/>
      <c r="L461" s="1"/>
      <c r="M461" s="1" t="str">
        <f>VLOOKUP(B461,Bounties!A:D,3,FALSE)</f>
        <v>Operations</v>
      </c>
      <c r="N461" s="1" t="str">
        <f>VLOOKUP(B461,Bounties!A:D,4,FALSE)</f>
        <v>RPCs and Nodes</v>
      </c>
      <c r="O461" s="1" t="str">
        <f t="shared" ref="O461:P461" si="465">IF(ISBLANK(K461),M461,K461)</f>
        <v>Operations</v>
      </c>
      <c r="P461" s="1" t="str">
        <f t="shared" si="465"/>
        <v>RPCs and Nodes</v>
      </c>
      <c r="Q461" s="61" t="str">
        <f t="shared" si="3"/>
        <v>2024</v>
      </c>
      <c r="R461" s="62">
        <f t="shared" si="4"/>
        <v>4</v>
      </c>
      <c r="S461" s="61" t="str">
        <f t="shared" si="5"/>
        <v>2024-Q2</v>
      </c>
      <c r="T461" s="63" t="str">
        <f t="shared" si="6"/>
        <v>2024-04</v>
      </c>
      <c r="U461" s="64" t="str">
        <f t="shared" si="7"/>
        <v>2024-H1</v>
      </c>
      <c r="V461" s="9" t="str">
        <f>VLOOKUP(B461,Bounties!A:E,2,FALSE)</f>
        <v>System Parachains Collator Bounty</v>
      </c>
    </row>
    <row r="462" hidden="1">
      <c r="A462" s="67">
        <f>HYPERLINK("https://polkadot.subsquare.io/treasury/child-bounties/941", 941)</f>
        <v>941</v>
      </c>
      <c r="B462" s="1">
        <v>32.0</v>
      </c>
      <c r="C462" s="1" t="s">
        <v>2414</v>
      </c>
      <c r="D462" s="1" t="s">
        <v>548</v>
      </c>
      <c r="E462" s="5">
        <v>27.0290015761</v>
      </c>
      <c r="F462" s="4">
        <v>226.74724631617383</v>
      </c>
      <c r="G462" s="1" t="s">
        <v>2582</v>
      </c>
      <c r="H462" s="95">
        <v>45384.0</v>
      </c>
      <c r="I462" s="95">
        <v>45393.0</v>
      </c>
      <c r="J462" s="4">
        <v>185.6715676938991</v>
      </c>
      <c r="K462" s="1"/>
      <c r="L462" s="1"/>
      <c r="M462" s="1" t="str">
        <f>VLOOKUP(B462,Bounties!A:D,3,FALSE)</f>
        <v>Operations</v>
      </c>
      <c r="N462" s="1" t="str">
        <f>VLOOKUP(B462,Bounties!A:D,4,FALSE)</f>
        <v>RPCs and Nodes</v>
      </c>
      <c r="O462" s="1" t="str">
        <f t="shared" ref="O462:P462" si="466">IF(ISBLANK(K462),M462,K462)</f>
        <v>Operations</v>
      </c>
      <c r="P462" s="1" t="str">
        <f t="shared" si="466"/>
        <v>RPCs and Nodes</v>
      </c>
      <c r="Q462" s="61" t="str">
        <f t="shared" si="3"/>
        <v>2024</v>
      </c>
      <c r="R462" s="62">
        <f t="shared" si="4"/>
        <v>4</v>
      </c>
      <c r="S462" s="61" t="str">
        <f t="shared" si="5"/>
        <v>2024-Q2</v>
      </c>
      <c r="T462" s="63" t="str">
        <f t="shared" si="6"/>
        <v>2024-04</v>
      </c>
      <c r="U462" s="64" t="str">
        <f t="shared" si="7"/>
        <v>2024-H1</v>
      </c>
      <c r="V462" s="9" t="str">
        <f>VLOOKUP(B462,Bounties!A:E,2,FALSE)</f>
        <v>System Parachains Collator Bounty</v>
      </c>
    </row>
    <row r="463" hidden="1">
      <c r="A463" s="67">
        <f>HYPERLINK("https://polkadot.subsquare.io/treasury/child-bounties/940", 940)</f>
        <v>940</v>
      </c>
      <c r="B463" s="1">
        <v>32.0</v>
      </c>
      <c r="C463" s="1" t="s">
        <v>2414</v>
      </c>
      <c r="D463" s="1" t="s">
        <v>532</v>
      </c>
      <c r="E463" s="5">
        <v>2.5343189018</v>
      </c>
      <c r="F463" s="4">
        <v>21.26049053836696</v>
      </c>
      <c r="G463" s="1" t="s">
        <v>2619</v>
      </c>
      <c r="H463" s="95">
        <v>45384.0</v>
      </c>
      <c r="I463" s="95">
        <v>45393.0</v>
      </c>
      <c r="J463" s="4">
        <v>16.265202474977755</v>
      </c>
      <c r="K463" s="1"/>
      <c r="L463" s="1"/>
      <c r="M463" s="1" t="str">
        <f>VLOOKUP(B463,Bounties!A:D,3,FALSE)</f>
        <v>Operations</v>
      </c>
      <c r="N463" s="1" t="str">
        <f>VLOOKUP(B463,Bounties!A:D,4,FALSE)</f>
        <v>RPCs and Nodes</v>
      </c>
      <c r="O463" s="1" t="str">
        <f t="shared" ref="O463:P463" si="467">IF(ISBLANK(K463),M463,K463)</f>
        <v>Operations</v>
      </c>
      <c r="P463" s="1" t="str">
        <f t="shared" si="467"/>
        <v>RPCs and Nodes</v>
      </c>
      <c r="Q463" s="61" t="str">
        <f t="shared" si="3"/>
        <v>2024</v>
      </c>
      <c r="R463" s="62">
        <f t="shared" si="4"/>
        <v>4</v>
      </c>
      <c r="S463" s="61" t="str">
        <f t="shared" si="5"/>
        <v>2024-Q2</v>
      </c>
      <c r="T463" s="63" t="str">
        <f t="shared" si="6"/>
        <v>2024-04</v>
      </c>
      <c r="U463" s="64" t="str">
        <f t="shared" si="7"/>
        <v>2024-H1</v>
      </c>
      <c r="V463" s="9" t="str">
        <f>VLOOKUP(B463,Bounties!A:E,2,FALSE)</f>
        <v>System Parachains Collator Bounty</v>
      </c>
    </row>
    <row r="464" hidden="1">
      <c r="A464" s="67">
        <f>HYPERLINK("https://polkadot.subsquare.io/treasury/child-bounties/939", 939)</f>
        <v>939</v>
      </c>
      <c r="B464" s="1">
        <v>32.0</v>
      </c>
      <c r="C464" s="1" t="s">
        <v>2414</v>
      </c>
      <c r="D464" s="1" t="s">
        <v>296</v>
      </c>
      <c r="E464" s="5">
        <v>2.6399155227</v>
      </c>
      <c r="F464" s="4">
        <v>22.14634431072901</v>
      </c>
      <c r="G464" s="1" t="s">
        <v>2619</v>
      </c>
      <c r="H464" s="95">
        <v>45384.0</v>
      </c>
      <c r="I464" s="95">
        <v>45393.0</v>
      </c>
      <c r="J464" s="4">
        <v>16.942919244715014</v>
      </c>
      <c r="K464" s="1"/>
      <c r="L464" s="1"/>
      <c r="M464" s="1" t="str">
        <f>VLOOKUP(B464,Bounties!A:D,3,FALSE)</f>
        <v>Operations</v>
      </c>
      <c r="N464" s="1" t="str">
        <f>VLOOKUP(B464,Bounties!A:D,4,FALSE)</f>
        <v>RPCs and Nodes</v>
      </c>
      <c r="O464" s="1" t="str">
        <f t="shared" ref="O464:P464" si="468">IF(ISBLANK(K464),M464,K464)</f>
        <v>Operations</v>
      </c>
      <c r="P464" s="1" t="str">
        <f t="shared" si="468"/>
        <v>RPCs and Nodes</v>
      </c>
      <c r="Q464" s="61" t="str">
        <f t="shared" si="3"/>
        <v>2024</v>
      </c>
      <c r="R464" s="62">
        <f t="shared" si="4"/>
        <v>4</v>
      </c>
      <c r="S464" s="61" t="str">
        <f t="shared" si="5"/>
        <v>2024-Q2</v>
      </c>
      <c r="T464" s="63" t="str">
        <f t="shared" si="6"/>
        <v>2024-04</v>
      </c>
      <c r="U464" s="64" t="str">
        <f t="shared" si="7"/>
        <v>2024-H1</v>
      </c>
      <c r="V464" s="9" t="str">
        <f>VLOOKUP(B464,Bounties!A:E,2,FALSE)</f>
        <v>System Parachains Collator Bounty</v>
      </c>
    </row>
    <row r="465" hidden="1">
      <c r="A465" s="67">
        <f>HYPERLINK("https://polkadot.subsquare.io/treasury/child-bounties/938", 938)</f>
        <v>938</v>
      </c>
      <c r="B465" s="1">
        <v>32.0</v>
      </c>
      <c r="C465" s="1" t="s">
        <v>2414</v>
      </c>
      <c r="D465" s="1" t="s">
        <v>547</v>
      </c>
      <c r="E465" s="5">
        <v>7.5266020233</v>
      </c>
      <c r="F465" s="4">
        <v>63.140929497376824</v>
      </c>
      <c r="G465" s="1" t="s">
        <v>2437</v>
      </c>
      <c r="H465" s="95">
        <v>45384.0</v>
      </c>
      <c r="I465" s="95">
        <v>45393.0</v>
      </c>
      <c r="J465" s="4">
        <v>48.30556476953304</v>
      </c>
      <c r="K465" s="1"/>
      <c r="L465" s="1"/>
      <c r="M465" s="1" t="str">
        <f>VLOOKUP(B465,Bounties!A:D,3,FALSE)</f>
        <v>Operations</v>
      </c>
      <c r="N465" s="1" t="str">
        <f>VLOOKUP(B465,Bounties!A:D,4,FALSE)</f>
        <v>RPCs and Nodes</v>
      </c>
      <c r="O465" s="1" t="str">
        <f t="shared" ref="O465:P465" si="469">IF(ISBLANK(K465),M465,K465)</f>
        <v>Operations</v>
      </c>
      <c r="P465" s="1" t="str">
        <f t="shared" si="469"/>
        <v>RPCs and Nodes</v>
      </c>
      <c r="Q465" s="61" t="str">
        <f t="shared" si="3"/>
        <v>2024</v>
      </c>
      <c r="R465" s="62">
        <f t="shared" si="4"/>
        <v>4</v>
      </c>
      <c r="S465" s="61" t="str">
        <f t="shared" si="5"/>
        <v>2024-Q2</v>
      </c>
      <c r="T465" s="63" t="str">
        <f t="shared" si="6"/>
        <v>2024-04</v>
      </c>
      <c r="U465" s="64" t="str">
        <f t="shared" si="7"/>
        <v>2024-H1</v>
      </c>
      <c r="V465" s="9" t="str">
        <f>VLOOKUP(B465,Bounties!A:E,2,FALSE)</f>
        <v>System Parachains Collator Bounty</v>
      </c>
    </row>
    <row r="466" hidden="1">
      <c r="A466" s="67">
        <f>HYPERLINK("https://polkadot.subsquare.io/treasury/child-bounties/937", 937)</f>
        <v>937</v>
      </c>
      <c r="B466" s="1">
        <v>32.0</v>
      </c>
      <c r="C466" s="1" t="s">
        <v>2414</v>
      </c>
      <c r="D466" s="1" t="s">
        <v>546</v>
      </c>
      <c r="E466" s="5">
        <v>7.5266020233</v>
      </c>
      <c r="F466" s="4">
        <v>63.140929497376824</v>
      </c>
      <c r="G466" s="1" t="s">
        <v>2463</v>
      </c>
      <c r="H466" s="95">
        <v>45384.0</v>
      </c>
      <c r="I466" s="95">
        <v>45393.0</v>
      </c>
      <c r="J466" s="4">
        <v>51.70283456973422</v>
      </c>
      <c r="K466" s="1"/>
      <c r="L466" s="1"/>
      <c r="M466" s="1" t="str">
        <f>VLOOKUP(B466,Bounties!A:D,3,FALSE)</f>
        <v>Operations</v>
      </c>
      <c r="N466" s="1" t="str">
        <f>VLOOKUP(B466,Bounties!A:D,4,FALSE)</f>
        <v>RPCs and Nodes</v>
      </c>
      <c r="O466" s="1" t="str">
        <f t="shared" ref="O466:P466" si="470">IF(ISBLANK(K466),M466,K466)</f>
        <v>Operations</v>
      </c>
      <c r="P466" s="1" t="str">
        <f t="shared" si="470"/>
        <v>RPCs and Nodes</v>
      </c>
      <c r="Q466" s="61" t="str">
        <f t="shared" si="3"/>
        <v>2024</v>
      </c>
      <c r="R466" s="62">
        <f t="shared" si="4"/>
        <v>4</v>
      </c>
      <c r="S466" s="61" t="str">
        <f t="shared" si="5"/>
        <v>2024-Q2</v>
      </c>
      <c r="T466" s="63" t="str">
        <f t="shared" si="6"/>
        <v>2024-04</v>
      </c>
      <c r="U466" s="64" t="str">
        <f t="shared" si="7"/>
        <v>2024-H1</v>
      </c>
      <c r="V466" s="9" t="str">
        <f>VLOOKUP(B466,Bounties!A:E,2,FALSE)</f>
        <v>System Parachains Collator Bounty</v>
      </c>
    </row>
    <row r="467" hidden="1">
      <c r="A467" s="67">
        <f>HYPERLINK("https://polkadot.subsquare.io/treasury/child-bounties/936", 936)</f>
        <v>936</v>
      </c>
      <c r="B467" s="1">
        <v>32.0</v>
      </c>
      <c r="C467" s="1" t="s">
        <v>2414</v>
      </c>
      <c r="D467" s="1" t="s">
        <v>545</v>
      </c>
      <c r="E467" s="5">
        <v>7.5266020233</v>
      </c>
      <c r="F467" s="4">
        <v>63.140929497376824</v>
      </c>
      <c r="G467" s="1" t="s">
        <v>2438</v>
      </c>
      <c r="H467" s="95">
        <v>45384.0</v>
      </c>
      <c r="I467" s="95">
        <v>45393.0</v>
      </c>
      <c r="J467" s="4">
        <v>51.70283456973422</v>
      </c>
      <c r="K467" s="1"/>
      <c r="L467" s="1"/>
      <c r="M467" s="1" t="str">
        <f>VLOOKUP(B467,Bounties!A:D,3,FALSE)</f>
        <v>Operations</v>
      </c>
      <c r="N467" s="1" t="str">
        <f>VLOOKUP(B467,Bounties!A:D,4,FALSE)</f>
        <v>RPCs and Nodes</v>
      </c>
      <c r="O467" s="1" t="str">
        <f t="shared" ref="O467:P467" si="471">IF(ISBLANK(K467),M467,K467)</f>
        <v>Operations</v>
      </c>
      <c r="P467" s="1" t="str">
        <f t="shared" si="471"/>
        <v>RPCs and Nodes</v>
      </c>
      <c r="Q467" s="61" t="str">
        <f t="shared" si="3"/>
        <v>2024</v>
      </c>
      <c r="R467" s="62">
        <f t="shared" si="4"/>
        <v>4</v>
      </c>
      <c r="S467" s="61" t="str">
        <f t="shared" si="5"/>
        <v>2024-Q2</v>
      </c>
      <c r="T467" s="63" t="str">
        <f t="shared" si="6"/>
        <v>2024-04</v>
      </c>
      <c r="U467" s="64" t="str">
        <f t="shared" si="7"/>
        <v>2024-H1</v>
      </c>
      <c r="V467" s="9" t="str">
        <f>VLOOKUP(B467,Bounties!A:E,2,FALSE)</f>
        <v>System Parachains Collator Bounty</v>
      </c>
    </row>
    <row r="468" hidden="1">
      <c r="A468" s="67">
        <f>HYPERLINK("https://polkadot.subsquare.io/treasury/child-bounties/935", 935)</f>
        <v>935</v>
      </c>
      <c r="B468" s="1">
        <v>32.0</v>
      </c>
      <c r="C468" s="1" t="s">
        <v>2414</v>
      </c>
      <c r="D468" s="1" t="s">
        <v>544</v>
      </c>
      <c r="E468" s="5">
        <v>41.1862546086</v>
      </c>
      <c r="F468" s="4">
        <v>345.51294069384466</v>
      </c>
      <c r="G468" s="1" t="s">
        <v>2583</v>
      </c>
      <c r="H468" s="95">
        <v>45384.0</v>
      </c>
      <c r="I468" s="95">
        <v>45393.0</v>
      </c>
      <c r="J468" s="4">
        <v>282.92263919140436</v>
      </c>
      <c r="K468" s="1"/>
      <c r="L468" s="1"/>
      <c r="M468" s="1" t="str">
        <f>VLOOKUP(B468,Bounties!A:D,3,FALSE)</f>
        <v>Operations</v>
      </c>
      <c r="N468" s="1" t="str">
        <f>VLOOKUP(B468,Bounties!A:D,4,FALSE)</f>
        <v>RPCs and Nodes</v>
      </c>
      <c r="O468" s="1" t="str">
        <f t="shared" ref="O468:P468" si="472">IF(ISBLANK(K468),M468,K468)</f>
        <v>Operations</v>
      </c>
      <c r="P468" s="1" t="str">
        <f t="shared" si="472"/>
        <v>RPCs and Nodes</v>
      </c>
      <c r="Q468" s="61" t="str">
        <f t="shared" si="3"/>
        <v>2024</v>
      </c>
      <c r="R468" s="62">
        <f t="shared" si="4"/>
        <v>4</v>
      </c>
      <c r="S468" s="61" t="str">
        <f t="shared" si="5"/>
        <v>2024-Q2</v>
      </c>
      <c r="T468" s="63" t="str">
        <f t="shared" si="6"/>
        <v>2024-04</v>
      </c>
      <c r="U468" s="64" t="str">
        <f t="shared" si="7"/>
        <v>2024-H1</v>
      </c>
      <c r="V468" s="9" t="str">
        <f>VLOOKUP(B468,Bounties!A:E,2,FALSE)</f>
        <v>System Parachains Collator Bounty</v>
      </c>
    </row>
    <row r="469" hidden="1">
      <c r="A469" s="67">
        <f>HYPERLINK("https://polkadot.subsquare.io/treasury/child-bounties/934", 934)</f>
        <v>934</v>
      </c>
      <c r="B469" s="1">
        <v>32.0</v>
      </c>
      <c r="C469" s="1" t="s">
        <v>2414</v>
      </c>
      <c r="D469" s="1" t="s">
        <v>543</v>
      </c>
      <c r="E469" s="5">
        <v>31.0299683697</v>
      </c>
      <c r="F469" s="4">
        <v>260.31149768139767</v>
      </c>
      <c r="G469" s="1" t="s">
        <v>2465</v>
      </c>
      <c r="H469" s="95">
        <v>45384.0</v>
      </c>
      <c r="I469" s="95">
        <v>45393.0</v>
      </c>
      <c r="J469" s="4">
        <v>213.15559350104596</v>
      </c>
      <c r="K469" s="1"/>
      <c r="L469" s="1"/>
      <c r="M469" s="1" t="str">
        <f>VLOOKUP(B469,Bounties!A:D,3,FALSE)</f>
        <v>Operations</v>
      </c>
      <c r="N469" s="1" t="str">
        <f>VLOOKUP(B469,Bounties!A:D,4,FALSE)</f>
        <v>RPCs and Nodes</v>
      </c>
      <c r="O469" s="1" t="str">
        <f t="shared" ref="O469:P469" si="473">IF(ISBLANK(K469),M469,K469)</f>
        <v>Operations</v>
      </c>
      <c r="P469" s="1" t="str">
        <f t="shared" si="473"/>
        <v>RPCs and Nodes</v>
      </c>
      <c r="Q469" s="61" t="str">
        <f t="shared" si="3"/>
        <v>2024</v>
      </c>
      <c r="R469" s="62">
        <f t="shared" si="4"/>
        <v>4</v>
      </c>
      <c r="S469" s="61" t="str">
        <f t="shared" si="5"/>
        <v>2024-Q2</v>
      </c>
      <c r="T469" s="63" t="str">
        <f t="shared" si="6"/>
        <v>2024-04</v>
      </c>
      <c r="U469" s="64" t="str">
        <f t="shared" si="7"/>
        <v>2024-H1</v>
      </c>
      <c r="V469" s="9" t="str">
        <f>VLOOKUP(B469,Bounties!A:E,2,FALSE)</f>
        <v>System Parachains Collator Bounty</v>
      </c>
    </row>
    <row r="470" hidden="1">
      <c r="A470" s="67">
        <f>HYPERLINK("https://polkadot.subsquare.io/treasury/child-bounties/933", 933)</f>
        <v>933</v>
      </c>
      <c r="B470" s="1">
        <v>32.0</v>
      </c>
      <c r="C470" s="1" t="s">
        <v>2414</v>
      </c>
      <c r="D470" s="1" t="s">
        <v>542</v>
      </c>
      <c r="E470" s="5">
        <v>28.3071654521</v>
      </c>
      <c r="F470" s="4">
        <v>237.46980809515114</v>
      </c>
      <c r="G470" s="1" t="s">
        <v>2443</v>
      </c>
      <c r="H470" s="95">
        <v>45384.0</v>
      </c>
      <c r="I470" s="95">
        <v>45393.0</v>
      </c>
      <c r="J470" s="4">
        <v>194.45171778410725</v>
      </c>
      <c r="K470" s="1"/>
      <c r="L470" s="1"/>
      <c r="M470" s="1" t="str">
        <f>VLOOKUP(B470,Bounties!A:D,3,FALSE)</f>
        <v>Operations</v>
      </c>
      <c r="N470" s="1" t="str">
        <f>VLOOKUP(B470,Bounties!A:D,4,FALSE)</f>
        <v>RPCs and Nodes</v>
      </c>
      <c r="O470" s="1" t="str">
        <f t="shared" ref="O470:P470" si="474">IF(ISBLANK(K470),M470,K470)</f>
        <v>Operations</v>
      </c>
      <c r="P470" s="1" t="str">
        <f t="shared" si="474"/>
        <v>RPCs and Nodes</v>
      </c>
      <c r="Q470" s="61" t="str">
        <f t="shared" si="3"/>
        <v>2024</v>
      </c>
      <c r="R470" s="62">
        <f t="shared" si="4"/>
        <v>4</v>
      </c>
      <c r="S470" s="61" t="str">
        <f t="shared" si="5"/>
        <v>2024-Q2</v>
      </c>
      <c r="T470" s="63" t="str">
        <f t="shared" si="6"/>
        <v>2024-04</v>
      </c>
      <c r="U470" s="64" t="str">
        <f t="shared" si="7"/>
        <v>2024-H1</v>
      </c>
      <c r="V470" s="9" t="str">
        <f>VLOOKUP(B470,Bounties!A:E,2,FALSE)</f>
        <v>System Parachains Collator Bounty</v>
      </c>
    </row>
    <row r="471" hidden="1">
      <c r="A471" s="67">
        <f>HYPERLINK("https://polkadot.subsquare.io/treasury/child-bounties/932", 932)</f>
        <v>932</v>
      </c>
      <c r="B471" s="1">
        <v>32.0</v>
      </c>
      <c r="C471" s="1" t="s">
        <v>2414</v>
      </c>
      <c r="D471" s="1" t="s">
        <v>541</v>
      </c>
      <c r="E471" s="5">
        <v>27.4008445938</v>
      </c>
      <c r="F471" s="4">
        <v>229.86665048979762</v>
      </c>
      <c r="G471" s="1" t="s">
        <v>2439</v>
      </c>
      <c r="H471" s="95">
        <v>45384.0</v>
      </c>
      <c r="I471" s="95">
        <v>45393.0</v>
      </c>
      <c r="J471" s="4">
        <v>188.2258860928975</v>
      </c>
      <c r="K471" s="1"/>
      <c r="L471" s="1"/>
      <c r="M471" s="1" t="str">
        <f>VLOOKUP(B471,Bounties!A:D,3,FALSE)</f>
        <v>Operations</v>
      </c>
      <c r="N471" s="1" t="str">
        <f>VLOOKUP(B471,Bounties!A:D,4,FALSE)</f>
        <v>RPCs and Nodes</v>
      </c>
      <c r="O471" s="1" t="str">
        <f t="shared" ref="O471:P471" si="475">IF(ISBLANK(K471),M471,K471)</f>
        <v>Operations</v>
      </c>
      <c r="P471" s="1" t="str">
        <f t="shared" si="475"/>
        <v>RPCs and Nodes</v>
      </c>
      <c r="Q471" s="61" t="str">
        <f t="shared" si="3"/>
        <v>2024</v>
      </c>
      <c r="R471" s="62">
        <f t="shared" si="4"/>
        <v>4</v>
      </c>
      <c r="S471" s="61" t="str">
        <f t="shared" si="5"/>
        <v>2024-Q2</v>
      </c>
      <c r="T471" s="63" t="str">
        <f t="shared" si="6"/>
        <v>2024-04</v>
      </c>
      <c r="U471" s="64" t="str">
        <f t="shared" si="7"/>
        <v>2024-H1</v>
      </c>
      <c r="V471" s="9" t="str">
        <f>VLOOKUP(B471,Bounties!A:E,2,FALSE)</f>
        <v>System Parachains Collator Bounty</v>
      </c>
    </row>
    <row r="472" hidden="1">
      <c r="A472" s="67">
        <f>HYPERLINK("https://polkadot.subsquare.io/treasury/child-bounties/931", 931)</f>
        <v>931</v>
      </c>
      <c r="B472" s="1">
        <v>32.0</v>
      </c>
      <c r="C472" s="1" t="s">
        <v>2414</v>
      </c>
      <c r="D472" s="1" t="s">
        <v>540</v>
      </c>
      <c r="E472" s="5">
        <v>42.1563135132</v>
      </c>
      <c r="F472" s="4">
        <v>353.65079901477606</v>
      </c>
      <c r="G472" s="1" t="s">
        <v>2473</v>
      </c>
      <c r="H472" s="95">
        <v>45384.0</v>
      </c>
      <c r="I472" s="95">
        <v>45393.0</v>
      </c>
      <c r="J472" s="4">
        <v>289.58630958505177</v>
      </c>
      <c r="K472" s="1"/>
      <c r="L472" s="1"/>
      <c r="M472" s="1" t="str">
        <f>VLOOKUP(B472,Bounties!A:D,3,FALSE)</f>
        <v>Operations</v>
      </c>
      <c r="N472" s="1" t="str">
        <f>VLOOKUP(B472,Bounties!A:D,4,FALSE)</f>
        <v>RPCs and Nodes</v>
      </c>
      <c r="O472" s="1" t="str">
        <f t="shared" ref="O472:P472" si="476">IF(ISBLANK(K472),M472,K472)</f>
        <v>Operations</v>
      </c>
      <c r="P472" s="1" t="str">
        <f t="shared" si="476"/>
        <v>RPCs and Nodes</v>
      </c>
      <c r="Q472" s="61" t="str">
        <f t="shared" si="3"/>
        <v>2024</v>
      </c>
      <c r="R472" s="62">
        <f t="shared" si="4"/>
        <v>4</v>
      </c>
      <c r="S472" s="61" t="str">
        <f t="shared" si="5"/>
        <v>2024-Q2</v>
      </c>
      <c r="T472" s="63" t="str">
        <f t="shared" si="6"/>
        <v>2024-04</v>
      </c>
      <c r="U472" s="64" t="str">
        <f t="shared" si="7"/>
        <v>2024-H1</v>
      </c>
      <c r="V472" s="9" t="str">
        <f>VLOOKUP(B472,Bounties!A:E,2,FALSE)</f>
        <v>System Parachains Collator Bounty</v>
      </c>
    </row>
    <row r="473" hidden="1">
      <c r="A473" s="67">
        <f>HYPERLINK("https://polkadot.subsquare.io/treasury/child-bounties/930", 930)</f>
        <v>930</v>
      </c>
      <c r="B473" s="1">
        <v>32.0</v>
      </c>
      <c r="C473" s="1" t="s">
        <v>2414</v>
      </c>
      <c r="D473" s="1" t="s">
        <v>539</v>
      </c>
      <c r="E473" s="5">
        <v>42.0311446223</v>
      </c>
      <c r="F473" s="4">
        <v>352.6007527799525</v>
      </c>
      <c r="G473" s="1" t="s">
        <v>2459</v>
      </c>
      <c r="H473" s="95">
        <v>45384.0</v>
      </c>
      <c r="I473" s="95">
        <v>45393.0</v>
      </c>
      <c r="J473" s="4">
        <v>288.7264811472726</v>
      </c>
      <c r="K473" s="1"/>
      <c r="L473" s="1"/>
      <c r="M473" s="1" t="str">
        <f>VLOOKUP(B473,Bounties!A:D,3,FALSE)</f>
        <v>Operations</v>
      </c>
      <c r="N473" s="1" t="str">
        <f>VLOOKUP(B473,Bounties!A:D,4,FALSE)</f>
        <v>RPCs and Nodes</v>
      </c>
      <c r="O473" s="1" t="str">
        <f t="shared" ref="O473:P473" si="477">IF(ISBLANK(K473),M473,K473)</f>
        <v>Operations</v>
      </c>
      <c r="P473" s="1" t="str">
        <f t="shared" si="477"/>
        <v>RPCs and Nodes</v>
      </c>
      <c r="Q473" s="61" t="str">
        <f t="shared" si="3"/>
        <v>2024</v>
      </c>
      <c r="R473" s="62">
        <f t="shared" si="4"/>
        <v>4</v>
      </c>
      <c r="S473" s="61" t="str">
        <f t="shared" si="5"/>
        <v>2024-Q2</v>
      </c>
      <c r="T473" s="63" t="str">
        <f t="shared" si="6"/>
        <v>2024-04</v>
      </c>
      <c r="U473" s="64" t="str">
        <f t="shared" si="7"/>
        <v>2024-H1</v>
      </c>
      <c r="V473" s="9" t="str">
        <f>VLOOKUP(B473,Bounties!A:E,2,FALSE)</f>
        <v>System Parachains Collator Bounty</v>
      </c>
    </row>
    <row r="474" hidden="1">
      <c r="A474" s="67">
        <f>HYPERLINK("https://polkadot.subsquare.io/treasury/child-bounties/929", 929)</f>
        <v>929</v>
      </c>
      <c r="B474" s="1">
        <v>32.0</v>
      </c>
      <c r="C474" s="1" t="s">
        <v>2414</v>
      </c>
      <c r="D474" s="1" t="s">
        <v>538</v>
      </c>
      <c r="E474" s="5">
        <v>46.9326446009</v>
      </c>
      <c r="F474" s="4">
        <v>393.7196087553458</v>
      </c>
      <c r="G474" s="1" t="s">
        <v>2445</v>
      </c>
      <c r="H474" s="95">
        <v>45384.0</v>
      </c>
      <c r="I474" s="95">
        <v>45393.0</v>
      </c>
      <c r="J474" s="4">
        <v>322.3965811143757</v>
      </c>
      <c r="K474" s="1"/>
      <c r="L474" s="1"/>
      <c r="M474" s="1" t="str">
        <f>VLOOKUP(B474,Bounties!A:D,3,FALSE)</f>
        <v>Operations</v>
      </c>
      <c r="N474" s="1" t="str">
        <f>VLOOKUP(B474,Bounties!A:D,4,FALSE)</f>
        <v>RPCs and Nodes</v>
      </c>
      <c r="O474" s="1" t="str">
        <f t="shared" ref="O474:P474" si="478">IF(ISBLANK(K474),M474,K474)</f>
        <v>Operations</v>
      </c>
      <c r="P474" s="1" t="str">
        <f t="shared" si="478"/>
        <v>RPCs and Nodes</v>
      </c>
      <c r="Q474" s="61" t="str">
        <f t="shared" si="3"/>
        <v>2024</v>
      </c>
      <c r="R474" s="62">
        <f t="shared" si="4"/>
        <v>4</v>
      </c>
      <c r="S474" s="61" t="str">
        <f t="shared" si="5"/>
        <v>2024-Q2</v>
      </c>
      <c r="T474" s="63" t="str">
        <f t="shared" si="6"/>
        <v>2024-04</v>
      </c>
      <c r="U474" s="64" t="str">
        <f t="shared" si="7"/>
        <v>2024-H1</v>
      </c>
      <c r="V474" s="9" t="str">
        <f>VLOOKUP(B474,Bounties!A:E,2,FALSE)</f>
        <v>System Parachains Collator Bounty</v>
      </c>
    </row>
    <row r="475" hidden="1">
      <c r="A475" s="67">
        <f>HYPERLINK("https://polkadot.subsquare.io/treasury/child-bounties/928", 928)</f>
        <v>928</v>
      </c>
      <c r="B475" s="1">
        <v>32.0</v>
      </c>
      <c r="C475" s="1" t="s">
        <v>2414</v>
      </c>
      <c r="D475" s="1" t="s">
        <v>537</v>
      </c>
      <c r="E475" s="5">
        <v>45.4050151822</v>
      </c>
      <c r="F475" s="4">
        <v>380.9042717512558</v>
      </c>
      <c r="G475" s="1" t="s">
        <v>2444</v>
      </c>
      <c r="H475" s="95">
        <v>45384.0</v>
      </c>
      <c r="I475" s="95">
        <v>45393.0</v>
      </c>
      <c r="J475" s="4">
        <v>311.9027658609055</v>
      </c>
      <c r="K475" s="1"/>
      <c r="L475" s="1"/>
      <c r="M475" s="1" t="str">
        <f>VLOOKUP(B475,Bounties!A:D,3,FALSE)</f>
        <v>Operations</v>
      </c>
      <c r="N475" s="1" t="str">
        <f>VLOOKUP(B475,Bounties!A:D,4,FALSE)</f>
        <v>RPCs and Nodes</v>
      </c>
      <c r="O475" s="1" t="str">
        <f t="shared" ref="O475:P475" si="479">IF(ISBLANK(K475),M475,K475)</f>
        <v>Operations</v>
      </c>
      <c r="P475" s="1" t="str">
        <f t="shared" si="479"/>
        <v>RPCs and Nodes</v>
      </c>
      <c r="Q475" s="61" t="str">
        <f t="shared" si="3"/>
        <v>2024</v>
      </c>
      <c r="R475" s="62">
        <f t="shared" si="4"/>
        <v>4</v>
      </c>
      <c r="S475" s="61" t="str">
        <f t="shared" si="5"/>
        <v>2024-Q2</v>
      </c>
      <c r="T475" s="63" t="str">
        <f t="shared" si="6"/>
        <v>2024-04</v>
      </c>
      <c r="U475" s="64" t="str">
        <f t="shared" si="7"/>
        <v>2024-H1</v>
      </c>
      <c r="V475" s="9" t="str">
        <f>VLOOKUP(B475,Bounties!A:E,2,FALSE)</f>
        <v>System Parachains Collator Bounty</v>
      </c>
    </row>
    <row r="476" hidden="1">
      <c r="A476" s="67">
        <f>HYPERLINK("https://polkadot.subsquare.io/treasury/child-bounties/927", 927)</f>
        <v>927</v>
      </c>
      <c r="B476" s="1">
        <v>32.0</v>
      </c>
      <c r="C476" s="1" t="s">
        <v>2414</v>
      </c>
      <c r="D476" s="1" t="s">
        <v>536</v>
      </c>
      <c r="E476" s="5">
        <v>40.8562638961</v>
      </c>
      <c r="F476" s="4">
        <v>342.74463698278754</v>
      </c>
      <c r="G476" s="1" t="s">
        <v>2441</v>
      </c>
      <c r="H476" s="95">
        <v>45384.0</v>
      </c>
      <c r="I476" s="95">
        <v>45393.0</v>
      </c>
      <c r="J476" s="4">
        <v>280.65581876365763</v>
      </c>
      <c r="K476" s="1"/>
      <c r="L476" s="1"/>
      <c r="M476" s="1" t="str">
        <f>VLOOKUP(B476,Bounties!A:D,3,FALSE)</f>
        <v>Operations</v>
      </c>
      <c r="N476" s="1" t="str">
        <f>VLOOKUP(B476,Bounties!A:D,4,FALSE)</f>
        <v>RPCs and Nodes</v>
      </c>
      <c r="O476" s="1" t="str">
        <f t="shared" ref="O476:P476" si="480">IF(ISBLANK(K476),M476,K476)</f>
        <v>Operations</v>
      </c>
      <c r="P476" s="1" t="str">
        <f t="shared" si="480"/>
        <v>RPCs and Nodes</v>
      </c>
      <c r="Q476" s="61" t="str">
        <f t="shared" si="3"/>
        <v>2024</v>
      </c>
      <c r="R476" s="62">
        <f t="shared" si="4"/>
        <v>4</v>
      </c>
      <c r="S476" s="61" t="str">
        <f t="shared" si="5"/>
        <v>2024-Q2</v>
      </c>
      <c r="T476" s="63" t="str">
        <f t="shared" si="6"/>
        <v>2024-04</v>
      </c>
      <c r="U476" s="64" t="str">
        <f t="shared" si="7"/>
        <v>2024-H1</v>
      </c>
      <c r="V476" s="9" t="str">
        <f>VLOOKUP(B476,Bounties!A:E,2,FALSE)</f>
        <v>System Parachains Collator Bounty</v>
      </c>
    </row>
    <row r="477" hidden="1">
      <c r="A477" s="67">
        <f>HYPERLINK("https://polkadot.subsquare.io/treasury/child-bounties/926", 926)</f>
        <v>926</v>
      </c>
      <c r="B477" s="1">
        <v>32.0</v>
      </c>
      <c r="C477" s="1" t="s">
        <v>2414</v>
      </c>
      <c r="D477" s="1" t="s">
        <v>535</v>
      </c>
      <c r="E477" s="5">
        <v>43.9911756642</v>
      </c>
      <c r="F477" s="4">
        <v>369.04352223237754</v>
      </c>
      <c r="G477" s="1" t="s">
        <v>2442</v>
      </c>
      <c r="H477" s="95">
        <v>45384.0</v>
      </c>
      <c r="I477" s="95">
        <v>45393.0</v>
      </c>
      <c r="J477" s="4">
        <v>282.3343892445127</v>
      </c>
      <c r="K477" s="1"/>
      <c r="L477" s="1"/>
      <c r="M477" s="1" t="str">
        <f>VLOOKUP(B477,Bounties!A:D,3,FALSE)</f>
        <v>Operations</v>
      </c>
      <c r="N477" s="1" t="str">
        <f>VLOOKUP(B477,Bounties!A:D,4,FALSE)</f>
        <v>RPCs and Nodes</v>
      </c>
      <c r="O477" s="1" t="str">
        <f t="shared" ref="O477:P477" si="481">IF(ISBLANK(K477),M477,K477)</f>
        <v>Operations</v>
      </c>
      <c r="P477" s="1" t="str">
        <f t="shared" si="481"/>
        <v>RPCs and Nodes</v>
      </c>
      <c r="Q477" s="61" t="str">
        <f t="shared" si="3"/>
        <v>2024</v>
      </c>
      <c r="R477" s="62">
        <f t="shared" si="4"/>
        <v>4</v>
      </c>
      <c r="S477" s="61" t="str">
        <f t="shared" si="5"/>
        <v>2024-Q2</v>
      </c>
      <c r="T477" s="63" t="str">
        <f t="shared" si="6"/>
        <v>2024-04</v>
      </c>
      <c r="U477" s="64" t="str">
        <f t="shared" si="7"/>
        <v>2024-H1</v>
      </c>
      <c r="V477" s="9" t="str">
        <f>VLOOKUP(B477,Bounties!A:E,2,FALSE)</f>
        <v>System Parachains Collator Bounty</v>
      </c>
    </row>
    <row r="478" hidden="1">
      <c r="A478" s="67">
        <f>HYPERLINK("https://polkadot.subsquare.io/treasury/child-bounties/925", 925)</f>
        <v>925</v>
      </c>
      <c r="B478" s="1">
        <v>32.0</v>
      </c>
      <c r="C478" s="1" t="s">
        <v>2414</v>
      </c>
      <c r="D478" s="1" t="s">
        <v>534</v>
      </c>
      <c r="E478" s="5">
        <v>27.9480934171</v>
      </c>
      <c r="F478" s="4">
        <v>234.45754014525437</v>
      </c>
      <c r="G478" s="1" t="s">
        <v>2475</v>
      </c>
      <c r="H478" s="95">
        <v>45384.0</v>
      </c>
      <c r="I478" s="95">
        <v>45393.0</v>
      </c>
      <c r="J478" s="4">
        <v>179.37024338012793</v>
      </c>
      <c r="K478" s="1"/>
      <c r="L478" s="1"/>
      <c r="M478" s="1" t="str">
        <f>VLOOKUP(B478,Bounties!A:D,3,FALSE)</f>
        <v>Operations</v>
      </c>
      <c r="N478" s="1" t="str">
        <f>VLOOKUP(B478,Bounties!A:D,4,FALSE)</f>
        <v>RPCs and Nodes</v>
      </c>
      <c r="O478" s="1" t="str">
        <f t="shared" ref="O478:P478" si="482">IF(ISBLANK(K478),M478,K478)</f>
        <v>Operations</v>
      </c>
      <c r="P478" s="1" t="str">
        <f t="shared" si="482"/>
        <v>RPCs and Nodes</v>
      </c>
      <c r="Q478" s="61" t="str">
        <f t="shared" si="3"/>
        <v>2024</v>
      </c>
      <c r="R478" s="62">
        <f t="shared" si="4"/>
        <v>4</v>
      </c>
      <c r="S478" s="61" t="str">
        <f t="shared" si="5"/>
        <v>2024-Q2</v>
      </c>
      <c r="T478" s="63" t="str">
        <f t="shared" si="6"/>
        <v>2024-04</v>
      </c>
      <c r="U478" s="64" t="str">
        <f t="shared" si="7"/>
        <v>2024-H1</v>
      </c>
      <c r="V478" s="9" t="str">
        <f>VLOOKUP(B478,Bounties!A:E,2,FALSE)</f>
        <v>System Parachains Collator Bounty</v>
      </c>
    </row>
    <row r="479" hidden="1">
      <c r="A479" s="67">
        <f>HYPERLINK("https://polkadot.subsquare.io/treasury/child-bounties/924", 924)</f>
        <v>924</v>
      </c>
      <c r="B479" s="1">
        <v>32.0</v>
      </c>
      <c r="C479" s="1" t="s">
        <v>2414</v>
      </c>
      <c r="D479" s="1" t="s">
        <v>533</v>
      </c>
      <c r="E479" s="5">
        <v>29.1770030555</v>
      </c>
      <c r="F479" s="4">
        <v>244.76690639002896</v>
      </c>
      <c r="G479" s="1" t="s">
        <v>2584</v>
      </c>
      <c r="H479" s="95">
        <v>45384.0</v>
      </c>
      <c r="I479" s="95">
        <v>45393.0</v>
      </c>
      <c r="J479" s="4">
        <v>200.4269333690288</v>
      </c>
      <c r="K479" s="1"/>
      <c r="L479" s="1"/>
      <c r="M479" s="1" t="str">
        <f>VLOOKUP(B479,Bounties!A:D,3,FALSE)</f>
        <v>Operations</v>
      </c>
      <c r="N479" s="1" t="str">
        <f>VLOOKUP(B479,Bounties!A:D,4,FALSE)</f>
        <v>RPCs and Nodes</v>
      </c>
      <c r="O479" s="1" t="str">
        <f t="shared" ref="O479:P479" si="483">IF(ISBLANK(K479),M479,K479)</f>
        <v>Operations</v>
      </c>
      <c r="P479" s="1" t="str">
        <f t="shared" si="483"/>
        <v>RPCs and Nodes</v>
      </c>
      <c r="Q479" s="61" t="str">
        <f t="shared" si="3"/>
        <v>2024</v>
      </c>
      <c r="R479" s="62">
        <f t="shared" si="4"/>
        <v>4</v>
      </c>
      <c r="S479" s="61" t="str">
        <f t="shared" si="5"/>
        <v>2024-Q2</v>
      </c>
      <c r="T479" s="63" t="str">
        <f t="shared" si="6"/>
        <v>2024-04</v>
      </c>
      <c r="U479" s="64" t="str">
        <f t="shared" si="7"/>
        <v>2024-H1</v>
      </c>
      <c r="V479" s="9" t="str">
        <f>VLOOKUP(B479,Bounties!A:E,2,FALSE)</f>
        <v>System Parachains Collator Bounty</v>
      </c>
    </row>
    <row r="480" hidden="1">
      <c r="A480" s="67">
        <f>HYPERLINK("https://polkadot.subsquare.io/treasury/child-bounties/923", 923)</f>
        <v>923</v>
      </c>
      <c r="B480" s="1">
        <v>32.0</v>
      </c>
      <c r="C480" s="1" t="s">
        <v>2414</v>
      </c>
      <c r="D480" s="1" t="s">
        <v>532</v>
      </c>
      <c r="E480" s="5">
        <v>2.5343189018</v>
      </c>
      <c r="F480" s="4">
        <v>21.26049053836696</v>
      </c>
      <c r="G480" s="1" t="s">
        <v>2619</v>
      </c>
      <c r="H480" s="95">
        <v>45384.0</v>
      </c>
      <c r="I480" s="95">
        <v>45393.0</v>
      </c>
      <c r="J480" s="4">
        <v>16.265202474977755</v>
      </c>
      <c r="K480" s="1"/>
      <c r="L480" s="1"/>
      <c r="M480" s="1" t="str">
        <f>VLOOKUP(B480,Bounties!A:D,3,FALSE)</f>
        <v>Operations</v>
      </c>
      <c r="N480" s="1" t="str">
        <f>VLOOKUP(B480,Bounties!A:D,4,FALSE)</f>
        <v>RPCs and Nodes</v>
      </c>
      <c r="O480" s="1" t="str">
        <f t="shared" ref="O480:P480" si="484">IF(ISBLANK(K480),M480,K480)</f>
        <v>Operations</v>
      </c>
      <c r="P480" s="1" t="str">
        <f t="shared" si="484"/>
        <v>RPCs and Nodes</v>
      </c>
      <c r="Q480" s="61" t="str">
        <f t="shared" si="3"/>
        <v>2024</v>
      </c>
      <c r="R480" s="62">
        <f t="shared" si="4"/>
        <v>4</v>
      </c>
      <c r="S480" s="61" t="str">
        <f t="shared" si="5"/>
        <v>2024-Q2</v>
      </c>
      <c r="T480" s="63" t="str">
        <f t="shared" si="6"/>
        <v>2024-04</v>
      </c>
      <c r="U480" s="64" t="str">
        <f t="shared" si="7"/>
        <v>2024-H1</v>
      </c>
      <c r="V480" s="9" t="str">
        <f>VLOOKUP(B480,Bounties!A:E,2,FALSE)</f>
        <v>System Parachains Collator Bounty</v>
      </c>
    </row>
    <row r="481" hidden="1">
      <c r="A481" s="67">
        <f>HYPERLINK("https://polkadot.subsquare.io/treasury/child-bounties/922", 922)</f>
        <v>922</v>
      </c>
      <c r="B481" s="1">
        <v>32.0</v>
      </c>
      <c r="C481" s="1" t="s">
        <v>2414</v>
      </c>
      <c r="D481" s="1" t="s">
        <v>296</v>
      </c>
      <c r="E481" s="5">
        <v>2.6399155227</v>
      </c>
      <c r="F481" s="4">
        <v>22.14634431072901</v>
      </c>
      <c r="G481" s="1" t="s">
        <v>2619</v>
      </c>
      <c r="H481" s="95">
        <v>45384.0</v>
      </c>
      <c r="I481" s="95">
        <v>45393.0</v>
      </c>
      <c r="J481" s="4">
        <v>16.942919244715014</v>
      </c>
      <c r="K481" s="1"/>
      <c r="L481" s="1"/>
      <c r="M481" s="1" t="str">
        <f>VLOOKUP(B481,Bounties!A:D,3,FALSE)</f>
        <v>Operations</v>
      </c>
      <c r="N481" s="1" t="str">
        <f>VLOOKUP(B481,Bounties!A:D,4,FALSE)</f>
        <v>RPCs and Nodes</v>
      </c>
      <c r="O481" s="1" t="str">
        <f t="shared" ref="O481:P481" si="485">IF(ISBLANK(K481),M481,K481)</f>
        <v>Operations</v>
      </c>
      <c r="P481" s="1" t="str">
        <f t="shared" si="485"/>
        <v>RPCs and Nodes</v>
      </c>
      <c r="Q481" s="61" t="str">
        <f t="shared" si="3"/>
        <v>2024</v>
      </c>
      <c r="R481" s="62">
        <f t="shared" si="4"/>
        <v>4</v>
      </c>
      <c r="S481" s="61" t="str">
        <f t="shared" si="5"/>
        <v>2024-Q2</v>
      </c>
      <c r="T481" s="63" t="str">
        <f t="shared" si="6"/>
        <v>2024-04</v>
      </c>
      <c r="U481" s="64" t="str">
        <f t="shared" si="7"/>
        <v>2024-H1</v>
      </c>
      <c r="V481" s="9" t="str">
        <f>VLOOKUP(B481,Bounties!A:E,2,FALSE)</f>
        <v>System Parachains Collator Bounty</v>
      </c>
    </row>
    <row r="482" hidden="1">
      <c r="A482" s="67">
        <f>HYPERLINK("https://polkadot.subsquare.io/treasury/child-bounties/921", 921)</f>
        <v>921</v>
      </c>
      <c r="B482" s="1">
        <v>32.0</v>
      </c>
      <c r="C482" s="1" t="s">
        <v>2414</v>
      </c>
      <c r="D482" s="1" t="s">
        <v>531</v>
      </c>
      <c r="E482" s="5">
        <v>7.4983040792</v>
      </c>
      <c r="F482" s="4">
        <v>62.90353704752927</v>
      </c>
      <c r="G482" s="1" t="s">
        <v>2437</v>
      </c>
      <c r="H482" s="95">
        <v>45384.0</v>
      </c>
      <c r="I482" s="95">
        <v>45393.0</v>
      </c>
      <c r="J482" s="4">
        <v>48.12394919223329</v>
      </c>
      <c r="K482" s="1"/>
      <c r="L482" s="1"/>
      <c r="M482" s="1" t="str">
        <f>VLOOKUP(B482,Bounties!A:D,3,FALSE)</f>
        <v>Operations</v>
      </c>
      <c r="N482" s="1" t="str">
        <f>VLOOKUP(B482,Bounties!A:D,4,FALSE)</f>
        <v>RPCs and Nodes</v>
      </c>
      <c r="O482" s="1" t="str">
        <f t="shared" ref="O482:P482" si="486">IF(ISBLANK(K482),M482,K482)</f>
        <v>Operations</v>
      </c>
      <c r="P482" s="1" t="str">
        <f t="shared" si="486"/>
        <v>RPCs and Nodes</v>
      </c>
      <c r="Q482" s="61" t="str">
        <f t="shared" si="3"/>
        <v>2024</v>
      </c>
      <c r="R482" s="62">
        <f t="shared" si="4"/>
        <v>4</v>
      </c>
      <c r="S482" s="61" t="str">
        <f t="shared" si="5"/>
        <v>2024-Q2</v>
      </c>
      <c r="T482" s="63" t="str">
        <f t="shared" si="6"/>
        <v>2024-04</v>
      </c>
      <c r="U482" s="64" t="str">
        <f t="shared" si="7"/>
        <v>2024-H1</v>
      </c>
      <c r="V482" s="9" t="str">
        <f>VLOOKUP(B482,Bounties!A:E,2,FALSE)</f>
        <v>System Parachains Collator Bounty</v>
      </c>
    </row>
    <row r="483" hidden="1">
      <c r="A483" s="67">
        <f>HYPERLINK("https://polkadot.subsquare.io/treasury/child-bounties/920", 920)</f>
        <v>920</v>
      </c>
      <c r="B483" s="1">
        <v>32.0</v>
      </c>
      <c r="C483" s="1" t="s">
        <v>2414</v>
      </c>
      <c r="D483" s="1" t="s">
        <v>530</v>
      </c>
      <c r="E483" s="5">
        <v>7.4983040792</v>
      </c>
      <c r="F483" s="4">
        <v>62.90353704752927</v>
      </c>
      <c r="G483" s="1" t="s">
        <v>2463</v>
      </c>
      <c r="H483" s="95">
        <v>45384.0</v>
      </c>
      <c r="I483" s="95">
        <v>45393.0</v>
      </c>
      <c r="J483" s="4">
        <v>51.50844619660959</v>
      </c>
      <c r="K483" s="1"/>
      <c r="L483" s="1"/>
      <c r="M483" s="1" t="str">
        <f>VLOOKUP(B483,Bounties!A:D,3,FALSE)</f>
        <v>Operations</v>
      </c>
      <c r="N483" s="1" t="str">
        <f>VLOOKUP(B483,Bounties!A:D,4,FALSE)</f>
        <v>RPCs and Nodes</v>
      </c>
      <c r="O483" s="1" t="str">
        <f t="shared" ref="O483:P483" si="487">IF(ISBLANK(K483),M483,K483)</f>
        <v>Operations</v>
      </c>
      <c r="P483" s="1" t="str">
        <f t="shared" si="487"/>
        <v>RPCs and Nodes</v>
      </c>
      <c r="Q483" s="61" t="str">
        <f t="shared" si="3"/>
        <v>2024</v>
      </c>
      <c r="R483" s="62">
        <f t="shared" si="4"/>
        <v>4</v>
      </c>
      <c r="S483" s="61" t="str">
        <f t="shared" si="5"/>
        <v>2024-Q2</v>
      </c>
      <c r="T483" s="63" t="str">
        <f t="shared" si="6"/>
        <v>2024-04</v>
      </c>
      <c r="U483" s="64" t="str">
        <f t="shared" si="7"/>
        <v>2024-H1</v>
      </c>
      <c r="V483" s="9" t="str">
        <f>VLOOKUP(B483,Bounties!A:E,2,FALSE)</f>
        <v>System Parachains Collator Bounty</v>
      </c>
    </row>
    <row r="484" hidden="1">
      <c r="A484" s="67">
        <f>HYPERLINK("https://polkadot.subsquare.io/treasury/child-bounties/919", 919)</f>
        <v>919</v>
      </c>
      <c r="B484" s="1">
        <v>32.0</v>
      </c>
      <c r="C484" s="1" t="s">
        <v>2414</v>
      </c>
      <c r="D484" s="1" t="s">
        <v>529</v>
      </c>
      <c r="E484" s="5">
        <v>7.4983040792</v>
      </c>
      <c r="F484" s="4">
        <v>62.90353704752927</v>
      </c>
      <c r="G484" s="1" t="s">
        <v>2438</v>
      </c>
      <c r="H484" s="95">
        <v>45384.0</v>
      </c>
      <c r="I484" s="95">
        <v>45393.0</v>
      </c>
      <c r="J484" s="4">
        <v>51.50844619660959</v>
      </c>
      <c r="K484" s="1"/>
      <c r="L484" s="1"/>
      <c r="M484" s="1" t="str">
        <f>VLOOKUP(B484,Bounties!A:D,3,FALSE)</f>
        <v>Operations</v>
      </c>
      <c r="N484" s="1" t="str">
        <f>VLOOKUP(B484,Bounties!A:D,4,FALSE)</f>
        <v>RPCs and Nodes</v>
      </c>
      <c r="O484" s="1" t="str">
        <f t="shared" ref="O484:P484" si="488">IF(ISBLANK(K484),M484,K484)</f>
        <v>Operations</v>
      </c>
      <c r="P484" s="1" t="str">
        <f t="shared" si="488"/>
        <v>RPCs and Nodes</v>
      </c>
      <c r="Q484" s="61" t="str">
        <f t="shared" si="3"/>
        <v>2024</v>
      </c>
      <c r="R484" s="62">
        <f t="shared" si="4"/>
        <v>4</v>
      </c>
      <c r="S484" s="61" t="str">
        <f t="shared" si="5"/>
        <v>2024-Q2</v>
      </c>
      <c r="T484" s="63" t="str">
        <f t="shared" si="6"/>
        <v>2024-04</v>
      </c>
      <c r="U484" s="64" t="str">
        <f t="shared" si="7"/>
        <v>2024-H1</v>
      </c>
      <c r="V484" s="9" t="str">
        <f>VLOOKUP(B484,Bounties!A:E,2,FALSE)</f>
        <v>System Parachains Collator Bounty</v>
      </c>
    </row>
    <row r="485" hidden="1">
      <c r="A485" s="67">
        <f>HYPERLINK("https://polkadot.subsquare.io/treasury/child-bounties/918", 918)</f>
        <v>918</v>
      </c>
      <c r="B485" s="1">
        <v>32.0</v>
      </c>
      <c r="C485" s="1" t="s">
        <v>2414</v>
      </c>
      <c r="D485" s="1" t="s">
        <v>528</v>
      </c>
      <c r="E485" s="5">
        <v>27.6402691255</v>
      </c>
      <c r="F485" s="4">
        <v>231.8751913199376</v>
      </c>
      <c r="G485" s="1" t="s">
        <v>2469</v>
      </c>
      <c r="H485" s="95">
        <v>45384.0</v>
      </c>
      <c r="I485" s="95">
        <v>45393.0</v>
      </c>
      <c r="J485" s="4">
        <v>177.3946339072891</v>
      </c>
      <c r="K485" s="1"/>
      <c r="L485" s="1"/>
      <c r="M485" s="1" t="str">
        <f>VLOOKUP(B485,Bounties!A:D,3,FALSE)</f>
        <v>Operations</v>
      </c>
      <c r="N485" s="1" t="str">
        <f>VLOOKUP(B485,Bounties!A:D,4,FALSE)</f>
        <v>RPCs and Nodes</v>
      </c>
      <c r="O485" s="1" t="str">
        <f t="shared" ref="O485:P485" si="489">IF(ISBLANK(K485),M485,K485)</f>
        <v>Operations</v>
      </c>
      <c r="P485" s="1" t="str">
        <f t="shared" si="489"/>
        <v>RPCs and Nodes</v>
      </c>
      <c r="Q485" s="61" t="str">
        <f t="shared" si="3"/>
        <v>2024</v>
      </c>
      <c r="R485" s="62">
        <f t="shared" si="4"/>
        <v>4</v>
      </c>
      <c r="S485" s="61" t="str">
        <f t="shared" si="5"/>
        <v>2024-Q2</v>
      </c>
      <c r="T485" s="63" t="str">
        <f t="shared" si="6"/>
        <v>2024-04</v>
      </c>
      <c r="U485" s="64" t="str">
        <f t="shared" si="7"/>
        <v>2024-H1</v>
      </c>
      <c r="V485" s="9" t="str">
        <f>VLOOKUP(B485,Bounties!A:E,2,FALSE)</f>
        <v>System Parachains Collator Bounty</v>
      </c>
    </row>
    <row r="486" hidden="1">
      <c r="A486" s="67">
        <f>HYPERLINK("https://polkadot.subsquare.io/treasury/child-bounties/917", 917)</f>
        <v>917</v>
      </c>
      <c r="B486" s="1">
        <v>32.0</v>
      </c>
      <c r="C486" s="1" t="s">
        <v>2414</v>
      </c>
      <c r="D486" s="1" t="s">
        <v>527</v>
      </c>
      <c r="E486" s="5">
        <v>27.647914591</v>
      </c>
      <c r="F486" s="4">
        <v>231.93932939932796</v>
      </c>
      <c r="G486" s="1" t="s">
        <v>2471</v>
      </c>
      <c r="H486" s="95">
        <v>45384.0</v>
      </c>
      <c r="I486" s="95">
        <v>45393.0</v>
      </c>
      <c r="J486" s="4">
        <v>189.92309542492163</v>
      </c>
      <c r="K486" s="1"/>
      <c r="L486" s="1"/>
      <c r="M486" s="1" t="str">
        <f>VLOOKUP(B486,Bounties!A:D,3,FALSE)</f>
        <v>Operations</v>
      </c>
      <c r="N486" s="1" t="str">
        <f>VLOOKUP(B486,Bounties!A:D,4,FALSE)</f>
        <v>RPCs and Nodes</v>
      </c>
      <c r="O486" s="1" t="str">
        <f t="shared" ref="O486:P486" si="490">IF(ISBLANK(K486),M486,K486)</f>
        <v>Operations</v>
      </c>
      <c r="P486" s="1" t="str">
        <f t="shared" si="490"/>
        <v>RPCs and Nodes</v>
      </c>
      <c r="Q486" s="61" t="str">
        <f t="shared" si="3"/>
        <v>2024</v>
      </c>
      <c r="R486" s="62">
        <f t="shared" si="4"/>
        <v>4</v>
      </c>
      <c r="S486" s="61" t="str">
        <f t="shared" si="5"/>
        <v>2024-Q2</v>
      </c>
      <c r="T486" s="63" t="str">
        <f t="shared" si="6"/>
        <v>2024-04</v>
      </c>
      <c r="U486" s="64" t="str">
        <f t="shared" si="7"/>
        <v>2024-H1</v>
      </c>
      <c r="V486" s="9" t="str">
        <f>VLOOKUP(B486,Bounties!A:E,2,FALSE)</f>
        <v>System Parachains Collator Bounty</v>
      </c>
    </row>
    <row r="487" hidden="1">
      <c r="A487" s="67">
        <f>HYPERLINK("https://polkadot.subsquare.io/treasury/child-bounties/916", 916)</f>
        <v>916</v>
      </c>
      <c r="B487" s="1">
        <v>32.0</v>
      </c>
      <c r="C487" s="1" t="s">
        <v>2414</v>
      </c>
      <c r="D487" s="1" t="s">
        <v>526</v>
      </c>
      <c r="E487" s="5">
        <v>29.7332153043</v>
      </c>
      <c r="F487" s="4">
        <v>249.43299053774112</v>
      </c>
      <c r="G487" s="1" t="s">
        <v>2442</v>
      </c>
      <c r="H487" s="95">
        <v>45384.0</v>
      </c>
      <c r="I487" s="95">
        <v>45393.0</v>
      </c>
      <c r="J487" s="4">
        <v>190.82711604015506</v>
      </c>
      <c r="K487" s="1"/>
      <c r="L487" s="1"/>
      <c r="M487" s="1" t="str">
        <f>VLOOKUP(B487,Bounties!A:D,3,FALSE)</f>
        <v>Operations</v>
      </c>
      <c r="N487" s="1" t="str">
        <f>VLOOKUP(B487,Bounties!A:D,4,FALSE)</f>
        <v>RPCs and Nodes</v>
      </c>
      <c r="O487" s="1" t="str">
        <f t="shared" ref="O487:P487" si="491">IF(ISBLANK(K487),M487,K487)</f>
        <v>Operations</v>
      </c>
      <c r="P487" s="1" t="str">
        <f t="shared" si="491"/>
        <v>RPCs and Nodes</v>
      </c>
      <c r="Q487" s="61" t="str">
        <f t="shared" si="3"/>
        <v>2024</v>
      </c>
      <c r="R487" s="62">
        <f t="shared" si="4"/>
        <v>4</v>
      </c>
      <c r="S487" s="61" t="str">
        <f t="shared" si="5"/>
        <v>2024-Q2</v>
      </c>
      <c r="T487" s="63" t="str">
        <f t="shared" si="6"/>
        <v>2024-04</v>
      </c>
      <c r="U487" s="64" t="str">
        <f t="shared" si="7"/>
        <v>2024-H1</v>
      </c>
      <c r="V487" s="9" t="str">
        <f>VLOOKUP(B487,Bounties!A:E,2,FALSE)</f>
        <v>System Parachains Collator Bounty</v>
      </c>
    </row>
    <row r="488" hidden="1">
      <c r="A488" s="67">
        <f>HYPERLINK("https://polkadot.subsquare.io/treasury/child-bounties/915", 915)</f>
        <v>915</v>
      </c>
      <c r="B488" s="1">
        <v>32.0</v>
      </c>
      <c r="C488" s="1" t="s">
        <v>2414</v>
      </c>
      <c r="D488" s="1" t="s">
        <v>525</v>
      </c>
      <c r="E488" s="5">
        <v>40.7255517467</v>
      </c>
      <c r="F488" s="4">
        <v>341.6480881571466</v>
      </c>
      <c r="G488" s="1" t="s">
        <v>2546</v>
      </c>
      <c r="H488" s="95">
        <v>45384.0</v>
      </c>
      <c r="I488" s="95">
        <v>45392.0</v>
      </c>
      <c r="J488" s="4">
        <v>261.37568740649937</v>
      </c>
      <c r="K488" s="1"/>
      <c r="L488" s="1"/>
      <c r="M488" s="1" t="str">
        <f>VLOOKUP(B488,Bounties!A:D,3,FALSE)</f>
        <v>Operations</v>
      </c>
      <c r="N488" s="1" t="str">
        <f>VLOOKUP(B488,Bounties!A:D,4,FALSE)</f>
        <v>RPCs and Nodes</v>
      </c>
      <c r="O488" s="1" t="str">
        <f t="shared" ref="O488:P488" si="492">IF(ISBLANK(K488),M488,K488)</f>
        <v>Operations</v>
      </c>
      <c r="P488" s="1" t="str">
        <f t="shared" si="492"/>
        <v>RPCs and Nodes</v>
      </c>
      <c r="Q488" s="61" t="str">
        <f t="shared" si="3"/>
        <v>2024</v>
      </c>
      <c r="R488" s="62">
        <f t="shared" si="4"/>
        <v>4</v>
      </c>
      <c r="S488" s="61" t="str">
        <f t="shared" si="5"/>
        <v>2024-Q2</v>
      </c>
      <c r="T488" s="63" t="str">
        <f t="shared" si="6"/>
        <v>2024-04</v>
      </c>
      <c r="U488" s="64" t="str">
        <f t="shared" si="7"/>
        <v>2024-H1</v>
      </c>
      <c r="V488" s="9" t="str">
        <f>VLOOKUP(B488,Bounties!A:E,2,FALSE)</f>
        <v>System Parachains Collator Bounty</v>
      </c>
    </row>
    <row r="489" hidden="1">
      <c r="A489" s="67">
        <f>HYPERLINK("https://polkadot.subsquare.io/treasury/child-bounties/914", 914)</f>
        <v>914</v>
      </c>
      <c r="B489" s="1">
        <v>32.0</v>
      </c>
      <c r="C489" s="1" t="s">
        <v>2414</v>
      </c>
      <c r="D489" s="1" t="s">
        <v>524</v>
      </c>
      <c r="E489" s="5">
        <v>41.6232015801</v>
      </c>
      <c r="F489" s="4">
        <v>349.1785042291779</v>
      </c>
      <c r="G489" s="1" t="s">
        <v>2475</v>
      </c>
      <c r="H489" s="95">
        <v>45384.0</v>
      </c>
      <c r="I489" s="95">
        <v>45393.0</v>
      </c>
      <c r="J489" s="4">
        <v>267.13678411832643</v>
      </c>
      <c r="K489" s="1"/>
      <c r="L489" s="1"/>
      <c r="M489" s="1" t="str">
        <f>VLOOKUP(B489,Bounties!A:D,3,FALSE)</f>
        <v>Operations</v>
      </c>
      <c r="N489" s="1" t="str">
        <f>VLOOKUP(B489,Bounties!A:D,4,FALSE)</f>
        <v>RPCs and Nodes</v>
      </c>
      <c r="O489" s="1" t="str">
        <f t="shared" ref="O489:P489" si="493">IF(ISBLANK(K489),M489,K489)</f>
        <v>Operations</v>
      </c>
      <c r="P489" s="1" t="str">
        <f t="shared" si="493"/>
        <v>RPCs and Nodes</v>
      </c>
      <c r="Q489" s="61" t="str">
        <f t="shared" si="3"/>
        <v>2024</v>
      </c>
      <c r="R489" s="62">
        <f t="shared" si="4"/>
        <v>4</v>
      </c>
      <c r="S489" s="61" t="str">
        <f t="shared" si="5"/>
        <v>2024-Q2</v>
      </c>
      <c r="T489" s="63" t="str">
        <f t="shared" si="6"/>
        <v>2024-04</v>
      </c>
      <c r="U489" s="64" t="str">
        <f t="shared" si="7"/>
        <v>2024-H1</v>
      </c>
      <c r="V489" s="9" t="str">
        <f>VLOOKUP(B489,Bounties!A:E,2,FALSE)</f>
        <v>System Parachains Collator Bounty</v>
      </c>
    </row>
    <row r="490" hidden="1">
      <c r="A490" s="67">
        <f>HYPERLINK("https://polkadot.subsquare.io/treasury/child-bounties/913", 913)</f>
        <v>913</v>
      </c>
      <c r="B490" s="1">
        <v>32.0</v>
      </c>
      <c r="C490" s="1" t="s">
        <v>2414</v>
      </c>
      <c r="D490" s="1" t="s">
        <v>523</v>
      </c>
      <c r="E490" s="5">
        <v>42.0309668041</v>
      </c>
      <c r="F490" s="4">
        <v>352.59926105680904</v>
      </c>
      <c r="G490" s="1" t="s">
        <v>2443</v>
      </c>
      <c r="H490" s="95">
        <v>45384.0</v>
      </c>
      <c r="I490" s="95">
        <v>45393.0</v>
      </c>
      <c r="J490" s="4">
        <v>288.72525965250645</v>
      </c>
      <c r="K490" s="1"/>
      <c r="L490" s="1"/>
      <c r="M490" s="1" t="str">
        <f>VLOOKUP(B490,Bounties!A:D,3,FALSE)</f>
        <v>Operations</v>
      </c>
      <c r="N490" s="1" t="str">
        <f>VLOOKUP(B490,Bounties!A:D,4,FALSE)</f>
        <v>RPCs and Nodes</v>
      </c>
      <c r="O490" s="1" t="str">
        <f t="shared" ref="O490:P490" si="494">IF(ISBLANK(K490),M490,K490)</f>
        <v>Operations</v>
      </c>
      <c r="P490" s="1" t="str">
        <f t="shared" si="494"/>
        <v>RPCs and Nodes</v>
      </c>
      <c r="Q490" s="61" t="str">
        <f t="shared" si="3"/>
        <v>2024</v>
      </c>
      <c r="R490" s="62">
        <f t="shared" si="4"/>
        <v>4</v>
      </c>
      <c r="S490" s="61" t="str">
        <f t="shared" si="5"/>
        <v>2024-Q2</v>
      </c>
      <c r="T490" s="63" t="str">
        <f t="shared" si="6"/>
        <v>2024-04</v>
      </c>
      <c r="U490" s="64" t="str">
        <f t="shared" si="7"/>
        <v>2024-H1</v>
      </c>
      <c r="V490" s="9" t="str">
        <f>VLOOKUP(B490,Bounties!A:E,2,FALSE)</f>
        <v>System Parachains Collator Bounty</v>
      </c>
    </row>
    <row r="491" hidden="1">
      <c r="A491" s="67">
        <f>HYPERLINK("https://polkadot.subsquare.io/treasury/child-bounties/912", 912)</f>
        <v>912</v>
      </c>
      <c r="B491" s="1">
        <v>32.0</v>
      </c>
      <c r="C491" s="1" t="s">
        <v>2414</v>
      </c>
      <c r="D491" s="1" t="s">
        <v>522</v>
      </c>
      <c r="E491" s="5">
        <v>44.5058751775</v>
      </c>
      <c r="F491" s="4">
        <v>373.36135457969766</v>
      </c>
      <c r="G491" s="1" t="s">
        <v>2444</v>
      </c>
      <c r="H491" s="95">
        <v>45384.0</v>
      </c>
      <c r="I491" s="95">
        <v>45393.0</v>
      </c>
      <c r="J491" s="4">
        <v>305.72626193866785</v>
      </c>
      <c r="K491" s="1"/>
      <c r="L491" s="1"/>
      <c r="M491" s="1" t="str">
        <f>VLOOKUP(B491,Bounties!A:D,3,FALSE)</f>
        <v>Operations</v>
      </c>
      <c r="N491" s="1" t="str">
        <f>VLOOKUP(B491,Bounties!A:D,4,FALSE)</f>
        <v>RPCs and Nodes</v>
      </c>
      <c r="O491" s="1" t="str">
        <f t="shared" ref="O491:P491" si="495">IF(ISBLANK(K491),M491,K491)</f>
        <v>Operations</v>
      </c>
      <c r="P491" s="1" t="str">
        <f t="shared" si="495"/>
        <v>RPCs and Nodes</v>
      </c>
      <c r="Q491" s="61" t="str">
        <f t="shared" si="3"/>
        <v>2024</v>
      </c>
      <c r="R491" s="62">
        <f t="shared" si="4"/>
        <v>4</v>
      </c>
      <c r="S491" s="61" t="str">
        <f t="shared" si="5"/>
        <v>2024-Q2</v>
      </c>
      <c r="T491" s="63" t="str">
        <f t="shared" si="6"/>
        <v>2024-04</v>
      </c>
      <c r="U491" s="64" t="str">
        <f t="shared" si="7"/>
        <v>2024-H1</v>
      </c>
      <c r="V491" s="9" t="str">
        <f>VLOOKUP(B491,Bounties!A:E,2,FALSE)</f>
        <v>System Parachains Collator Bounty</v>
      </c>
    </row>
    <row r="492" hidden="1">
      <c r="A492" s="67">
        <f>HYPERLINK("https://polkadot.subsquare.io/treasury/child-bounties/911", 911)</f>
        <v>911</v>
      </c>
      <c r="B492" s="1">
        <v>32.0</v>
      </c>
      <c r="C492" s="1" t="s">
        <v>2414</v>
      </c>
      <c r="D492" s="1" t="s">
        <v>521</v>
      </c>
      <c r="E492" s="5">
        <v>46.9326446009</v>
      </c>
      <c r="F492" s="4">
        <v>393.7196087553458</v>
      </c>
      <c r="G492" s="1" t="s">
        <v>2445</v>
      </c>
      <c r="H492" s="95">
        <v>45384.0</v>
      </c>
      <c r="I492" s="95">
        <v>45393.0</v>
      </c>
      <c r="J492" s="4">
        <v>322.3965811143757</v>
      </c>
      <c r="K492" s="1"/>
      <c r="L492" s="1"/>
      <c r="M492" s="1" t="str">
        <f>VLOOKUP(B492,Bounties!A:D,3,FALSE)</f>
        <v>Operations</v>
      </c>
      <c r="N492" s="1" t="str">
        <f>VLOOKUP(B492,Bounties!A:D,4,FALSE)</f>
        <v>RPCs and Nodes</v>
      </c>
      <c r="O492" s="1" t="str">
        <f t="shared" ref="O492:P492" si="496">IF(ISBLANK(K492),M492,K492)</f>
        <v>Operations</v>
      </c>
      <c r="P492" s="1" t="str">
        <f t="shared" si="496"/>
        <v>RPCs and Nodes</v>
      </c>
      <c r="Q492" s="61" t="str">
        <f t="shared" si="3"/>
        <v>2024</v>
      </c>
      <c r="R492" s="62">
        <f t="shared" si="4"/>
        <v>4</v>
      </c>
      <c r="S492" s="61" t="str">
        <f t="shared" si="5"/>
        <v>2024-Q2</v>
      </c>
      <c r="T492" s="63" t="str">
        <f t="shared" si="6"/>
        <v>2024-04</v>
      </c>
      <c r="U492" s="64" t="str">
        <f t="shared" si="7"/>
        <v>2024-H1</v>
      </c>
      <c r="V492" s="9" t="str">
        <f>VLOOKUP(B492,Bounties!A:E,2,FALSE)</f>
        <v>System Parachains Collator Bounty</v>
      </c>
    </row>
    <row r="493" hidden="1">
      <c r="A493" s="67">
        <f>HYPERLINK("https://polkadot.subsquare.io/treasury/child-bounties/910", 910)</f>
        <v>910</v>
      </c>
      <c r="B493" s="1">
        <v>32.0</v>
      </c>
      <c r="C493" s="1" t="s">
        <v>2414</v>
      </c>
      <c r="D493" s="1" t="s">
        <v>520</v>
      </c>
      <c r="E493" s="5">
        <v>41.6005479566</v>
      </c>
      <c r="F493" s="4">
        <v>348.98846218366447</v>
      </c>
      <c r="G493" s="1" t="s">
        <v>2439</v>
      </c>
      <c r="H493" s="95">
        <v>45384.0</v>
      </c>
      <c r="I493" s="95">
        <v>45393.0</v>
      </c>
      <c r="J493" s="4">
        <v>285.76856360306783</v>
      </c>
      <c r="K493" s="1"/>
      <c r="L493" s="1"/>
      <c r="M493" s="1" t="str">
        <f>VLOOKUP(B493,Bounties!A:D,3,FALSE)</f>
        <v>Operations</v>
      </c>
      <c r="N493" s="1" t="str">
        <f>VLOOKUP(B493,Bounties!A:D,4,FALSE)</f>
        <v>RPCs and Nodes</v>
      </c>
      <c r="O493" s="1" t="str">
        <f t="shared" ref="O493:P493" si="497">IF(ISBLANK(K493),M493,K493)</f>
        <v>Operations</v>
      </c>
      <c r="P493" s="1" t="str">
        <f t="shared" si="497"/>
        <v>RPCs and Nodes</v>
      </c>
      <c r="Q493" s="61" t="str">
        <f t="shared" si="3"/>
        <v>2024</v>
      </c>
      <c r="R493" s="62">
        <f t="shared" si="4"/>
        <v>4</v>
      </c>
      <c r="S493" s="61" t="str">
        <f t="shared" si="5"/>
        <v>2024-Q2</v>
      </c>
      <c r="T493" s="63" t="str">
        <f t="shared" si="6"/>
        <v>2024-04</v>
      </c>
      <c r="U493" s="64" t="str">
        <f t="shared" si="7"/>
        <v>2024-H1</v>
      </c>
      <c r="V493" s="9" t="str">
        <f>VLOOKUP(B493,Bounties!A:E,2,FALSE)</f>
        <v>System Parachains Collator Bounty</v>
      </c>
    </row>
    <row r="494" hidden="1">
      <c r="A494" s="67">
        <f>HYPERLINK("https://polkadot.subsquare.io/treasury/child-bounties/909", 909)</f>
        <v>909</v>
      </c>
      <c r="B494" s="1">
        <v>32.0</v>
      </c>
      <c r="C494" s="1" t="s">
        <v>2414</v>
      </c>
      <c r="D494" s="1" t="s">
        <v>519</v>
      </c>
      <c r="E494" s="5">
        <v>46.4031161503</v>
      </c>
      <c r="F494" s="4">
        <v>389.277375930668</v>
      </c>
      <c r="G494" s="1" t="s">
        <v>2465</v>
      </c>
      <c r="H494" s="95">
        <v>45384.0</v>
      </c>
      <c r="I494" s="95">
        <v>45393.0</v>
      </c>
      <c r="J494" s="4">
        <v>318.7590668952652</v>
      </c>
      <c r="K494" s="1"/>
      <c r="L494" s="1"/>
      <c r="M494" s="1" t="str">
        <f>VLOOKUP(B494,Bounties!A:D,3,FALSE)</f>
        <v>Operations</v>
      </c>
      <c r="N494" s="1" t="str">
        <f>VLOOKUP(B494,Bounties!A:D,4,FALSE)</f>
        <v>RPCs and Nodes</v>
      </c>
      <c r="O494" s="1" t="str">
        <f t="shared" ref="O494:P494" si="498">IF(ISBLANK(K494),M494,K494)</f>
        <v>Operations</v>
      </c>
      <c r="P494" s="1" t="str">
        <f t="shared" si="498"/>
        <v>RPCs and Nodes</v>
      </c>
      <c r="Q494" s="61" t="str">
        <f t="shared" si="3"/>
        <v>2024</v>
      </c>
      <c r="R494" s="62">
        <f t="shared" si="4"/>
        <v>4</v>
      </c>
      <c r="S494" s="61" t="str">
        <f t="shared" si="5"/>
        <v>2024-Q2</v>
      </c>
      <c r="T494" s="63" t="str">
        <f t="shared" si="6"/>
        <v>2024-04</v>
      </c>
      <c r="U494" s="64" t="str">
        <f t="shared" si="7"/>
        <v>2024-H1</v>
      </c>
      <c r="V494" s="9" t="str">
        <f>VLOOKUP(B494,Bounties!A:E,2,FALSE)</f>
        <v>System Parachains Collator Bounty</v>
      </c>
    </row>
    <row r="495" hidden="1">
      <c r="A495" s="67">
        <f>HYPERLINK("https://polkadot.subsquare.io/treasury/child-bounties/908", 908)</f>
        <v>908</v>
      </c>
      <c r="B495" s="1">
        <v>32.0</v>
      </c>
      <c r="C495" s="1" t="s">
        <v>2414</v>
      </c>
      <c r="D495" s="1" t="s">
        <v>518</v>
      </c>
      <c r="E495" s="5">
        <v>28.303513257</v>
      </c>
      <c r="F495" s="4">
        <v>237.43916970180896</v>
      </c>
      <c r="G495" s="1" t="s">
        <v>2459</v>
      </c>
      <c r="H495" s="95">
        <v>45384.0</v>
      </c>
      <c r="I495" s="95">
        <v>45393.0</v>
      </c>
      <c r="J495" s="4">
        <v>194.4266295917879</v>
      </c>
      <c r="K495" s="1"/>
      <c r="L495" s="1"/>
      <c r="M495" s="1" t="str">
        <f>VLOOKUP(B495,Bounties!A:D,3,FALSE)</f>
        <v>Operations</v>
      </c>
      <c r="N495" s="1" t="str">
        <f>VLOOKUP(B495,Bounties!A:D,4,FALSE)</f>
        <v>RPCs and Nodes</v>
      </c>
      <c r="O495" s="1" t="str">
        <f t="shared" ref="O495:P495" si="499">IF(ISBLANK(K495),M495,K495)</f>
        <v>Operations</v>
      </c>
      <c r="P495" s="1" t="str">
        <f t="shared" si="499"/>
        <v>RPCs and Nodes</v>
      </c>
      <c r="Q495" s="61" t="str">
        <f t="shared" si="3"/>
        <v>2024</v>
      </c>
      <c r="R495" s="62">
        <f t="shared" si="4"/>
        <v>4</v>
      </c>
      <c r="S495" s="61" t="str">
        <f t="shared" si="5"/>
        <v>2024-Q2</v>
      </c>
      <c r="T495" s="63" t="str">
        <f t="shared" si="6"/>
        <v>2024-04</v>
      </c>
      <c r="U495" s="64" t="str">
        <f t="shared" si="7"/>
        <v>2024-H1</v>
      </c>
      <c r="V495" s="9" t="str">
        <f>VLOOKUP(B495,Bounties!A:E,2,FALSE)</f>
        <v>System Parachains Collator Bounty</v>
      </c>
    </row>
    <row r="496" hidden="1">
      <c r="A496" s="67">
        <f>HYPERLINK("https://polkadot.subsquare.io/treasury/child-bounties/907", 907)</f>
        <v>907</v>
      </c>
      <c r="B496" s="1">
        <v>32.0</v>
      </c>
      <c r="C496" s="1" t="s">
        <v>2414</v>
      </c>
      <c r="D496" s="1" t="s">
        <v>517</v>
      </c>
      <c r="E496" s="5">
        <v>27.5771940352</v>
      </c>
      <c r="F496" s="4">
        <v>231.34605216559626</v>
      </c>
      <c r="G496" s="1" t="s">
        <v>2441</v>
      </c>
      <c r="H496" s="95">
        <v>45384.0</v>
      </c>
      <c r="I496" s="95">
        <v>45393.0</v>
      </c>
      <c r="J496" s="4">
        <v>189.43729144778987</v>
      </c>
      <c r="K496" s="1"/>
      <c r="L496" s="1"/>
      <c r="M496" s="1" t="str">
        <f>VLOOKUP(B496,Bounties!A:D,3,FALSE)</f>
        <v>Operations</v>
      </c>
      <c r="N496" s="1" t="str">
        <f>VLOOKUP(B496,Bounties!A:D,4,FALSE)</f>
        <v>RPCs and Nodes</v>
      </c>
      <c r="O496" s="1" t="str">
        <f t="shared" ref="O496:P496" si="500">IF(ISBLANK(K496),M496,K496)</f>
        <v>Operations</v>
      </c>
      <c r="P496" s="1" t="str">
        <f t="shared" si="500"/>
        <v>RPCs and Nodes</v>
      </c>
      <c r="Q496" s="61" t="str">
        <f t="shared" si="3"/>
        <v>2024</v>
      </c>
      <c r="R496" s="62">
        <f t="shared" si="4"/>
        <v>4</v>
      </c>
      <c r="S496" s="61" t="str">
        <f t="shared" si="5"/>
        <v>2024-Q2</v>
      </c>
      <c r="T496" s="63" t="str">
        <f t="shared" si="6"/>
        <v>2024-04</v>
      </c>
      <c r="U496" s="64" t="str">
        <f t="shared" si="7"/>
        <v>2024-H1</v>
      </c>
      <c r="V496" s="9" t="str">
        <f>VLOOKUP(B496,Bounties!A:E,2,FALSE)</f>
        <v>System Parachains Collator Bounty</v>
      </c>
    </row>
    <row r="497" hidden="1">
      <c r="A497" s="67">
        <f>HYPERLINK("https://polkadot.subsquare.io/treasury/child-bounties/906", 906)</f>
        <v>906</v>
      </c>
      <c r="B497" s="1">
        <v>32.0</v>
      </c>
      <c r="C497" s="1" t="s">
        <v>2414</v>
      </c>
      <c r="D497" s="1" t="s">
        <v>516</v>
      </c>
      <c r="E497" s="5">
        <v>1.6895459345</v>
      </c>
      <c r="F497" s="4">
        <v>14.173660358631672</v>
      </c>
      <c r="G497" s="1" t="s">
        <v>2619</v>
      </c>
      <c r="H497" s="95">
        <v>45384.0</v>
      </c>
      <c r="I497" s="95">
        <v>45393.0</v>
      </c>
      <c r="J497" s="4">
        <v>10.843468316437905</v>
      </c>
      <c r="K497" s="1"/>
      <c r="L497" s="1"/>
      <c r="M497" s="1" t="str">
        <f>VLOOKUP(B497,Bounties!A:D,3,FALSE)</f>
        <v>Operations</v>
      </c>
      <c r="N497" s="1" t="str">
        <f>VLOOKUP(B497,Bounties!A:D,4,FALSE)</f>
        <v>RPCs and Nodes</v>
      </c>
      <c r="O497" s="1" t="str">
        <f t="shared" ref="O497:P497" si="501">IF(ISBLANK(K497),M497,K497)</f>
        <v>Operations</v>
      </c>
      <c r="P497" s="1" t="str">
        <f t="shared" si="501"/>
        <v>RPCs and Nodes</v>
      </c>
      <c r="Q497" s="61" t="str">
        <f t="shared" si="3"/>
        <v>2024</v>
      </c>
      <c r="R497" s="62">
        <f t="shared" si="4"/>
        <v>4</v>
      </c>
      <c r="S497" s="61" t="str">
        <f t="shared" si="5"/>
        <v>2024-Q2</v>
      </c>
      <c r="T497" s="63" t="str">
        <f t="shared" si="6"/>
        <v>2024-04</v>
      </c>
      <c r="U497" s="64" t="str">
        <f t="shared" si="7"/>
        <v>2024-H1</v>
      </c>
      <c r="V497" s="9" t="str">
        <f>VLOOKUP(B497,Bounties!A:E,2,FALSE)</f>
        <v>System Parachains Collator Bounty</v>
      </c>
    </row>
    <row r="498" hidden="1">
      <c r="A498" s="67">
        <f>HYPERLINK("https://polkadot.subsquare.io/treasury/child-bounties/905", 905)</f>
        <v>905</v>
      </c>
      <c r="B498" s="1">
        <v>32.0</v>
      </c>
      <c r="C498" s="1" t="s">
        <v>2414</v>
      </c>
      <c r="D498" s="1" t="s">
        <v>296</v>
      </c>
      <c r="E498" s="5">
        <v>2.6399155227</v>
      </c>
      <c r="F498" s="4">
        <v>22.14634431072901</v>
      </c>
      <c r="G498" s="1" t="s">
        <v>2619</v>
      </c>
      <c r="H498" s="95">
        <v>45384.0</v>
      </c>
      <c r="I498" s="95">
        <v>45393.0</v>
      </c>
      <c r="J498" s="4">
        <v>16.942919244715014</v>
      </c>
      <c r="K498" s="1"/>
      <c r="L498" s="1"/>
      <c r="M498" s="1" t="str">
        <f>VLOOKUP(B498,Bounties!A:D,3,FALSE)</f>
        <v>Operations</v>
      </c>
      <c r="N498" s="1" t="str">
        <f>VLOOKUP(B498,Bounties!A:D,4,FALSE)</f>
        <v>RPCs and Nodes</v>
      </c>
      <c r="O498" s="1" t="str">
        <f t="shared" ref="O498:P498" si="502">IF(ISBLANK(K498),M498,K498)</f>
        <v>Operations</v>
      </c>
      <c r="P498" s="1" t="str">
        <f t="shared" si="502"/>
        <v>RPCs and Nodes</v>
      </c>
      <c r="Q498" s="61" t="str">
        <f t="shared" si="3"/>
        <v>2024</v>
      </c>
      <c r="R498" s="62">
        <f t="shared" si="4"/>
        <v>4</v>
      </c>
      <c r="S498" s="61" t="str">
        <f t="shared" si="5"/>
        <v>2024-Q2</v>
      </c>
      <c r="T498" s="63" t="str">
        <f t="shared" si="6"/>
        <v>2024-04</v>
      </c>
      <c r="U498" s="64" t="str">
        <f t="shared" si="7"/>
        <v>2024-H1</v>
      </c>
      <c r="V498" s="9" t="str">
        <f>VLOOKUP(B498,Bounties!A:E,2,FALSE)</f>
        <v>System Parachains Collator Bounty</v>
      </c>
    </row>
    <row r="499" hidden="1">
      <c r="A499" s="67">
        <f>HYPERLINK("https://polkadot.subsquare.io/treasury/child-bounties/904", 904)</f>
        <v>904</v>
      </c>
      <c r="B499" s="1">
        <v>11.0</v>
      </c>
      <c r="C499" s="1" t="s">
        <v>2414</v>
      </c>
      <c r="D499" s="1" t="s">
        <v>515</v>
      </c>
      <c r="E499" s="5">
        <v>54.945</v>
      </c>
      <c r="F499" s="4">
        <v>460.93554043293</v>
      </c>
      <c r="G499" s="1" t="s">
        <v>2526</v>
      </c>
      <c r="H499" s="95">
        <v>45384.0</v>
      </c>
      <c r="I499" s="95">
        <v>45398.0</v>
      </c>
      <c r="J499" s="4">
        <v>367.45335963964465</v>
      </c>
      <c r="K499" s="1"/>
      <c r="L499" s="1"/>
      <c r="M499" s="1" t="str">
        <f>VLOOKUP(B499,Bounties!A:D,3,FALSE)</f>
        <v>Research</v>
      </c>
      <c r="N499" s="1" t="str">
        <f>VLOOKUP(B499,Bounties!A:D,4,FALSE)</f>
        <v>Anti-Scam</v>
      </c>
      <c r="O499" s="1" t="str">
        <f t="shared" ref="O499:P499" si="503">IF(ISBLANK(K499),M499,K499)</f>
        <v>Research</v>
      </c>
      <c r="P499" s="1" t="str">
        <f t="shared" si="503"/>
        <v>Anti-Scam</v>
      </c>
      <c r="Q499" s="61" t="str">
        <f t="shared" si="3"/>
        <v>2024</v>
      </c>
      <c r="R499" s="62">
        <f t="shared" si="4"/>
        <v>4</v>
      </c>
      <c r="S499" s="61" t="str">
        <f t="shared" si="5"/>
        <v>2024-Q2</v>
      </c>
      <c r="T499" s="63" t="str">
        <f t="shared" si="6"/>
        <v>2024-04</v>
      </c>
      <c r="U499" s="64" t="str">
        <f t="shared" si="7"/>
        <v>2024-H1</v>
      </c>
      <c r="V499" s="9" t="str">
        <f>VLOOKUP(B499,Bounties!A:E,2,FALSE)</f>
        <v>Anti-Scam Bounty</v>
      </c>
    </row>
    <row r="500" hidden="1">
      <c r="A500" s="67">
        <f>HYPERLINK("https://polkadot.subsquare.io/treasury/child-bounties/903", 903)</f>
        <v>903</v>
      </c>
      <c r="B500" s="1">
        <v>11.0</v>
      </c>
      <c r="C500" s="1" t="s">
        <v>2414</v>
      </c>
      <c r="D500" s="1" t="s">
        <v>514</v>
      </c>
      <c r="E500" s="5">
        <v>54.945</v>
      </c>
      <c r="F500" s="4">
        <v>460.93554043293</v>
      </c>
      <c r="G500" s="1" t="s">
        <v>2526</v>
      </c>
      <c r="H500" s="95">
        <v>45384.0</v>
      </c>
      <c r="I500" s="95">
        <v>45398.0</v>
      </c>
      <c r="J500" s="4">
        <v>372.8305578160286</v>
      </c>
      <c r="K500" s="1"/>
      <c r="L500" s="1"/>
      <c r="M500" s="1" t="str">
        <f>VLOOKUP(B500,Bounties!A:D,3,FALSE)</f>
        <v>Research</v>
      </c>
      <c r="N500" s="1" t="str">
        <f>VLOOKUP(B500,Bounties!A:D,4,FALSE)</f>
        <v>Anti-Scam</v>
      </c>
      <c r="O500" s="1" t="str">
        <f t="shared" ref="O500:P500" si="504">IF(ISBLANK(K500),M500,K500)</f>
        <v>Research</v>
      </c>
      <c r="P500" s="1" t="str">
        <f t="shared" si="504"/>
        <v>Anti-Scam</v>
      </c>
      <c r="Q500" s="61" t="str">
        <f t="shared" si="3"/>
        <v>2024</v>
      </c>
      <c r="R500" s="62">
        <f t="shared" si="4"/>
        <v>4</v>
      </c>
      <c r="S500" s="61" t="str">
        <f t="shared" si="5"/>
        <v>2024-Q2</v>
      </c>
      <c r="T500" s="63" t="str">
        <f t="shared" si="6"/>
        <v>2024-04</v>
      </c>
      <c r="U500" s="64" t="str">
        <f t="shared" si="7"/>
        <v>2024-H1</v>
      </c>
      <c r="V500" s="9" t="str">
        <f>VLOOKUP(B500,Bounties!A:E,2,FALSE)</f>
        <v>Anti-Scam Bounty</v>
      </c>
    </row>
    <row r="501" hidden="1">
      <c r="A501" s="67">
        <f>HYPERLINK("https://polkadot.subsquare.io/treasury/child-bounties/902", 902)</f>
        <v>902</v>
      </c>
      <c r="B501" s="1">
        <v>11.0</v>
      </c>
      <c r="C501" s="1" t="s">
        <v>2414</v>
      </c>
      <c r="D501" s="1" t="s">
        <v>513</v>
      </c>
      <c r="E501" s="5">
        <v>79.121</v>
      </c>
      <c r="F501" s="4">
        <v>663.7488560304641</v>
      </c>
      <c r="G501" s="1" t="s">
        <v>2463</v>
      </c>
      <c r="H501" s="95">
        <v>45384.0</v>
      </c>
      <c r="I501" s="95">
        <v>45396.0</v>
      </c>
      <c r="J501" s="4">
        <v>530.1144199643135</v>
      </c>
      <c r="K501" s="1"/>
      <c r="L501" s="1"/>
      <c r="M501" s="1" t="str">
        <f>VLOOKUP(B501,Bounties!A:D,3,FALSE)</f>
        <v>Research</v>
      </c>
      <c r="N501" s="1" t="str">
        <f>VLOOKUP(B501,Bounties!A:D,4,FALSE)</f>
        <v>Anti-Scam</v>
      </c>
      <c r="O501" s="1" t="str">
        <f t="shared" ref="O501:P501" si="505">IF(ISBLANK(K501),M501,K501)</f>
        <v>Research</v>
      </c>
      <c r="P501" s="1" t="str">
        <f t="shared" si="505"/>
        <v>Anti-Scam</v>
      </c>
      <c r="Q501" s="61" t="str">
        <f t="shared" si="3"/>
        <v>2024</v>
      </c>
      <c r="R501" s="62">
        <f t="shared" si="4"/>
        <v>4</v>
      </c>
      <c r="S501" s="61" t="str">
        <f t="shared" si="5"/>
        <v>2024-Q2</v>
      </c>
      <c r="T501" s="63" t="str">
        <f t="shared" si="6"/>
        <v>2024-04</v>
      </c>
      <c r="U501" s="64" t="str">
        <f t="shared" si="7"/>
        <v>2024-H1</v>
      </c>
      <c r="V501" s="9" t="str">
        <f>VLOOKUP(B501,Bounties!A:E,2,FALSE)</f>
        <v>Anti-Scam Bounty</v>
      </c>
    </row>
    <row r="502" hidden="1">
      <c r="A502" s="67">
        <f>HYPERLINK("https://polkadot.subsquare.io/treasury/child-bounties/901", 901)</f>
        <v>901</v>
      </c>
      <c r="B502" s="1">
        <v>11.0</v>
      </c>
      <c r="C502" s="1" t="s">
        <v>2414</v>
      </c>
      <c r="D502" s="1" t="s">
        <v>512</v>
      </c>
      <c r="E502" s="5">
        <v>79.1208791209</v>
      </c>
      <c r="F502" s="4">
        <v>663.7478419714363</v>
      </c>
      <c r="G502" s="1" t="s">
        <v>2535</v>
      </c>
      <c r="H502" s="95">
        <v>45384.0</v>
      </c>
      <c r="I502" s="95">
        <v>45422.0</v>
      </c>
      <c r="J502" s="4">
        <v>523.8102043069398</v>
      </c>
      <c r="K502" s="1"/>
      <c r="L502" s="1"/>
      <c r="M502" s="1" t="str">
        <f>VLOOKUP(B502,Bounties!A:D,3,FALSE)</f>
        <v>Research</v>
      </c>
      <c r="N502" s="1" t="str">
        <f>VLOOKUP(B502,Bounties!A:D,4,FALSE)</f>
        <v>Anti-Scam</v>
      </c>
      <c r="O502" s="1" t="str">
        <f t="shared" ref="O502:P502" si="506">IF(ISBLANK(K502),M502,K502)</f>
        <v>Research</v>
      </c>
      <c r="P502" s="1" t="str">
        <f t="shared" si="506"/>
        <v>Anti-Scam</v>
      </c>
      <c r="Q502" s="61" t="str">
        <f t="shared" si="3"/>
        <v>2024</v>
      </c>
      <c r="R502" s="62">
        <f t="shared" si="4"/>
        <v>5</v>
      </c>
      <c r="S502" s="61" t="str">
        <f t="shared" si="5"/>
        <v>2024-Q2</v>
      </c>
      <c r="T502" s="63" t="str">
        <f t="shared" si="6"/>
        <v>2024-05</v>
      </c>
      <c r="U502" s="64" t="str">
        <f t="shared" si="7"/>
        <v>2024-H1</v>
      </c>
      <c r="V502" s="9" t="str">
        <f>VLOOKUP(B502,Bounties!A:E,2,FALSE)</f>
        <v>Anti-Scam Bounty</v>
      </c>
    </row>
    <row r="503" hidden="1">
      <c r="A503" s="67">
        <f>HYPERLINK("https://polkadot.subsquare.io/treasury/child-bounties/900", 900)</f>
        <v>900</v>
      </c>
      <c r="B503" s="1">
        <v>11.0</v>
      </c>
      <c r="C503" s="1" t="s">
        <v>2414</v>
      </c>
      <c r="D503" s="1" t="s">
        <v>511</v>
      </c>
      <c r="E503" s="5">
        <v>54.9450549451</v>
      </c>
      <c r="F503" s="4">
        <v>460.9360013693093</v>
      </c>
      <c r="G503" s="1" t="s">
        <v>2534</v>
      </c>
      <c r="H503" s="95">
        <v>45384.0</v>
      </c>
      <c r="I503" s="95">
        <v>45392.0</v>
      </c>
      <c r="J503" s="4">
        <v>352.636143401718</v>
      </c>
      <c r="K503" s="1"/>
      <c r="L503" s="1"/>
      <c r="M503" s="1" t="str">
        <f>VLOOKUP(B503,Bounties!A:D,3,FALSE)</f>
        <v>Research</v>
      </c>
      <c r="N503" s="1" t="str">
        <f>VLOOKUP(B503,Bounties!A:D,4,FALSE)</f>
        <v>Anti-Scam</v>
      </c>
      <c r="O503" s="1" t="str">
        <f t="shared" ref="O503:P503" si="507">IF(ISBLANK(K503),M503,K503)</f>
        <v>Research</v>
      </c>
      <c r="P503" s="1" t="str">
        <f t="shared" si="507"/>
        <v>Anti-Scam</v>
      </c>
      <c r="Q503" s="61" t="str">
        <f t="shared" si="3"/>
        <v>2024</v>
      </c>
      <c r="R503" s="62">
        <f t="shared" si="4"/>
        <v>4</v>
      </c>
      <c r="S503" s="61" t="str">
        <f t="shared" si="5"/>
        <v>2024-Q2</v>
      </c>
      <c r="T503" s="63" t="str">
        <f t="shared" si="6"/>
        <v>2024-04</v>
      </c>
      <c r="U503" s="64" t="str">
        <f t="shared" si="7"/>
        <v>2024-H1</v>
      </c>
      <c r="V503" s="9" t="str">
        <f>VLOOKUP(B503,Bounties!A:E,2,FALSE)</f>
        <v>Anti-Scam Bounty</v>
      </c>
    </row>
    <row r="504" hidden="1">
      <c r="A504" s="67">
        <f>HYPERLINK("https://polkadot.subsquare.io/treasury/child-bounties/899", 899)</f>
        <v>899</v>
      </c>
      <c r="B504" s="1">
        <v>11.0</v>
      </c>
      <c r="C504" s="1" t="s">
        <v>2414</v>
      </c>
      <c r="D504" s="1" t="s">
        <v>510</v>
      </c>
      <c r="E504" s="5">
        <v>158.2417582418</v>
      </c>
      <c r="F504" s="4">
        <v>1327.4956839428726</v>
      </c>
      <c r="G504" s="1" t="s">
        <v>2534</v>
      </c>
      <c r="H504" s="95">
        <v>45384.0</v>
      </c>
      <c r="I504" s="95">
        <v>45392.0</v>
      </c>
      <c r="J504" s="4">
        <v>1015.5920929963833</v>
      </c>
      <c r="K504" s="1"/>
      <c r="L504" s="1"/>
      <c r="M504" s="1" t="str">
        <f>VLOOKUP(B504,Bounties!A:D,3,FALSE)</f>
        <v>Research</v>
      </c>
      <c r="N504" s="1" t="str">
        <f>VLOOKUP(B504,Bounties!A:D,4,FALSE)</f>
        <v>Anti-Scam</v>
      </c>
      <c r="O504" s="1" t="str">
        <f t="shared" ref="O504:P504" si="508">IF(ISBLANK(K504),M504,K504)</f>
        <v>Research</v>
      </c>
      <c r="P504" s="1" t="str">
        <f t="shared" si="508"/>
        <v>Anti-Scam</v>
      </c>
      <c r="Q504" s="61" t="str">
        <f t="shared" si="3"/>
        <v>2024</v>
      </c>
      <c r="R504" s="62">
        <f t="shared" si="4"/>
        <v>4</v>
      </c>
      <c r="S504" s="61" t="str">
        <f t="shared" si="5"/>
        <v>2024-Q2</v>
      </c>
      <c r="T504" s="63" t="str">
        <f t="shared" si="6"/>
        <v>2024-04</v>
      </c>
      <c r="U504" s="64" t="str">
        <f t="shared" si="7"/>
        <v>2024-H1</v>
      </c>
      <c r="V504" s="9" t="str">
        <f>VLOOKUP(B504,Bounties!A:E,2,FALSE)</f>
        <v>Anti-Scam Bounty</v>
      </c>
    </row>
    <row r="505" hidden="1">
      <c r="A505" s="67">
        <f>HYPERLINK("https://polkadot.subsquare.io/treasury/child-bounties/898", 898)</f>
        <v>898</v>
      </c>
      <c r="B505" s="1">
        <v>11.0</v>
      </c>
      <c r="C505" s="1" t="s">
        <v>2414</v>
      </c>
      <c r="D505" s="1" t="s">
        <v>509</v>
      </c>
      <c r="E505" s="5">
        <v>43.1499</v>
      </c>
      <c r="F505" s="4">
        <v>361.9860310515404</v>
      </c>
      <c r="G505" s="1" t="s">
        <v>2527</v>
      </c>
      <c r="H505" s="95">
        <v>45384.0</v>
      </c>
      <c r="I505" s="95">
        <v>45395.0</v>
      </c>
      <c r="J505" s="4">
        <v>289.6450452710152</v>
      </c>
      <c r="K505" s="1"/>
      <c r="L505" s="1"/>
      <c r="M505" s="1" t="str">
        <f>VLOOKUP(B505,Bounties!A:D,3,FALSE)</f>
        <v>Research</v>
      </c>
      <c r="N505" s="1" t="str">
        <f>VLOOKUP(B505,Bounties!A:D,4,FALSE)</f>
        <v>Anti-Scam</v>
      </c>
      <c r="O505" s="1" t="str">
        <f t="shared" ref="O505:P505" si="509">IF(ISBLANK(K505),M505,K505)</f>
        <v>Research</v>
      </c>
      <c r="P505" s="1" t="str">
        <f t="shared" si="509"/>
        <v>Anti-Scam</v>
      </c>
      <c r="Q505" s="61" t="str">
        <f t="shared" si="3"/>
        <v>2024</v>
      </c>
      <c r="R505" s="62">
        <f t="shared" si="4"/>
        <v>4</v>
      </c>
      <c r="S505" s="61" t="str">
        <f t="shared" si="5"/>
        <v>2024-Q2</v>
      </c>
      <c r="T505" s="63" t="str">
        <f t="shared" si="6"/>
        <v>2024-04</v>
      </c>
      <c r="U505" s="64" t="str">
        <f t="shared" si="7"/>
        <v>2024-H1</v>
      </c>
      <c r="V505" s="9" t="str">
        <f>VLOOKUP(B505,Bounties!A:E,2,FALSE)</f>
        <v>Anti-Scam Bounty</v>
      </c>
    </row>
    <row r="506" hidden="1">
      <c r="A506" s="67">
        <f>HYPERLINK("https://polkadot.subsquare.io/treasury/child-bounties/897", 897)</f>
        <v>897</v>
      </c>
      <c r="B506" s="1">
        <v>11.0</v>
      </c>
      <c r="C506" s="1" t="s">
        <v>2414</v>
      </c>
      <c r="D506" s="1" t="s">
        <v>508</v>
      </c>
      <c r="E506" s="5">
        <v>43.1499</v>
      </c>
      <c r="F506" s="4">
        <v>361.9860310515404</v>
      </c>
      <c r="G506" s="1" t="s">
        <v>2463</v>
      </c>
      <c r="H506" s="95">
        <v>45384.0</v>
      </c>
      <c r="I506" s="95">
        <v>45396.0</v>
      </c>
      <c r="J506" s="4">
        <v>289.1063587419033</v>
      </c>
      <c r="K506" s="1"/>
      <c r="L506" s="1"/>
      <c r="M506" s="1" t="str">
        <f>VLOOKUP(B506,Bounties!A:D,3,FALSE)</f>
        <v>Research</v>
      </c>
      <c r="N506" s="1" t="str">
        <f>VLOOKUP(B506,Bounties!A:D,4,FALSE)</f>
        <v>Anti-Scam</v>
      </c>
      <c r="O506" s="1" t="str">
        <f t="shared" ref="O506:P506" si="510">IF(ISBLANK(K506),M506,K506)</f>
        <v>Research</v>
      </c>
      <c r="P506" s="1" t="str">
        <f t="shared" si="510"/>
        <v>Anti-Scam</v>
      </c>
      <c r="Q506" s="61" t="str">
        <f t="shared" si="3"/>
        <v>2024</v>
      </c>
      <c r="R506" s="62">
        <f t="shared" si="4"/>
        <v>4</v>
      </c>
      <c r="S506" s="61" t="str">
        <f t="shared" si="5"/>
        <v>2024-Q2</v>
      </c>
      <c r="T506" s="63" t="str">
        <f t="shared" si="6"/>
        <v>2024-04</v>
      </c>
      <c r="U506" s="64" t="str">
        <f t="shared" si="7"/>
        <v>2024-H1</v>
      </c>
      <c r="V506" s="9" t="str">
        <f>VLOOKUP(B506,Bounties!A:E,2,FALSE)</f>
        <v>Anti-Scam Bounty</v>
      </c>
    </row>
    <row r="507" hidden="1">
      <c r="A507" s="67">
        <f>HYPERLINK("https://polkadot.subsquare.io/treasury/child-bounties/896", 896)</f>
        <v>896</v>
      </c>
      <c r="B507" s="1">
        <v>11.0</v>
      </c>
      <c r="C507" s="1" t="s">
        <v>2414</v>
      </c>
      <c r="D507" s="1" t="s">
        <v>507</v>
      </c>
      <c r="E507" s="5">
        <v>43.1499</v>
      </c>
      <c r="F507" s="4">
        <v>361.9860310515404</v>
      </c>
      <c r="G507" s="1" t="s">
        <v>2438</v>
      </c>
      <c r="H507" s="95">
        <v>45384.0</v>
      </c>
      <c r="I507" s="95">
        <v>45392.0</v>
      </c>
      <c r="J507" s="4">
        <v>276.93510069966317</v>
      </c>
      <c r="K507" s="1"/>
      <c r="L507" s="1"/>
      <c r="M507" s="1" t="str">
        <f>VLOOKUP(B507,Bounties!A:D,3,FALSE)</f>
        <v>Research</v>
      </c>
      <c r="N507" s="1" t="str">
        <f>VLOOKUP(B507,Bounties!A:D,4,FALSE)</f>
        <v>Anti-Scam</v>
      </c>
      <c r="O507" s="1" t="str">
        <f t="shared" ref="O507:P507" si="511">IF(ISBLANK(K507),M507,K507)</f>
        <v>Research</v>
      </c>
      <c r="P507" s="1" t="str">
        <f t="shared" si="511"/>
        <v>Anti-Scam</v>
      </c>
      <c r="Q507" s="61" t="str">
        <f t="shared" si="3"/>
        <v>2024</v>
      </c>
      <c r="R507" s="62">
        <f t="shared" si="4"/>
        <v>4</v>
      </c>
      <c r="S507" s="61" t="str">
        <f t="shared" si="5"/>
        <v>2024-Q2</v>
      </c>
      <c r="T507" s="63" t="str">
        <f t="shared" si="6"/>
        <v>2024-04</v>
      </c>
      <c r="U507" s="64" t="str">
        <f t="shared" si="7"/>
        <v>2024-H1</v>
      </c>
      <c r="V507" s="9" t="str">
        <f>VLOOKUP(B507,Bounties!A:E,2,FALSE)</f>
        <v>Anti-Scam Bounty</v>
      </c>
    </row>
    <row r="508" hidden="1">
      <c r="A508" s="67">
        <f>HYPERLINK("https://polkadot.subsquare.io/treasury/child-bounties/895", 895)</f>
        <v>895</v>
      </c>
      <c r="B508" s="1">
        <v>33.0</v>
      </c>
      <c r="C508" s="1" t="s">
        <v>2414</v>
      </c>
      <c r="D508" s="1" t="s">
        <v>506</v>
      </c>
      <c r="E508" s="5">
        <v>25073.0</v>
      </c>
      <c r="F508" s="4">
        <v>211454.51572322845</v>
      </c>
      <c r="G508" s="1" t="s">
        <v>2435</v>
      </c>
      <c r="H508" s="95">
        <v>45382.0</v>
      </c>
      <c r="I508" s="95">
        <v>45390.0</v>
      </c>
      <c r="J508" s="4">
        <v>210097.73074436188</v>
      </c>
      <c r="K508" s="1" t="s">
        <v>81</v>
      </c>
      <c r="L508" s="1" t="s">
        <v>84</v>
      </c>
      <c r="M508" s="1" t="str">
        <f>VLOOKUP(B508,Bounties!A:D,3,FALSE)</f>
        <v>Outreach</v>
      </c>
      <c r="N508" s="1" t="str">
        <f>VLOOKUP(B508,Bounties!A:D,4,FALSE)</f>
        <v>Advertising</v>
      </c>
      <c r="O508" s="1" t="str">
        <f t="shared" ref="O508:P508" si="512">IF(ISBLANK(K508),M508,K508)</f>
        <v>Outreach</v>
      </c>
      <c r="P508" s="1" t="str">
        <f t="shared" si="512"/>
        <v>Advertising/Influencers</v>
      </c>
      <c r="Q508" s="61" t="str">
        <f t="shared" si="3"/>
        <v>2024</v>
      </c>
      <c r="R508" s="62">
        <f t="shared" si="4"/>
        <v>4</v>
      </c>
      <c r="S508" s="61" t="str">
        <f t="shared" si="5"/>
        <v>2024-Q2</v>
      </c>
      <c r="T508" s="63" t="str">
        <f t="shared" si="6"/>
        <v>2024-04</v>
      </c>
      <c r="U508" s="64" t="str">
        <f t="shared" si="7"/>
        <v>2024-H1</v>
      </c>
      <c r="V508" s="9" t="str">
        <f>VLOOKUP(B508,Bounties!A:E,2,FALSE)</f>
        <v>Marketing Bounty</v>
      </c>
    </row>
    <row r="509" hidden="1">
      <c r="A509" s="67">
        <f>HYPERLINK("https://polkadot.subsquare.io/treasury/child-bounties/894", 894)</f>
        <v>894</v>
      </c>
      <c r="B509" s="1">
        <v>24.0</v>
      </c>
      <c r="C509" s="1" t="s">
        <v>2414</v>
      </c>
      <c r="D509" s="1" t="s">
        <v>505</v>
      </c>
      <c r="E509" s="5">
        <v>14.18</v>
      </c>
      <c r="F509" s="4">
        <v>121.64473632812499</v>
      </c>
      <c r="G509" s="1" t="s">
        <v>2552</v>
      </c>
      <c r="H509" s="95">
        <v>45381.0</v>
      </c>
      <c r="I509" s="95">
        <v>45402.0</v>
      </c>
      <c r="J509" s="4">
        <v>106.03677791595459</v>
      </c>
      <c r="K509" s="1"/>
      <c r="L509" s="1"/>
      <c r="M509" s="1" t="str">
        <f>VLOOKUP(B509,Bounties!A:D,3,FALSE)</f>
        <v>Outreach</v>
      </c>
      <c r="N509" s="1" t="str">
        <f>VLOOKUP(B509,Bounties!A:D,4,FALSE)</f>
        <v>Community Building</v>
      </c>
      <c r="O509" s="1" t="str">
        <f t="shared" ref="O509:P509" si="513">IF(ISBLANK(K509),M509,K509)</f>
        <v>Outreach</v>
      </c>
      <c r="P509" s="1" t="str">
        <f t="shared" si="513"/>
        <v>Community Building</v>
      </c>
      <c r="Q509" s="61" t="str">
        <f t="shared" si="3"/>
        <v>2024</v>
      </c>
      <c r="R509" s="62">
        <f t="shared" si="4"/>
        <v>4</v>
      </c>
      <c r="S509" s="61" t="str">
        <f t="shared" si="5"/>
        <v>2024-Q2</v>
      </c>
      <c r="T509" s="63" t="str">
        <f t="shared" si="6"/>
        <v>2024-04</v>
      </c>
      <c r="U509" s="64" t="str">
        <f t="shared" si="7"/>
        <v>2024-H1</v>
      </c>
      <c r="V509" s="9" t="str">
        <f>VLOOKUP(B509,Bounties!A:E,2,FALSE)</f>
        <v>Moderation Team Bounty</v>
      </c>
    </row>
    <row r="510" hidden="1">
      <c r="A510" s="67">
        <f>HYPERLINK("https://polkadot.subsquare.io/treasury/child-bounties/893", 893)</f>
        <v>893</v>
      </c>
      <c r="B510" s="1">
        <v>17.0</v>
      </c>
      <c r="C510" s="1" t="s">
        <v>2414</v>
      </c>
      <c r="D510" s="1" t="s">
        <v>504</v>
      </c>
      <c r="E510" s="5">
        <v>15.8</v>
      </c>
      <c r="F510" s="4">
        <v>144.74476833343508</v>
      </c>
      <c r="G510" s="1" t="s">
        <v>2620</v>
      </c>
      <c r="H510" s="95">
        <v>45380.0</v>
      </c>
      <c r="I510" s="95">
        <v>45439.0</v>
      </c>
      <c r="J510" s="4">
        <v>110.56618728637696</v>
      </c>
      <c r="K510" s="1"/>
      <c r="L510" s="1" t="s">
        <v>86</v>
      </c>
      <c r="M510" s="1" t="str">
        <f>VLOOKUP(B510,Bounties!A:D,3,FALSE)</f>
        <v>Outreach</v>
      </c>
      <c r="N510" s="1" t="str">
        <f>VLOOKUP(B510,Bounties!A:D,4,FALSE)</f>
        <v>Events/Meetups</v>
      </c>
      <c r="O510" s="1" t="str">
        <f t="shared" ref="O510:P510" si="514">IF(ISBLANK(K510),M510,K510)</f>
        <v>Outreach</v>
      </c>
      <c r="P510" s="1" t="str">
        <f t="shared" si="514"/>
        <v>Events/Conference Attendance &amp; Side Events</v>
      </c>
      <c r="Q510" s="61" t="str">
        <f t="shared" si="3"/>
        <v>2024</v>
      </c>
      <c r="R510" s="62">
        <f t="shared" si="4"/>
        <v>5</v>
      </c>
      <c r="S510" s="61" t="str">
        <f t="shared" si="5"/>
        <v>2024-Q2</v>
      </c>
      <c r="T510" s="63" t="str">
        <f t="shared" si="6"/>
        <v>2024-05</v>
      </c>
      <c r="U510" s="64" t="str">
        <f t="shared" si="7"/>
        <v>2024-H1</v>
      </c>
      <c r="V510" s="9" t="str">
        <f>VLOOKUP(B510,Bounties!A:E,2,FALSE)</f>
        <v>Events Bounty</v>
      </c>
    </row>
    <row r="511" hidden="1">
      <c r="A511" s="67">
        <f>HYPERLINK("https://polkadot.subsquare.io/treasury/child-bounties/892", 892)</f>
        <v>892</v>
      </c>
      <c r="B511" s="1">
        <v>17.0</v>
      </c>
      <c r="C511" s="1" t="s">
        <v>2414</v>
      </c>
      <c r="D511" s="1" t="s">
        <v>503</v>
      </c>
      <c r="E511" s="5">
        <v>15.8</v>
      </c>
      <c r="F511" s="4">
        <v>144.74476833343508</v>
      </c>
      <c r="G511" s="1" t="s">
        <v>2621</v>
      </c>
      <c r="H511" s="95">
        <v>45380.0</v>
      </c>
      <c r="I511" s="95">
        <v>45405.0</v>
      </c>
      <c r="J511" s="4">
        <v>108.42543115615845</v>
      </c>
      <c r="K511" s="1"/>
      <c r="L511" s="1" t="s">
        <v>86</v>
      </c>
      <c r="M511" s="1" t="str">
        <f>VLOOKUP(B511,Bounties!A:D,3,FALSE)</f>
        <v>Outreach</v>
      </c>
      <c r="N511" s="1" t="str">
        <f>VLOOKUP(B511,Bounties!A:D,4,FALSE)</f>
        <v>Events/Meetups</v>
      </c>
      <c r="O511" s="1" t="str">
        <f t="shared" ref="O511:P511" si="515">IF(ISBLANK(K511),M511,K511)</f>
        <v>Outreach</v>
      </c>
      <c r="P511" s="1" t="str">
        <f t="shared" si="515"/>
        <v>Events/Conference Attendance &amp; Side Events</v>
      </c>
      <c r="Q511" s="61" t="str">
        <f t="shared" si="3"/>
        <v>2024</v>
      </c>
      <c r="R511" s="62">
        <f t="shared" si="4"/>
        <v>4</v>
      </c>
      <c r="S511" s="61" t="str">
        <f t="shared" si="5"/>
        <v>2024-Q2</v>
      </c>
      <c r="T511" s="63" t="str">
        <f t="shared" si="6"/>
        <v>2024-04</v>
      </c>
      <c r="U511" s="64" t="str">
        <f t="shared" si="7"/>
        <v>2024-H1</v>
      </c>
      <c r="V511" s="9" t="str">
        <f>VLOOKUP(B511,Bounties!A:E,2,FALSE)</f>
        <v>Events Bounty</v>
      </c>
    </row>
    <row r="512" hidden="1">
      <c r="A512" s="67">
        <f>HYPERLINK("https://polkadot.subsquare.io/treasury/child-bounties/891", 891)</f>
        <v>891</v>
      </c>
      <c r="B512" s="1">
        <v>17.0</v>
      </c>
      <c r="C512" s="1" t="s">
        <v>2414</v>
      </c>
      <c r="D512" s="1" t="s">
        <v>502</v>
      </c>
      <c r="E512" s="5">
        <v>21.0</v>
      </c>
      <c r="F512" s="4">
        <v>192.38228702545166</v>
      </c>
      <c r="G512" s="1" t="s">
        <v>2622</v>
      </c>
      <c r="H512" s="95">
        <v>45380.0</v>
      </c>
      <c r="I512" s="95">
        <v>45461.0</v>
      </c>
      <c r="J512" s="4">
        <v>118.45614910125732</v>
      </c>
      <c r="K512" s="1"/>
      <c r="L512" s="1" t="s">
        <v>86</v>
      </c>
      <c r="M512" s="1" t="str">
        <f>VLOOKUP(B512,Bounties!A:D,3,FALSE)</f>
        <v>Outreach</v>
      </c>
      <c r="N512" s="1" t="str">
        <f>VLOOKUP(B512,Bounties!A:D,4,FALSE)</f>
        <v>Events/Meetups</v>
      </c>
      <c r="O512" s="1" t="str">
        <f t="shared" ref="O512:P512" si="516">IF(ISBLANK(K512),M512,K512)</f>
        <v>Outreach</v>
      </c>
      <c r="P512" s="1" t="str">
        <f t="shared" si="516"/>
        <v>Events/Conference Attendance &amp; Side Events</v>
      </c>
      <c r="Q512" s="61" t="str">
        <f t="shared" si="3"/>
        <v>2024</v>
      </c>
      <c r="R512" s="62">
        <f t="shared" si="4"/>
        <v>6</v>
      </c>
      <c r="S512" s="61" t="str">
        <f t="shared" si="5"/>
        <v>2024-Q2</v>
      </c>
      <c r="T512" s="63" t="str">
        <f t="shared" si="6"/>
        <v>2024-06</v>
      </c>
      <c r="U512" s="64" t="str">
        <f t="shared" si="7"/>
        <v>2024-H1</v>
      </c>
      <c r="V512" s="9" t="str">
        <f>VLOOKUP(B512,Bounties!A:E,2,FALSE)</f>
        <v>Events Bounty</v>
      </c>
    </row>
    <row r="513" hidden="1">
      <c r="A513" s="67">
        <f>HYPERLINK("https://polkadot.subsquare.io/treasury/child-bounties/890", 890)</f>
        <v>890</v>
      </c>
      <c r="B513" s="1">
        <v>17.0</v>
      </c>
      <c r="C513" s="1" t="s">
        <v>2414</v>
      </c>
      <c r="D513" s="1" t="s">
        <v>501</v>
      </c>
      <c r="E513" s="5">
        <v>15.8</v>
      </c>
      <c r="F513" s="4">
        <v>144.74476833343508</v>
      </c>
      <c r="G513" s="1" t="s">
        <v>2623</v>
      </c>
      <c r="H513" s="95">
        <v>45380.0</v>
      </c>
      <c r="I513" s="95">
        <v>45444.0</v>
      </c>
      <c r="J513" s="4">
        <v>113.56100072860718</v>
      </c>
      <c r="K513" s="1"/>
      <c r="L513" s="1" t="s">
        <v>86</v>
      </c>
      <c r="M513" s="1" t="str">
        <f>VLOOKUP(B513,Bounties!A:D,3,FALSE)</f>
        <v>Outreach</v>
      </c>
      <c r="N513" s="1" t="str">
        <f>VLOOKUP(B513,Bounties!A:D,4,FALSE)</f>
        <v>Events/Meetups</v>
      </c>
      <c r="O513" s="1" t="str">
        <f t="shared" ref="O513:P513" si="517">IF(ISBLANK(K513),M513,K513)</f>
        <v>Outreach</v>
      </c>
      <c r="P513" s="1" t="str">
        <f t="shared" si="517"/>
        <v>Events/Conference Attendance &amp; Side Events</v>
      </c>
      <c r="Q513" s="61" t="str">
        <f t="shared" si="3"/>
        <v>2024</v>
      </c>
      <c r="R513" s="62">
        <f t="shared" si="4"/>
        <v>6</v>
      </c>
      <c r="S513" s="61" t="str">
        <f t="shared" si="5"/>
        <v>2024-Q2</v>
      </c>
      <c r="T513" s="63" t="str">
        <f t="shared" si="6"/>
        <v>2024-06</v>
      </c>
      <c r="U513" s="64" t="str">
        <f t="shared" si="7"/>
        <v>2024-H1</v>
      </c>
      <c r="V513" s="9" t="str">
        <f>VLOOKUP(B513,Bounties!A:E,2,FALSE)</f>
        <v>Events Bounty</v>
      </c>
    </row>
    <row r="514" hidden="1">
      <c r="A514" s="67">
        <f>HYPERLINK("https://polkadot.subsquare.io/treasury/child-bounties/889", 889)</f>
        <v>889</v>
      </c>
      <c r="B514" s="1">
        <v>17.0</v>
      </c>
      <c r="C514" s="1" t="s">
        <v>2414</v>
      </c>
      <c r="D514" s="1" t="s">
        <v>500</v>
      </c>
      <c r="E514" s="5">
        <v>21.0</v>
      </c>
      <c r="F514" s="4">
        <v>192.38228702545166</v>
      </c>
      <c r="G514" s="1" t="s">
        <v>2624</v>
      </c>
      <c r="H514" s="95">
        <v>45380.0</v>
      </c>
      <c r="I514" s="95">
        <v>45404.0</v>
      </c>
      <c r="J514" s="4">
        <v>144.1097502708435</v>
      </c>
      <c r="K514" s="1"/>
      <c r="L514" s="1" t="s">
        <v>86</v>
      </c>
      <c r="M514" s="1" t="str">
        <f>VLOOKUP(B514,Bounties!A:D,3,FALSE)</f>
        <v>Outreach</v>
      </c>
      <c r="N514" s="1" t="str">
        <f>VLOOKUP(B514,Bounties!A:D,4,FALSE)</f>
        <v>Events/Meetups</v>
      </c>
      <c r="O514" s="1" t="str">
        <f t="shared" ref="O514:P514" si="518">IF(ISBLANK(K514),M514,K514)</f>
        <v>Outreach</v>
      </c>
      <c r="P514" s="1" t="str">
        <f t="shared" si="518"/>
        <v>Events/Conference Attendance &amp; Side Events</v>
      </c>
      <c r="Q514" s="61" t="str">
        <f t="shared" si="3"/>
        <v>2024</v>
      </c>
      <c r="R514" s="62">
        <f t="shared" si="4"/>
        <v>4</v>
      </c>
      <c r="S514" s="61" t="str">
        <f t="shared" si="5"/>
        <v>2024-Q2</v>
      </c>
      <c r="T514" s="63" t="str">
        <f t="shared" si="6"/>
        <v>2024-04</v>
      </c>
      <c r="U514" s="64" t="str">
        <f t="shared" si="7"/>
        <v>2024-H1</v>
      </c>
      <c r="V514" s="9" t="str">
        <f>VLOOKUP(B514,Bounties!A:E,2,FALSE)</f>
        <v>Events Bounty</v>
      </c>
    </row>
    <row r="515" hidden="1">
      <c r="A515" s="67">
        <f>HYPERLINK("https://polkadot.subsquare.io/treasury/child-bounties/888", 888)</f>
        <v>888</v>
      </c>
      <c r="B515" s="1">
        <v>17.0</v>
      </c>
      <c r="C515" s="1" t="s">
        <v>2460</v>
      </c>
      <c r="D515" s="1" t="s">
        <v>2625</v>
      </c>
      <c r="E515" s="5">
        <v>21.0</v>
      </c>
      <c r="F515" s="4">
        <v>192.38228702545166</v>
      </c>
      <c r="G515" s="1" t="s">
        <v>2626</v>
      </c>
      <c r="H515" s="95">
        <v>45380.0</v>
      </c>
      <c r="I515" s="95">
        <v>45396.0</v>
      </c>
      <c r="J515" s="4">
        <v>138.17216777801514</v>
      </c>
      <c r="K515" s="1"/>
      <c r="L515" s="1"/>
      <c r="M515" s="1" t="str">
        <f>VLOOKUP(B515,Bounties!A:D,3,FALSE)</f>
        <v>Outreach</v>
      </c>
      <c r="N515" s="1" t="str">
        <f>VLOOKUP(B515,Bounties!A:D,4,FALSE)</f>
        <v>Events/Meetups</v>
      </c>
      <c r="O515" s="1" t="str">
        <f t="shared" ref="O515:P515" si="519">IF(ISBLANK(K515),M515,K515)</f>
        <v>Outreach</v>
      </c>
      <c r="P515" s="1" t="str">
        <f t="shared" si="519"/>
        <v>Events/Meetups</v>
      </c>
      <c r="Q515" s="61" t="str">
        <f t="shared" si="3"/>
        <v>2024</v>
      </c>
      <c r="R515" s="62">
        <f t="shared" si="4"/>
        <v>4</v>
      </c>
      <c r="S515" s="61" t="str">
        <f t="shared" si="5"/>
        <v>2024-Q2</v>
      </c>
      <c r="T515" s="63" t="str">
        <f t="shared" si="6"/>
        <v>2024-04</v>
      </c>
      <c r="U515" s="64" t="str">
        <f t="shared" si="7"/>
        <v>2024-H1</v>
      </c>
      <c r="V515" s="9" t="str">
        <f>VLOOKUP(B515,Bounties!A:E,2,FALSE)</f>
        <v>Events Bounty</v>
      </c>
    </row>
    <row r="516" hidden="1">
      <c r="A516" s="67">
        <f>HYPERLINK("https://polkadot.subsquare.io/treasury/child-bounties/887", 887)</f>
        <v>887</v>
      </c>
      <c r="B516" s="1">
        <v>17.0</v>
      </c>
      <c r="C516" s="1" t="s">
        <v>2414</v>
      </c>
      <c r="D516" s="1" t="s">
        <v>499</v>
      </c>
      <c r="E516" s="5">
        <v>15.8</v>
      </c>
      <c r="F516" s="4">
        <v>144.74476833343508</v>
      </c>
      <c r="G516" s="1" t="s">
        <v>2627</v>
      </c>
      <c r="H516" s="95">
        <v>45380.0</v>
      </c>
      <c r="I516" s="95">
        <v>45406.0</v>
      </c>
      <c r="J516" s="4">
        <v>106.77982635498047</v>
      </c>
      <c r="K516" s="1"/>
      <c r="L516" s="1" t="s">
        <v>86</v>
      </c>
      <c r="M516" s="1" t="str">
        <f>VLOOKUP(B516,Bounties!A:D,3,FALSE)</f>
        <v>Outreach</v>
      </c>
      <c r="N516" s="1" t="str">
        <f>VLOOKUP(B516,Bounties!A:D,4,FALSE)</f>
        <v>Events/Meetups</v>
      </c>
      <c r="O516" s="1" t="str">
        <f t="shared" ref="O516:P516" si="520">IF(ISBLANK(K516),M516,K516)</f>
        <v>Outreach</v>
      </c>
      <c r="P516" s="1" t="str">
        <f t="shared" si="520"/>
        <v>Events/Conference Attendance &amp; Side Events</v>
      </c>
      <c r="Q516" s="61" t="str">
        <f t="shared" si="3"/>
        <v>2024</v>
      </c>
      <c r="R516" s="62">
        <f t="shared" si="4"/>
        <v>4</v>
      </c>
      <c r="S516" s="61" t="str">
        <f t="shared" si="5"/>
        <v>2024-Q2</v>
      </c>
      <c r="T516" s="63" t="str">
        <f t="shared" si="6"/>
        <v>2024-04</v>
      </c>
      <c r="U516" s="64" t="str">
        <f t="shared" si="7"/>
        <v>2024-H1</v>
      </c>
      <c r="V516" s="9" t="str">
        <f>VLOOKUP(B516,Bounties!A:E,2,FALSE)</f>
        <v>Events Bounty</v>
      </c>
    </row>
    <row r="517" hidden="1">
      <c r="A517" s="67">
        <f>HYPERLINK("https://polkadot.subsquare.io/treasury/child-bounties/886", 886)</f>
        <v>886</v>
      </c>
      <c r="B517" s="1">
        <v>17.0</v>
      </c>
      <c r="C517" s="1" t="s">
        <v>2414</v>
      </c>
      <c r="D517" s="1" t="s">
        <v>498</v>
      </c>
      <c r="E517" s="5">
        <v>15.8</v>
      </c>
      <c r="F517" s="4">
        <v>144.74476833343508</v>
      </c>
      <c r="G517" s="1" t="s">
        <v>2628</v>
      </c>
      <c r="H517" s="95">
        <v>45380.0</v>
      </c>
      <c r="I517" s="95">
        <v>45421.0</v>
      </c>
      <c r="J517" s="4">
        <v>104.60198774337769</v>
      </c>
      <c r="K517" s="1"/>
      <c r="L517" s="1" t="s">
        <v>86</v>
      </c>
      <c r="M517" s="1" t="str">
        <f>VLOOKUP(B517,Bounties!A:D,3,FALSE)</f>
        <v>Outreach</v>
      </c>
      <c r="N517" s="1" t="str">
        <f>VLOOKUP(B517,Bounties!A:D,4,FALSE)</f>
        <v>Events/Meetups</v>
      </c>
      <c r="O517" s="1" t="str">
        <f t="shared" ref="O517:P517" si="521">IF(ISBLANK(K517),M517,K517)</f>
        <v>Outreach</v>
      </c>
      <c r="P517" s="1" t="str">
        <f t="shared" si="521"/>
        <v>Events/Conference Attendance &amp; Side Events</v>
      </c>
      <c r="Q517" s="61" t="str">
        <f t="shared" si="3"/>
        <v>2024</v>
      </c>
      <c r="R517" s="62">
        <f t="shared" si="4"/>
        <v>5</v>
      </c>
      <c r="S517" s="61" t="str">
        <f t="shared" si="5"/>
        <v>2024-Q2</v>
      </c>
      <c r="T517" s="63" t="str">
        <f t="shared" si="6"/>
        <v>2024-05</v>
      </c>
      <c r="U517" s="64" t="str">
        <f t="shared" si="7"/>
        <v>2024-H1</v>
      </c>
      <c r="V517" s="9" t="str">
        <f>VLOOKUP(B517,Bounties!A:E,2,FALSE)</f>
        <v>Events Bounty</v>
      </c>
    </row>
    <row r="518" hidden="1">
      <c r="A518" s="67">
        <f>HYPERLINK("https://polkadot.subsquare.io/treasury/child-bounties/885", 885)</f>
        <v>885</v>
      </c>
      <c r="B518" s="1">
        <v>17.0</v>
      </c>
      <c r="C518" s="1" t="s">
        <v>2414</v>
      </c>
      <c r="D518" s="1" t="s">
        <v>497</v>
      </c>
      <c r="E518" s="5">
        <v>15.8</v>
      </c>
      <c r="F518" s="4">
        <v>144.74476833343508</v>
      </c>
      <c r="G518" s="1" t="s">
        <v>2629</v>
      </c>
      <c r="H518" s="95">
        <v>45380.0</v>
      </c>
      <c r="I518" s="95">
        <v>45450.0</v>
      </c>
      <c r="J518" s="4">
        <v>102.8176589012146</v>
      </c>
      <c r="K518" s="1"/>
      <c r="L518" s="1" t="s">
        <v>86</v>
      </c>
      <c r="M518" s="1" t="str">
        <f>VLOOKUP(B518,Bounties!A:D,3,FALSE)</f>
        <v>Outreach</v>
      </c>
      <c r="N518" s="1" t="str">
        <f>VLOOKUP(B518,Bounties!A:D,4,FALSE)</f>
        <v>Events/Meetups</v>
      </c>
      <c r="O518" s="1" t="str">
        <f t="shared" ref="O518:P518" si="522">IF(ISBLANK(K518),M518,K518)</f>
        <v>Outreach</v>
      </c>
      <c r="P518" s="1" t="str">
        <f t="shared" si="522"/>
        <v>Events/Conference Attendance &amp; Side Events</v>
      </c>
      <c r="Q518" s="61" t="str">
        <f t="shared" si="3"/>
        <v>2024</v>
      </c>
      <c r="R518" s="62">
        <f t="shared" si="4"/>
        <v>6</v>
      </c>
      <c r="S518" s="61" t="str">
        <f t="shared" si="5"/>
        <v>2024-Q2</v>
      </c>
      <c r="T518" s="63" t="str">
        <f t="shared" si="6"/>
        <v>2024-06</v>
      </c>
      <c r="U518" s="64" t="str">
        <f t="shared" si="7"/>
        <v>2024-H1</v>
      </c>
      <c r="V518" s="9" t="str">
        <f>VLOOKUP(B518,Bounties!A:E,2,FALSE)</f>
        <v>Events Bounty</v>
      </c>
    </row>
    <row r="519" hidden="1">
      <c r="A519" s="67">
        <f>HYPERLINK("https://polkadot.subsquare.io/treasury/child-bounties/884", 884)</f>
        <v>884</v>
      </c>
      <c r="B519" s="1">
        <v>17.0</v>
      </c>
      <c r="C519" s="1" t="s">
        <v>2414</v>
      </c>
      <c r="D519" s="1" t="s">
        <v>496</v>
      </c>
      <c r="E519" s="5">
        <v>21.0</v>
      </c>
      <c r="F519" s="4">
        <v>192.38228702545166</v>
      </c>
      <c r="G519" s="1" t="s">
        <v>2630</v>
      </c>
      <c r="H519" s="95">
        <v>45380.0</v>
      </c>
      <c r="I519" s="95">
        <v>45406.0</v>
      </c>
      <c r="J519" s="4">
        <v>142.77133512496948</v>
      </c>
      <c r="K519" s="1"/>
      <c r="L519" s="1" t="s">
        <v>86</v>
      </c>
      <c r="M519" s="1" t="str">
        <f>VLOOKUP(B519,Bounties!A:D,3,FALSE)</f>
        <v>Outreach</v>
      </c>
      <c r="N519" s="1" t="str">
        <f>VLOOKUP(B519,Bounties!A:D,4,FALSE)</f>
        <v>Events/Meetups</v>
      </c>
      <c r="O519" s="1" t="str">
        <f t="shared" ref="O519:P519" si="523">IF(ISBLANK(K519),M519,K519)</f>
        <v>Outreach</v>
      </c>
      <c r="P519" s="1" t="str">
        <f t="shared" si="523"/>
        <v>Events/Conference Attendance &amp; Side Events</v>
      </c>
      <c r="Q519" s="61" t="str">
        <f t="shared" si="3"/>
        <v>2024</v>
      </c>
      <c r="R519" s="62">
        <f t="shared" si="4"/>
        <v>4</v>
      </c>
      <c r="S519" s="61" t="str">
        <f t="shared" si="5"/>
        <v>2024-Q2</v>
      </c>
      <c r="T519" s="63" t="str">
        <f t="shared" si="6"/>
        <v>2024-04</v>
      </c>
      <c r="U519" s="64" t="str">
        <f t="shared" si="7"/>
        <v>2024-H1</v>
      </c>
      <c r="V519" s="9" t="str">
        <f>VLOOKUP(B519,Bounties!A:E,2,FALSE)</f>
        <v>Events Bounty</v>
      </c>
    </row>
    <row r="520" hidden="1">
      <c r="A520" s="67">
        <f>HYPERLINK("https://polkadot.subsquare.io/treasury/child-bounties/883", 883)</f>
        <v>883</v>
      </c>
      <c r="B520" s="1">
        <v>17.0</v>
      </c>
      <c r="C520" s="1" t="s">
        <v>2414</v>
      </c>
      <c r="D520" s="1" t="s">
        <v>495</v>
      </c>
      <c r="E520" s="5">
        <v>21.0</v>
      </c>
      <c r="F520" s="4">
        <v>192.38228702545166</v>
      </c>
      <c r="G520" s="1" t="s">
        <v>2631</v>
      </c>
      <c r="H520" s="95">
        <v>45380.0</v>
      </c>
      <c r="I520" s="95">
        <v>45439.0</v>
      </c>
      <c r="J520" s="4">
        <v>146.95505905151367</v>
      </c>
      <c r="K520" s="1"/>
      <c r="L520" s="1" t="s">
        <v>86</v>
      </c>
      <c r="M520" s="1" t="str">
        <f>VLOOKUP(B520,Bounties!A:D,3,FALSE)</f>
        <v>Outreach</v>
      </c>
      <c r="N520" s="1" t="str">
        <f>VLOOKUP(B520,Bounties!A:D,4,FALSE)</f>
        <v>Events/Meetups</v>
      </c>
      <c r="O520" s="1" t="str">
        <f t="shared" ref="O520:P520" si="524">IF(ISBLANK(K520),M520,K520)</f>
        <v>Outreach</v>
      </c>
      <c r="P520" s="1" t="str">
        <f t="shared" si="524"/>
        <v>Events/Conference Attendance &amp; Side Events</v>
      </c>
      <c r="Q520" s="61" t="str">
        <f t="shared" si="3"/>
        <v>2024</v>
      </c>
      <c r="R520" s="62">
        <f t="shared" si="4"/>
        <v>5</v>
      </c>
      <c r="S520" s="61" t="str">
        <f t="shared" si="5"/>
        <v>2024-Q2</v>
      </c>
      <c r="T520" s="63" t="str">
        <f t="shared" si="6"/>
        <v>2024-05</v>
      </c>
      <c r="U520" s="64" t="str">
        <f t="shared" si="7"/>
        <v>2024-H1</v>
      </c>
      <c r="V520" s="9" t="str">
        <f>VLOOKUP(B520,Bounties!A:E,2,FALSE)</f>
        <v>Events Bounty</v>
      </c>
    </row>
    <row r="521" hidden="1">
      <c r="A521" s="67">
        <f>HYPERLINK("https://polkadot.subsquare.io/treasury/child-bounties/882", 882)</f>
        <v>882</v>
      </c>
      <c r="B521" s="1">
        <v>17.0</v>
      </c>
      <c r="C521" s="1" t="s">
        <v>2414</v>
      </c>
      <c r="D521" s="1" t="s">
        <v>494</v>
      </c>
      <c r="E521" s="5">
        <v>15.8</v>
      </c>
      <c r="F521" s="4">
        <v>144.74476833343508</v>
      </c>
      <c r="G521" s="1" t="s">
        <v>2526</v>
      </c>
      <c r="H521" s="95">
        <v>45380.0</v>
      </c>
      <c r="I521" s="95">
        <v>45406.0</v>
      </c>
      <c r="J521" s="4">
        <v>106.77982635498047</v>
      </c>
      <c r="K521" s="1"/>
      <c r="L521" s="1" t="s">
        <v>86</v>
      </c>
      <c r="M521" s="1" t="str">
        <f>VLOOKUP(B521,Bounties!A:D,3,FALSE)</f>
        <v>Outreach</v>
      </c>
      <c r="N521" s="1" t="str">
        <f>VLOOKUP(B521,Bounties!A:D,4,FALSE)</f>
        <v>Events/Meetups</v>
      </c>
      <c r="O521" s="1" t="str">
        <f t="shared" ref="O521:P521" si="525">IF(ISBLANK(K521),M521,K521)</f>
        <v>Outreach</v>
      </c>
      <c r="P521" s="1" t="str">
        <f t="shared" si="525"/>
        <v>Events/Conference Attendance &amp; Side Events</v>
      </c>
      <c r="Q521" s="61" t="str">
        <f t="shared" si="3"/>
        <v>2024</v>
      </c>
      <c r="R521" s="62">
        <f t="shared" si="4"/>
        <v>4</v>
      </c>
      <c r="S521" s="61" t="str">
        <f t="shared" si="5"/>
        <v>2024-Q2</v>
      </c>
      <c r="T521" s="63" t="str">
        <f t="shared" si="6"/>
        <v>2024-04</v>
      </c>
      <c r="U521" s="64" t="str">
        <f t="shared" si="7"/>
        <v>2024-H1</v>
      </c>
      <c r="V521" s="9" t="str">
        <f>VLOOKUP(B521,Bounties!A:E,2,FALSE)</f>
        <v>Events Bounty</v>
      </c>
    </row>
    <row r="522" hidden="1">
      <c r="A522" s="67">
        <f>HYPERLINK("https://polkadot.subsquare.io/treasury/child-bounties/881", 881)</f>
        <v>881</v>
      </c>
      <c r="B522" s="1">
        <v>17.0</v>
      </c>
      <c r="C522" s="1" t="s">
        <v>2414</v>
      </c>
      <c r="D522" s="1" t="s">
        <v>493</v>
      </c>
      <c r="E522" s="5">
        <v>21.0</v>
      </c>
      <c r="F522" s="4">
        <v>192.38228702545166</v>
      </c>
      <c r="G522" s="1" t="s">
        <v>2632</v>
      </c>
      <c r="H522" s="95">
        <v>45380.0</v>
      </c>
      <c r="I522" s="95">
        <v>45417.0</v>
      </c>
      <c r="J522" s="4">
        <v>146.792498588562</v>
      </c>
      <c r="K522" s="1"/>
      <c r="L522" s="1" t="s">
        <v>86</v>
      </c>
      <c r="M522" s="1" t="str">
        <f>VLOOKUP(B522,Bounties!A:D,3,FALSE)</f>
        <v>Outreach</v>
      </c>
      <c r="N522" s="1" t="str">
        <f>VLOOKUP(B522,Bounties!A:D,4,FALSE)</f>
        <v>Events/Meetups</v>
      </c>
      <c r="O522" s="1" t="str">
        <f t="shared" ref="O522:P522" si="526">IF(ISBLANK(K522),M522,K522)</f>
        <v>Outreach</v>
      </c>
      <c r="P522" s="1" t="str">
        <f t="shared" si="526"/>
        <v>Events/Conference Attendance &amp; Side Events</v>
      </c>
      <c r="Q522" s="61" t="str">
        <f t="shared" si="3"/>
        <v>2024</v>
      </c>
      <c r="R522" s="62">
        <f t="shared" si="4"/>
        <v>5</v>
      </c>
      <c r="S522" s="61" t="str">
        <f t="shared" si="5"/>
        <v>2024-Q2</v>
      </c>
      <c r="T522" s="63" t="str">
        <f t="shared" si="6"/>
        <v>2024-05</v>
      </c>
      <c r="U522" s="64" t="str">
        <f t="shared" si="7"/>
        <v>2024-H1</v>
      </c>
      <c r="V522" s="9" t="str">
        <f>VLOOKUP(B522,Bounties!A:E,2,FALSE)</f>
        <v>Events Bounty</v>
      </c>
    </row>
    <row r="523" hidden="1">
      <c r="A523" s="67">
        <f>HYPERLINK("https://polkadot.subsquare.io/treasury/child-bounties/880", 880)</f>
        <v>880</v>
      </c>
      <c r="B523" s="1">
        <v>17.0</v>
      </c>
      <c r="C523" s="1" t="s">
        <v>2414</v>
      </c>
      <c r="D523" s="1" t="s">
        <v>492</v>
      </c>
      <c r="E523" s="5">
        <v>21.0</v>
      </c>
      <c r="F523" s="4">
        <v>192.38228702545166</v>
      </c>
      <c r="G523" s="1" t="s">
        <v>2540</v>
      </c>
      <c r="H523" s="95">
        <v>45380.0</v>
      </c>
      <c r="I523" s="95">
        <v>45414.0</v>
      </c>
      <c r="J523" s="4">
        <v>153.442467212677</v>
      </c>
      <c r="K523" s="1"/>
      <c r="L523" s="1" t="s">
        <v>86</v>
      </c>
      <c r="M523" s="1" t="str">
        <f>VLOOKUP(B523,Bounties!A:D,3,FALSE)</f>
        <v>Outreach</v>
      </c>
      <c r="N523" s="1" t="str">
        <f>VLOOKUP(B523,Bounties!A:D,4,FALSE)</f>
        <v>Events/Meetups</v>
      </c>
      <c r="O523" s="1" t="str">
        <f t="shared" ref="O523:P523" si="527">IF(ISBLANK(K523),M523,K523)</f>
        <v>Outreach</v>
      </c>
      <c r="P523" s="1" t="str">
        <f t="shared" si="527"/>
        <v>Events/Conference Attendance &amp; Side Events</v>
      </c>
      <c r="Q523" s="61" t="str">
        <f t="shared" si="3"/>
        <v>2024</v>
      </c>
      <c r="R523" s="62">
        <f t="shared" si="4"/>
        <v>5</v>
      </c>
      <c r="S523" s="61" t="str">
        <f t="shared" si="5"/>
        <v>2024-Q2</v>
      </c>
      <c r="T523" s="63" t="str">
        <f t="shared" si="6"/>
        <v>2024-05</v>
      </c>
      <c r="U523" s="64" t="str">
        <f t="shared" si="7"/>
        <v>2024-H1</v>
      </c>
      <c r="V523" s="9" t="str">
        <f>VLOOKUP(B523,Bounties!A:E,2,FALSE)</f>
        <v>Events Bounty</v>
      </c>
    </row>
    <row r="524" hidden="1">
      <c r="A524" s="67">
        <f>HYPERLINK("https://polkadot.subsquare.io/treasury/child-bounties/879", 879)</f>
        <v>879</v>
      </c>
      <c r="B524" s="1">
        <v>17.0</v>
      </c>
      <c r="C524" s="1" t="s">
        <v>2460</v>
      </c>
      <c r="D524" s="1" t="s">
        <v>2633</v>
      </c>
      <c r="E524" s="5">
        <v>15.8</v>
      </c>
      <c r="F524" s="4">
        <v>144.74476833343508</v>
      </c>
      <c r="G524" s="1" t="s">
        <v>2634</v>
      </c>
      <c r="H524" s="95">
        <v>45380.0</v>
      </c>
      <c r="I524" s="95">
        <v>45396.0</v>
      </c>
      <c r="J524" s="4">
        <v>103.95810718536377</v>
      </c>
      <c r="K524" s="1"/>
      <c r="L524" s="1"/>
      <c r="M524" s="1" t="str">
        <f>VLOOKUP(B524,Bounties!A:D,3,FALSE)</f>
        <v>Outreach</v>
      </c>
      <c r="N524" s="1" t="str">
        <f>VLOOKUP(B524,Bounties!A:D,4,FALSE)</f>
        <v>Events/Meetups</v>
      </c>
      <c r="O524" s="1" t="str">
        <f t="shared" ref="O524:P524" si="528">IF(ISBLANK(K524),M524,K524)</f>
        <v>Outreach</v>
      </c>
      <c r="P524" s="1" t="str">
        <f t="shared" si="528"/>
        <v>Events/Meetups</v>
      </c>
      <c r="Q524" s="61" t="str">
        <f t="shared" si="3"/>
        <v>2024</v>
      </c>
      <c r="R524" s="62">
        <f t="shared" si="4"/>
        <v>4</v>
      </c>
      <c r="S524" s="61" t="str">
        <f t="shared" si="5"/>
        <v>2024-Q2</v>
      </c>
      <c r="T524" s="63" t="str">
        <f t="shared" si="6"/>
        <v>2024-04</v>
      </c>
      <c r="U524" s="64" t="str">
        <f t="shared" si="7"/>
        <v>2024-H1</v>
      </c>
      <c r="V524" s="9" t="str">
        <f>VLOOKUP(B524,Bounties!A:E,2,FALSE)</f>
        <v>Events Bounty</v>
      </c>
    </row>
    <row r="525" hidden="1">
      <c r="A525" s="67">
        <f>HYPERLINK("https://polkadot.subsquare.io/treasury/child-bounties/878", 878)</f>
        <v>878</v>
      </c>
      <c r="B525" s="1">
        <v>17.0</v>
      </c>
      <c r="C525" s="1" t="s">
        <v>2414</v>
      </c>
      <c r="D525" s="1" t="s">
        <v>491</v>
      </c>
      <c r="E525" s="5">
        <v>15.8</v>
      </c>
      <c r="F525" s="4">
        <v>144.74476833343508</v>
      </c>
      <c r="G525" s="1" t="s">
        <v>2635</v>
      </c>
      <c r="H525" s="95">
        <v>45380.0</v>
      </c>
      <c r="I525" s="95">
        <v>45416.0</v>
      </c>
      <c r="J525" s="4">
        <v>112.53173961639405</v>
      </c>
      <c r="K525" s="1"/>
      <c r="L525" s="1" t="s">
        <v>86</v>
      </c>
      <c r="M525" s="1" t="str">
        <f>VLOOKUP(B525,Bounties!A:D,3,FALSE)</f>
        <v>Outreach</v>
      </c>
      <c r="N525" s="1" t="str">
        <f>VLOOKUP(B525,Bounties!A:D,4,FALSE)</f>
        <v>Events/Meetups</v>
      </c>
      <c r="O525" s="1" t="str">
        <f t="shared" ref="O525:P525" si="529">IF(ISBLANK(K525),M525,K525)</f>
        <v>Outreach</v>
      </c>
      <c r="P525" s="1" t="str">
        <f t="shared" si="529"/>
        <v>Events/Conference Attendance &amp; Side Events</v>
      </c>
      <c r="Q525" s="61" t="str">
        <f t="shared" si="3"/>
        <v>2024</v>
      </c>
      <c r="R525" s="62">
        <f t="shared" si="4"/>
        <v>5</v>
      </c>
      <c r="S525" s="61" t="str">
        <f t="shared" si="5"/>
        <v>2024-Q2</v>
      </c>
      <c r="T525" s="63" t="str">
        <f t="shared" si="6"/>
        <v>2024-05</v>
      </c>
      <c r="U525" s="64" t="str">
        <f t="shared" si="7"/>
        <v>2024-H1</v>
      </c>
      <c r="V525" s="9" t="str">
        <f>VLOOKUP(B525,Bounties!A:E,2,FALSE)</f>
        <v>Events Bounty</v>
      </c>
    </row>
    <row r="526" hidden="1">
      <c r="A526" s="67">
        <f>HYPERLINK("https://polkadot.subsquare.io/treasury/child-bounties/877", 877)</f>
        <v>877</v>
      </c>
      <c r="B526" s="1">
        <v>17.0</v>
      </c>
      <c r="C526" s="1" t="s">
        <v>2414</v>
      </c>
      <c r="D526" s="1" t="s">
        <v>490</v>
      </c>
      <c r="E526" s="5">
        <v>15.8</v>
      </c>
      <c r="F526" s="4">
        <v>144.74476833343508</v>
      </c>
      <c r="G526" s="1" t="s">
        <v>2636</v>
      </c>
      <c r="H526" s="95">
        <v>45380.0</v>
      </c>
      <c r="I526" s="95">
        <v>45404.0</v>
      </c>
      <c r="J526" s="4">
        <v>108.42543115615845</v>
      </c>
      <c r="K526" s="1"/>
      <c r="L526" s="1" t="s">
        <v>86</v>
      </c>
      <c r="M526" s="1" t="str">
        <f>VLOOKUP(B526,Bounties!A:D,3,FALSE)</f>
        <v>Outreach</v>
      </c>
      <c r="N526" s="1" t="str">
        <f>VLOOKUP(B526,Bounties!A:D,4,FALSE)</f>
        <v>Events/Meetups</v>
      </c>
      <c r="O526" s="1" t="str">
        <f t="shared" ref="O526:P526" si="530">IF(ISBLANK(K526),M526,K526)</f>
        <v>Outreach</v>
      </c>
      <c r="P526" s="1" t="str">
        <f t="shared" si="530"/>
        <v>Events/Conference Attendance &amp; Side Events</v>
      </c>
      <c r="Q526" s="61" t="str">
        <f t="shared" si="3"/>
        <v>2024</v>
      </c>
      <c r="R526" s="62">
        <f t="shared" si="4"/>
        <v>4</v>
      </c>
      <c r="S526" s="61" t="str">
        <f t="shared" si="5"/>
        <v>2024-Q2</v>
      </c>
      <c r="T526" s="63" t="str">
        <f t="shared" si="6"/>
        <v>2024-04</v>
      </c>
      <c r="U526" s="64" t="str">
        <f t="shared" si="7"/>
        <v>2024-H1</v>
      </c>
      <c r="V526" s="9" t="str">
        <f>VLOOKUP(B526,Bounties!A:E,2,FALSE)</f>
        <v>Events Bounty</v>
      </c>
    </row>
    <row r="527" hidden="1">
      <c r="A527" s="67">
        <f>HYPERLINK("https://polkadot.subsquare.io/treasury/child-bounties/876", 876)</f>
        <v>876</v>
      </c>
      <c r="B527" s="1">
        <v>17.0</v>
      </c>
      <c r="C527" s="1" t="s">
        <v>2414</v>
      </c>
      <c r="D527" s="1" t="s">
        <v>489</v>
      </c>
      <c r="E527" s="5">
        <v>21.0</v>
      </c>
      <c r="F527" s="4">
        <v>192.38228702545166</v>
      </c>
      <c r="G527" s="1" t="s">
        <v>2431</v>
      </c>
      <c r="H527" s="95">
        <v>45380.0</v>
      </c>
      <c r="I527" s="95">
        <v>45409.0</v>
      </c>
      <c r="J527" s="4">
        <v>134.86699533462524</v>
      </c>
      <c r="K527" s="1"/>
      <c r="L527" s="1" t="s">
        <v>86</v>
      </c>
      <c r="M527" s="1" t="str">
        <f>VLOOKUP(B527,Bounties!A:D,3,FALSE)</f>
        <v>Outreach</v>
      </c>
      <c r="N527" s="1" t="str">
        <f>VLOOKUP(B527,Bounties!A:D,4,FALSE)</f>
        <v>Events/Meetups</v>
      </c>
      <c r="O527" s="1" t="str">
        <f t="shared" ref="O527:P527" si="531">IF(ISBLANK(K527),M527,K527)</f>
        <v>Outreach</v>
      </c>
      <c r="P527" s="1" t="str">
        <f t="shared" si="531"/>
        <v>Events/Conference Attendance &amp; Side Events</v>
      </c>
      <c r="Q527" s="61" t="str">
        <f t="shared" si="3"/>
        <v>2024</v>
      </c>
      <c r="R527" s="62">
        <f t="shared" si="4"/>
        <v>4</v>
      </c>
      <c r="S527" s="61" t="str">
        <f t="shared" si="5"/>
        <v>2024-Q2</v>
      </c>
      <c r="T527" s="63" t="str">
        <f t="shared" si="6"/>
        <v>2024-04</v>
      </c>
      <c r="U527" s="64" t="str">
        <f t="shared" si="7"/>
        <v>2024-H1</v>
      </c>
      <c r="V527" s="9" t="str">
        <f>VLOOKUP(B527,Bounties!A:E,2,FALSE)</f>
        <v>Events Bounty</v>
      </c>
    </row>
    <row r="528" hidden="1">
      <c r="A528" s="67">
        <f>HYPERLINK("https://polkadot.subsquare.io/treasury/child-bounties/875", 875)</f>
        <v>875</v>
      </c>
      <c r="B528" s="1">
        <v>17.0</v>
      </c>
      <c r="C528" s="1" t="s">
        <v>2414</v>
      </c>
      <c r="D528" s="1" t="s">
        <v>488</v>
      </c>
      <c r="E528" s="5">
        <v>15.8</v>
      </c>
      <c r="F528" s="4">
        <v>144.74476833343508</v>
      </c>
      <c r="G528" s="1" t="s">
        <v>2540</v>
      </c>
      <c r="H528" s="95">
        <v>45380.0</v>
      </c>
      <c r="I528" s="95">
        <v>45414.0</v>
      </c>
      <c r="J528" s="4">
        <v>115.447189617157</v>
      </c>
      <c r="K528" s="1"/>
      <c r="L528" s="1" t="s">
        <v>86</v>
      </c>
      <c r="M528" s="1" t="str">
        <f>VLOOKUP(B528,Bounties!A:D,3,FALSE)</f>
        <v>Outreach</v>
      </c>
      <c r="N528" s="1" t="str">
        <f>VLOOKUP(B528,Bounties!A:D,4,FALSE)</f>
        <v>Events/Meetups</v>
      </c>
      <c r="O528" s="1" t="str">
        <f t="shared" ref="O528:P528" si="532">IF(ISBLANK(K528),M528,K528)</f>
        <v>Outreach</v>
      </c>
      <c r="P528" s="1" t="str">
        <f t="shared" si="532"/>
        <v>Events/Conference Attendance &amp; Side Events</v>
      </c>
      <c r="Q528" s="61" t="str">
        <f t="shared" si="3"/>
        <v>2024</v>
      </c>
      <c r="R528" s="62">
        <f t="shared" si="4"/>
        <v>5</v>
      </c>
      <c r="S528" s="61" t="str">
        <f t="shared" si="5"/>
        <v>2024-Q2</v>
      </c>
      <c r="T528" s="63" t="str">
        <f t="shared" si="6"/>
        <v>2024-05</v>
      </c>
      <c r="U528" s="64" t="str">
        <f t="shared" si="7"/>
        <v>2024-H1</v>
      </c>
      <c r="V528" s="9" t="str">
        <f>VLOOKUP(B528,Bounties!A:E,2,FALSE)</f>
        <v>Events Bounty</v>
      </c>
    </row>
    <row r="529" hidden="1">
      <c r="A529" s="67">
        <f>HYPERLINK("https://polkadot.subsquare.io/treasury/child-bounties/874", 874)</f>
        <v>874</v>
      </c>
      <c r="B529" s="1">
        <v>17.0</v>
      </c>
      <c r="C529" s="1" t="s">
        <v>2414</v>
      </c>
      <c r="D529" s="1" t="s">
        <v>487</v>
      </c>
      <c r="E529" s="5">
        <v>15.8</v>
      </c>
      <c r="F529" s="4">
        <v>144.74476833343508</v>
      </c>
      <c r="G529" s="1" t="s">
        <v>2540</v>
      </c>
      <c r="H529" s="95">
        <v>45380.0</v>
      </c>
      <c r="I529" s="95">
        <v>45414.0</v>
      </c>
      <c r="J529" s="4">
        <v>115.447189617157</v>
      </c>
      <c r="K529" s="1"/>
      <c r="L529" s="1" t="s">
        <v>86</v>
      </c>
      <c r="M529" s="1" t="str">
        <f>VLOOKUP(B529,Bounties!A:D,3,FALSE)</f>
        <v>Outreach</v>
      </c>
      <c r="N529" s="1" t="str">
        <f>VLOOKUP(B529,Bounties!A:D,4,FALSE)</f>
        <v>Events/Meetups</v>
      </c>
      <c r="O529" s="1" t="str">
        <f t="shared" ref="O529:P529" si="533">IF(ISBLANK(K529),M529,K529)</f>
        <v>Outreach</v>
      </c>
      <c r="P529" s="1" t="str">
        <f t="shared" si="533"/>
        <v>Events/Conference Attendance &amp; Side Events</v>
      </c>
      <c r="Q529" s="61" t="str">
        <f t="shared" si="3"/>
        <v>2024</v>
      </c>
      <c r="R529" s="62">
        <f t="shared" si="4"/>
        <v>5</v>
      </c>
      <c r="S529" s="61" t="str">
        <f t="shared" si="5"/>
        <v>2024-Q2</v>
      </c>
      <c r="T529" s="63" t="str">
        <f t="shared" si="6"/>
        <v>2024-05</v>
      </c>
      <c r="U529" s="64" t="str">
        <f t="shared" si="7"/>
        <v>2024-H1</v>
      </c>
      <c r="V529" s="9" t="str">
        <f>VLOOKUP(B529,Bounties!A:E,2,FALSE)</f>
        <v>Events Bounty</v>
      </c>
    </row>
    <row r="530" hidden="1">
      <c r="A530" s="67">
        <f>HYPERLINK("https://polkadot.subsquare.io/treasury/child-bounties/873", 873)</f>
        <v>873</v>
      </c>
      <c r="B530" s="1">
        <v>17.0</v>
      </c>
      <c r="C530" s="1" t="s">
        <v>2414</v>
      </c>
      <c r="D530" s="1" t="s">
        <v>486</v>
      </c>
      <c r="E530" s="5">
        <v>2064.7</v>
      </c>
      <c r="F530" s="4">
        <v>18914.843239116668</v>
      </c>
      <c r="G530" s="1" t="s">
        <v>2637</v>
      </c>
      <c r="H530" s="95">
        <v>45380.0</v>
      </c>
      <c r="I530" s="95">
        <v>45410.0</v>
      </c>
      <c r="J530" s="4">
        <v>13259.994536542892</v>
      </c>
      <c r="K530" s="1"/>
      <c r="L530" s="1"/>
      <c r="M530" s="1" t="str">
        <f>VLOOKUP(B530,Bounties!A:D,3,FALSE)</f>
        <v>Outreach</v>
      </c>
      <c r="N530" s="1" t="str">
        <f>VLOOKUP(B530,Bounties!A:D,4,FALSE)</f>
        <v>Events/Meetups</v>
      </c>
      <c r="O530" s="1" t="str">
        <f t="shared" ref="O530:P530" si="534">IF(ISBLANK(K530),M530,K530)</f>
        <v>Outreach</v>
      </c>
      <c r="P530" s="1" t="str">
        <f t="shared" si="534"/>
        <v>Events/Meetups</v>
      </c>
      <c r="Q530" s="61" t="str">
        <f t="shared" si="3"/>
        <v>2024</v>
      </c>
      <c r="R530" s="62">
        <f t="shared" si="4"/>
        <v>4</v>
      </c>
      <c r="S530" s="61" t="str">
        <f t="shared" si="5"/>
        <v>2024-Q2</v>
      </c>
      <c r="T530" s="63" t="str">
        <f t="shared" si="6"/>
        <v>2024-04</v>
      </c>
      <c r="U530" s="64" t="str">
        <f t="shared" si="7"/>
        <v>2024-H1</v>
      </c>
      <c r="V530" s="9" t="str">
        <f>VLOOKUP(B530,Bounties!A:E,2,FALSE)</f>
        <v>Events Bounty</v>
      </c>
    </row>
    <row r="531" hidden="1">
      <c r="A531" s="67">
        <f>HYPERLINK("https://polkadot.subsquare.io/treasury/child-bounties/872", 872)</f>
        <v>872</v>
      </c>
      <c r="B531" s="1">
        <v>17.0</v>
      </c>
      <c r="C531" s="1" t="s">
        <v>2414</v>
      </c>
      <c r="D531" s="1" t="s">
        <v>485</v>
      </c>
      <c r="E531" s="5">
        <v>942.1</v>
      </c>
      <c r="F531" s="4">
        <v>8630.635838413238</v>
      </c>
      <c r="G531" s="1" t="s">
        <v>2622</v>
      </c>
      <c r="H531" s="95">
        <v>45380.0</v>
      </c>
      <c r="I531" s="95">
        <v>45461.0</v>
      </c>
      <c r="J531" s="4">
        <v>5314.168479442596</v>
      </c>
      <c r="K531" s="1"/>
      <c r="L531" s="1" t="s">
        <v>86</v>
      </c>
      <c r="M531" s="1" t="str">
        <f>VLOOKUP(B531,Bounties!A:D,3,FALSE)</f>
        <v>Outreach</v>
      </c>
      <c r="N531" s="1" t="str">
        <f>VLOOKUP(B531,Bounties!A:D,4,FALSE)</f>
        <v>Events/Meetups</v>
      </c>
      <c r="O531" s="1" t="str">
        <f t="shared" ref="O531:P531" si="535">IF(ISBLANK(K531),M531,K531)</f>
        <v>Outreach</v>
      </c>
      <c r="P531" s="1" t="str">
        <f t="shared" si="535"/>
        <v>Events/Conference Attendance &amp; Side Events</v>
      </c>
      <c r="Q531" s="61" t="str">
        <f t="shared" si="3"/>
        <v>2024</v>
      </c>
      <c r="R531" s="62">
        <f t="shared" si="4"/>
        <v>6</v>
      </c>
      <c r="S531" s="61" t="str">
        <f t="shared" si="5"/>
        <v>2024-Q2</v>
      </c>
      <c r="T531" s="63" t="str">
        <f t="shared" si="6"/>
        <v>2024-06</v>
      </c>
      <c r="U531" s="64" t="str">
        <f t="shared" si="7"/>
        <v>2024-H1</v>
      </c>
      <c r="V531" s="9" t="str">
        <f>VLOOKUP(B531,Bounties!A:E,2,FALSE)</f>
        <v>Events Bounty</v>
      </c>
    </row>
    <row r="532" hidden="1">
      <c r="A532" s="67">
        <f>HYPERLINK("https://polkadot.subsquare.io/treasury/child-bounties/871", 871)</f>
        <v>871</v>
      </c>
      <c r="B532" s="1">
        <v>17.0</v>
      </c>
      <c r="C532" s="1" t="s">
        <v>2460</v>
      </c>
      <c r="D532" s="1" t="s">
        <v>2638</v>
      </c>
      <c r="E532" s="5">
        <v>55.0</v>
      </c>
      <c r="F532" s="4">
        <v>503.8583707809448</v>
      </c>
      <c r="G532" s="1" t="s">
        <v>2524</v>
      </c>
      <c r="H532" s="95">
        <v>45380.0</v>
      </c>
      <c r="I532" s="95">
        <v>45385.0</v>
      </c>
      <c r="J532" s="4">
        <v>467.1802520751953</v>
      </c>
      <c r="K532" s="1"/>
      <c r="L532" s="1"/>
      <c r="M532" s="1" t="str">
        <f>VLOOKUP(B532,Bounties!A:D,3,FALSE)</f>
        <v>Outreach</v>
      </c>
      <c r="N532" s="1" t="str">
        <f>VLOOKUP(B532,Bounties!A:D,4,FALSE)</f>
        <v>Events/Meetups</v>
      </c>
      <c r="O532" s="1" t="str">
        <f t="shared" ref="O532:P532" si="536">IF(ISBLANK(K532),M532,K532)</f>
        <v>Outreach</v>
      </c>
      <c r="P532" s="1" t="str">
        <f t="shared" si="536"/>
        <v>Events/Meetups</v>
      </c>
      <c r="Q532" s="61" t="str">
        <f t="shared" si="3"/>
        <v>2024</v>
      </c>
      <c r="R532" s="62">
        <f t="shared" si="4"/>
        <v>4</v>
      </c>
      <c r="S532" s="61" t="str">
        <f t="shared" si="5"/>
        <v>2024-Q2</v>
      </c>
      <c r="T532" s="63" t="str">
        <f t="shared" si="6"/>
        <v>2024-04</v>
      </c>
      <c r="U532" s="64" t="str">
        <f t="shared" si="7"/>
        <v>2024-H1</v>
      </c>
      <c r="V532" s="9" t="str">
        <f>VLOOKUP(B532,Bounties!A:E,2,FALSE)</f>
        <v>Events Bounty</v>
      </c>
    </row>
    <row r="533" hidden="1">
      <c r="A533" s="67">
        <f>HYPERLINK("https://polkadot.subsquare.io/treasury/child-bounties/870", 870)</f>
        <v>870</v>
      </c>
      <c r="B533" s="1">
        <v>17.0</v>
      </c>
      <c r="C533" s="1" t="s">
        <v>2414</v>
      </c>
      <c r="D533" s="1" t="s">
        <v>484</v>
      </c>
      <c r="E533" s="5">
        <v>406.9</v>
      </c>
      <c r="F533" s="4">
        <v>3727.635837650299</v>
      </c>
      <c r="G533" s="1" t="s">
        <v>2639</v>
      </c>
      <c r="H533" s="95">
        <v>45380.0</v>
      </c>
      <c r="I533" s="95">
        <v>45402.0</v>
      </c>
      <c r="J533" s="4">
        <v>2947.822427749634</v>
      </c>
      <c r="K533" s="1"/>
      <c r="L533" s="1" t="s">
        <v>86</v>
      </c>
      <c r="M533" s="1" t="str">
        <f>VLOOKUP(B533,Bounties!A:D,3,FALSE)</f>
        <v>Outreach</v>
      </c>
      <c r="N533" s="1" t="str">
        <f>VLOOKUP(B533,Bounties!A:D,4,FALSE)</f>
        <v>Events/Meetups</v>
      </c>
      <c r="O533" s="1" t="str">
        <f t="shared" ref="O533:P533" si="537">IF(ISBLANK(K533),M533,K533)</f>
        <v>Outreach</v>
      </c>
      <c r="P533" s="1" t="str">
        <f t="shared" si="537"/>
        <v>Events/Conference Attendance &amp; Side Events</v>
      </c>
      <c r="Q533" s="61" t="str">
        <f t="shared" si="3"/>
        <v>2024</v>
      </c>
      <c r="R533" s="62">
        <f t="shared" si="4"/>
        <v>4</v>
      </c>
      <c r="S533" s="61" t="str">
        <f t="shared" si="5"/>
        <v>2024-Q2</v>
      </c>
      <c r="T533" s="63" t="str">
        <f t="shared" si="6"/>
        <v>2024-04</v>
      </c>
      <c r="U533" s="64" t="str">
        <f t="shared" si="7"/>
        <v>2024-H1</v>
      </c>
      <c r="V533" s="9" t="str">
        <f>VLOOKUP(B533,Bounties!A:E,2,FALSE)</f>
        <v>Events Bounty</v>
      </c>
    </row>
    <row r="534" hidden="1">
      <c r="A534" s="67">
        <f>HYPERLINK("https://polkadot.subsquare.io/treasury/child-bounties/869", 869)</f>
        <v>869</v>
      </c>
      <c r="B534" s="1">
        <v>17.0</v>
      </c>
      <c r="C534" s="1" t="s">
        <v>2414</v>
      </c>
      <c r="D534" s="1" t="s">
        <v>483</v>
      </c>
      <c r="E534" s="5">
        <v>11867.5</v>
      </c>
      <c r="F534" s="4">
        <v>108718.8948225975</v>
      </c>
      <c r="G534" s="1" t="s">
        <v>2591</v>
      </c>
      <c r="H534" s="95">
        <v>45380.0</v>
      </c>
      <c r="I534" s="95">
        <v>45396.0</v>
      </c>
      <c r="J534" s="4">
        <v>79512.80796408653</v>
      </c>
      <c r="K534" s="1"/>
      <c r="L534" s="1" t="s">
        <v>86</v>
      </c>
      <c r="M534" s="1" t="str">
        <f>VLOOKUP(B534,Bounties!A:D,3,FALSE)</f>
        <v>Outreach</v>
      </c>
      <c r="N534" s="1" t="str">
        <f>VLOOKUP(B534,Bounties!A:D,4,FALSE)</f>
        <v>Events/Meetups</v>
      </c>
      <c r="O534" s="1" t="str">
        <f t="shared" ref="O534:P534" si="538">IF(ISBLANK(K534),M534,K534)</f>
        <v>Outreach</v>
      </c>
      <c r="P534" s="1" t="str">
        <f t="shared" si="538"/>
        <v>Events/Conference Attendance &amp; Side Events</v>
      </c>
      <c r="Q534" s="61" t="str">
        <f t="shared" si="3"/>
        <v>2024</v>
      </c>
      <c r="R534" s="62">
        <f t="shared" si="4"/>
        <v>4</v>
      </c>
      <c r="S534" s="61" t="str">
        <f t="shared" si="5"/>
        <v>2024-Q2</v>
      </c>
      <c r="T534" s="63" t="str">
        <f t="shared" si="6"/>
        <v>2024-04</v>
      </c>
      <c r="U534" s="64" t="str">
        <f t="shared" si="7"/>
        <v>2024-H1</v>
      </c>
      <c r="V534" s="9" t="str">
        <f>VLOOKUP(B534,Bounties!A:E,2,FALSE)</f>
        <v>Events Bounty</v>
      </c>
    </row>
    <row r="535" hidden="1">
      <c r="A535" s="67">
        <f>HYPERLINK("https://polkadot.subsquare.io/treasury/child-bounties/868", 868)</f>
        <v>868</v>
      </c>
      <c r="B535" s="1">
        <v>24.0</v>
      </c>
      <c r="C535" s="1" t="s">
        <v>2414</v>
      </c>
      <c r="D535" s="1" t="s">
        <v>482</v>
      </c>
      <c r="E535" s="5">
        <v>147.0742</v>
      </c>
      <c r="F535" s="4">
        <v>1387.459293039322</v>
      </c>
      <c r="G535" s="1" t="s">
        <v>2437</v>
      </c>
      <c r="H535" s="95">
        <v>45378.0</v>
      </c>
      <c r="I535" s="95">
        <v>45387.0</v>
      </c>
      <c r="J535" s="4">
        <v>1280.5347719848633</v>
      </c>
      <c r="K535" s="1"/>
      <c r="L535" s="1"/>
      <c r="M535" s="1" t="str">
        <f>VLOOKUP(B535,Bounties!A:D,3,FALSE)</f>
        <v>Outreach</v>
      </c>
      <c r="N535" s="1" t="str">
        <f>VLOOKUP(B535,Bounties!A:D,4,FALSE)</f>
        <v>Community Building</v>
      </c>
      <c r="O535" s="1" t="str">
        <f t="shared" ref="O535:P535" si="539">IF(ISBLANK(K535),M535,K535)</f>
        <v>Outreach</v>
      </c>
      <c r="P535" s="1" t="str">
        <f t="shared" si="539"/>
        <v>Community Building</v>
      </c>
      <c r="Q535" s="61" t="str">
        <f t="shared" si="3"/>
        <v>2024</v>
      </c>
      <c r="R535" s="62">
        <f t="shared" si="4"/>
        <v>4</v>
      </c>
      <c r="S535" s="61" t="str">
        <f t="shared" si="5"/>
        <v>2024-Q2</v>
      </c>
      <c r="T535" s="63" t="str">
        <f t="shared" si="6"/>
        <v>2024-04</v>
      </c>
      <c r="U535" s="64" t="str">
        <f t="shared" si="7"/>
        <v>2024-H1</v>
      </c>
      <c r="V535" s="9" t="str">
        <f>VLOOKUP(B535,Bounties!A:E,2,FALSE)</f>
        <v>Moderation Team Bounty</v>
      </c>
    </row>
    <row r="536" hidden="1">
      <c r="A536" s="67">
        <f>HYPERLINK("https://polkadot.subsquare.io/treasury/child-bounties/867", 867)</f>
        <v>867</v>
      </c>
      <c r="B536" s="1">
        <v>24.0</v>
      </c>
      <c r="C536" s="1" t="s">
        <v>2414</v>
      </c>
      <c r="D536" s="1" t="s">
        <v>481</v>
      </c>
      <c r="E536" s="5">
        <v>147.0742</v>
      </c>
      <c r="F536" s="4">
        <v>1387.459293039322</v>
      </c>
      <c r="G536" s="1" t="s">
        <v>2535</v>
      </c>
      <c r="H536" s="95">
        <v>45378.0</v>
      </c>
      <c r="I536" s="95">
        <v>45423.0</v>
      </c>
      <c r="J536" s="4">
        <v>952.879308393669</v>
      </c>
      <c r="K536" s="1"/>
      <c r="L536" s="1"/>
      <c r="M536" s="1" t="str">
        <f>VLOOKUP(B536,Bounties!A:D,3,FALSE)</f>
        <v>Outreach</v>
      </c>
      <c r="N536" s="1" t="str">
        <f>VLOOKUP(B536,Bounties!A:D,4,FALSE)</f>
        <v>Community Building</v>
      </c>
      <c r="O536" s="1" t="str">
        <f t="shared" ref="O536:P536" si="540">IF(ISBLANK(K536),M536,K536)</f>
        <v>Outreach</v>
      </c>
      <c r="P536" s="1" t="str">
        <f t="shared" si="540"/>
        <v>Community Building</v>
      </c>
      <c r="Q536" s="61" t="str">
        <f t="shared" si="3"/>
        <v>2024</v>
      </c>
      <c r="R536" s="62">
        <f t="shared" si="4"/>
        <v>5</v>
      </c>
      <c r="S536" s="61" t="str">
        <f t="shared" si="5"/>
        <v>2024-Q2</v>
      </c>
      <c r="T536" s="63" t="str">
        <f t="shared" si="6"/>
        <v>2024-05</v>
      </c>
      <c r="U536" s="64" t="str">
        <f t="shared" si="7"/>
        <v>2024-H1</v>
      </c>
      <c r="V536" s="9" t="str">
        <f>VLOOKUP(B536,Bounties!A:E,2,FALSE)</f>
        <v>Moderation Team Bounty</v>
      </c>
    </row>
    <row r="537" hidden="1">
      <c r="A537" s="67">
        <f>HYPERLINK("https://polkadot.subsquare.io/treasury/child-bounties/866", 866)</f>
        <v>866</v>
      </c>
      <c r="B537" s="1">
        <v>24.0</v>
      </c>
      <c r="C537" s="1" t="s">
        <v>2414</v>
      </c>
      <c r="D537" s="1" t="s">
        <v>480</v>
      </c>
      <c r="E537" s="5">
        <v>147.0742</v>
      </c>
      <c r="F537" s="4">
        <v>1387.459293039322</v>
      </c>
      <c r="G537" s="1" t="s">
        <v>2548</v>
      </c>
      <c r="H537" s="95">
        <v>45378.0</v>
      </c>
      <c r="I537" s="95">
        <v>45387.0</v>
      </c>
      <c r="J537" s="4">
        <v>1280.5347719848633</v>
      </c>
      <c r="K537" s="1"/>
      <c r="L537" s="1"/>
      <c r="M537" s="1" t="str">
        <f>VLOOKUP(B537,Bounties!A:D,3,FALSE)</f>
        <v>Outreach</v>
      </c>
      <c r="N537" s="1" t="str">
        <f>VLOOKUP(B537,Bounties!A:D,4,FALSE)</f>
        <v>Community Building</v>
      </c>
      <c r="O537" s="1" t="str">
        <f t="shared" ref="O537:P537" si="541">IF(ISBLANK(K537),M537,K537)</f>
        <v>Outreach</v>
      </c>
      <c r="P537" s="1" t="str">
        <f t="shared" si="541"/>
        <v>Community Building</v>
      </c>
      <c r="Q537" s="61" t="str">
        <f t="shared" si="3"/>
        <v>2024</v>
      </c>
      <c r="R537" s="62">
        <f t="shared" si="4"/>
        <v>4</v>
      </c>
      <c r="S537" s="61" t="str">
        <f t="shared" si="5"/>
        <v>2024-Q2</v>
      </c>
      <c r="T537" s="63" t="str">
        <f t="shared" si="6"/>
        <v>2024-04</v>
      </c>
      <c r="U537" s="64" t="str">
        <f t="shared" si="7"/>
        <v>2024-H1</v>
      </c>
      <c r="V537" s="9" t="str">
        <f>VLOOKUP(B537,Bounties!A:E,2,FALSE)</f>
        <v>Moderation Team Bounty</v>
      </c>
    </row>
    <row r="538" hidden="1">
      <c r="A538" s="67">
        <f>HYPERLINK("https://polkadot.subsquare.io/treasury/child-bounties/865", 865)</f>
        <v>865</v>
      </c>
      <c r="B538" s="1">
        <v>24.0</v>
      </c>
      <c r="C538" s="1" t="s">
        <v>2414</v>
      </c>
      <c r="D538" s="1" t="s">
        <v>479</v>
      </c>
      <c r="E538" s="5">
        <v>147.0742</v>
      </c>
      <c r="F538" s="4">
        <v>1387.459293039322</v>
      </c>
      <c r="G538" s="1" t="s">
        <v>2528</v>
      </c>
      <c r="H538" s="95">
        <v>45378.0</v>
      </c>
      <c r="I538" s="95">
        <v>45387.0</v>
      </c>
      <c r="J538" s="4">
        <v>1280.5347719848633</v>
      </c>
      <c r="K538" s="1"/>
      <c r="L538" s="1"/>
      <c r="M538" s="1" t="str">
        <f>VLOOKUP(B538,Bounties!A:D,3,FALSE)</f>
        <v>Outreach</v>
      </c>
      <c r="N538" s="1" t="str">
        <f>VLOOKUP(B538,Bounties!A:D,4,FALSE)</f>
        <v>Community Building</v>
      </c>
      <c r="O538" s="1" t="str">
        <f t="shared" ref="O538:P538" si="542">IF(ISBLANK(K538),M538,K538)</f>
        <v>Outreach</v>
      </c>
      <c r="P538" s="1" t="str">
        <f t="shared" si="542"/>
        <v>Community Building</v>
      </c>
      <c r="Q538" s="61" t="str">
        <f t="shared" si="3"/>
        <v>2024</v>
      </c>
      <c r="R538" s="62">
        <f t="shared" si="4"/>
        <v>4</v>
      </c>
      <c r="S538" s="61" t="str">
        <f t="shared" si="5"/>
        <v>2024-Q2</v>
      </c>
      <c r="T538" s="63" t="str">
        <f t="shared" si="6"/>
        <v>2024-04</v>
      </c>
      <c r="U538" s="64" t="str">
        <f t="shared" si="7"/>
        <v>2024-H1</v>
      </c>
      <c r="V538" s="9" t="str">
        <f>VLOOKUP(B538,Bounties!A:E,2,FALSE)</f>
        <v>Moderation Team Bounty</v>
      </c>
    </row>
    <row r="539" hidden="1">
      <c r="A539" s="67">
        <f>HYPERLINK("https://polkadot.subsquare.io/treasury/child-bounties/864", 864)</f>
        <v>864</v>
      </c>
      <c r="B539" s="1">
        <v>24.0</v>
      </c>
      <c r="C539" s="1" t="s">
        <v>2414</v>
      </c>
      <c r="D539" s="1" t="s">
        <v>478</v>
      </c>
      <c r="E539" s="5">
        <v>147.07</v>
      </c>
      <c r="F539" s="4">
        <v>1411.3183219337463</v>
      </c>
      <c r="G539" s="1" t="s">
        <v>2524</v>
      </c>
      <c r="H539" s="95">
        <v>45378.0</v>
      </c>
      <c r="I539" s="95">
        <v>45396.0</v>
      </c>
      <c r="J539" s="4">
        <v>967.6657483386992</v>
      </c>
      <c r="K539" s="1"/>
      <c r="L539" s="1"/>
      <c r="M539" s="1" t="str">
        <f>VLOOKUP(B539,Bounties!A:D,3,FALSE)</f>
        <v>Outreach</v>
      </c>
      <c r="N539" s="1" t="str">
        <f>VLOOKUP(B539,Bounties!A:D,4,FALSE)</f>
        <v>Community Building</v>
      </c>
      <c r="O539" s="1" t="str">
        <f t="shared" ref="O539:P539" si="543">IF(ISBLANK(K539),M539,K539)</f>
        <v>Outreach</v>
      </c>
      <c r="P539" s="1" t="str">
        <f t="shared" si="543"/>
        <v>Community Building</v>
      </c>
      <c r="Q539" s="61" t="str">
        <f t="shared" si="3"/>
        <v>2024</v>
      </c>
      <c r="R539" s="62">
        <f t="shared" si="4"/>
        <v>4</v>
      </c>
      <c r="S539" s="61" t="str">
        <f t="shared" si="5"/>
        <v>2024-Q2</v>
      </c>
      <c r="T539" s="63" t="str">
        <f t="shared" si="6"/>
        <v>2024-04</v>
      </c>
      <c r="U539" s="64" t="str">
        <f t="shared" si="7"/>
        <v>2024-H1</v>
      </c>
      <c r="V539" s="9" t="str">
        <f>VLOOKUP(B539,Bounties!A:E,2,FALSE)</f>
        <v>Moderation Team Bounty</v>
      </c>
    </row>
    <row r="540" hidden="1">
      <c r="A540" s="67">
        <f>HYPERLINK("https://polkadot.subsquare.io/treasury/child-bounties/863", 863)</f>
        <v>863</v>
      </c>
      <c r="B540" s="1">
        <v>24.0</v>
      </c>
      <c r="C540" s="1" t="s">
        <v>2414</v>
      </c>
      <c r="D540" s="1" t="s">
        <v>477</v>
      </c>
      <c r="E540" s="5">
        <v>147.07</v>
      </c>
      <c r="F540" s="4">
        <v>1411.3183219337463</v>
      </c>
      <c r="G540" s="1" t="s">
        <v>2497</v>
      </c>
      <c r="H540" s="95">
        <v>45378.0</v>
      </c>
      <c r="I540" s="95">
        <v>45390.0</v>
      </c>
      <c r="J540" s="4">
        <v>1238.167835292816</v>
      </c>
      <c r="K540" s="1"/>
      <c r="L540" s="1"/>
      <c r="M540" s="1" t="str">
        <f>VLOOKUP(B540,Bounties!A:D,3,FALSE)</f>
        <v>Outreach</v>
      </c>
      <c r="N540" s="1" t="str">
        <f>VLOOKUP(B540,Bounties!A:D,4,FALSE)</f>
        <v>Community Building</v>
      </c>
      <c r="O540" s="1" t="str">
        <f t="shared" ref="O540:P540" si="544">IF(ISBLANK(K540),M540,K540)</f>
        <v>Outreach</v>
      </c>
      <c r="P540" s="1" t="str">
        <f t="shared" si="544"/>
        <v>Community Building</v>
      </c>
      <c r="Q540" s="61" t="str">
        <f t="shared" si="3"/>
        <v>2024</v>
      </c>
      <c r="R540" s="62">
        <f t="shared" si="4"/>
        <v>4</v>
      </c>
      <c r="S540" s="61" t="str">
        <f t="shared" si="5"/>
        <v>2024-Q2</v>
      </c>
      <c r="T540" s="63" t="str">
        <f t="shared" si="6"/>
        <v>2024-04</v>
      </c>
      <c r="U540" s="64" t="str">
        <f t="shared" si="7"/>
        <v>2024-H1</v>
      </c>
      <c r="V540" s="9" t="str">
        <f>VLOOKUP(B540,Bounties!A:E,2,FALSE)</f>
        <v>Moderation Team Bounty</v>
      </c>
    </row>
    <row r="541" hidden="1">
      <c r="A541" s="67">
        <f>HYPERLINK("https://polkadot.subsquare.io/treasury/child-bounties/862", 862)</f>
        <v>862</v>
      </c>
      <c r="B541" s="1">
        <v>24.0</v>
      </c>
      <c r="C541" s="1" t="s">
        <v>2414</v>
      </c>
      <c r="D541" s="1" t="s">
        <v>476</v>
      </c>
      <c r="E541" s="5">
        <v>161.26</v>
      </c>
      <c r="F541" s="4">
        <v>1547.488900489807</v>
      </c>
      <c r="G541" s="1" t="s">
        <v>2433</v>
      </c>
      <c r="H541" s="95">
        <v>45378.0</v>
      </c>
      <c r="I541" s="95">
        <v>45387.0</v>
      </c>
      <c r="J541" s="4">
        <v>1458.5401177597046</v>
      </c>
      <c r="K541" s="1"/>
      <c r="L541" s="1"/>
      <c r="M541" s="1" t="str">
        <f>VLOOKUP(B541,Bounties!A:D,3,FALSE)</f>
        <v>Outreach</v>
      </c>
      <c r="N541" s="1" t="str">
        <f>VLOOKUP(B541,Bounties!A:D,4,FALSE)</f>
        <v>Community Building</v>
      </c>
      <c r="O541" s="1" t="str">
        <f t="shared" ref="O541:P541" si="545">IF(ISBLANK(K541),M541,K541)</f>
        <v>Outreach</v>
      </c>
      <c r="P541" s="1" t="str">
        <f t="shared" si="545"/>
        <v>Community Building</v>
      </c>
      <c r="Q541" s="61" t="str">
        <f t="shared" si="3"/>
        <v>2024</v>
      </c>
      <c r="R541" s="62">
        <f t="shared" si="4"/>
        <v>4</v>
      </c>
      <c r="S541" s="61" t="str">
        <f t="shared" si="5"/>
        <v>2024-Q2</v>
      </c>
      <c r="T541" s="63" t="str">
        <f t="shared" si="6"/>
        <v>2024-04</v>
      </c>
      <c r="U541" s="64" t="str">
        <f t="shared" si="7"/>
        <v>2024-H1</v>
      </c>
      <c r="V541" s="9" t="str">
        <f>VLOOKUP(B541,Bounties!A:E,2,FALSE)</f>
        <v>Moderation Team Bounty</v>
      </c>
    </row>
    <row r="542" hidden="1">
      <c r="A542" s="67">
        <f>HYPERLINK("https://polkadot.subsquare.io/treasury/child-bounties/861", 861)</f>
        <v>861</v>
      </c>
      <c r="B542" s="1">
        <v>24.0</v>
      </c>
      <c r="C542" s="1" t="s">
        <v>2414</v>
      </c>
      <c r="D542" s="1" t="s">
        <v>475</v>
      </c>
      <c r="E542" s="5">
        <v>147.07</v>
      </c>
      <c r="F542" s="4">
        <v>1411.3183219337463</v>
      </c>
      <c r="G542" s="1" t="s">
        <v>2438</v>
      </c>
      <c r="H542" s="95">
        <v>45378.0</v>
      </c>
      <c r="I542" s="95">
        <v>45387.0</v>
      </c>
      <c r="J542" s="4">
        <v>1330.1965466880797</v>
      </c>
      <c r="K542" s="1"/>
      <c r="L542" s="1"/>
      <c r="M542" s="1" t="str">
        <f>VLOOKUP(B542,Bounties!A:D,3,FALSE)</f>
        <v>Outreach</v>
      </c>
      <c r="N542" s="1" t="str">
        <f>VLOOKUP(B542,Bounties!A:D,4,FALSE)</f>
        <v>Community Building</v>
      </c>
      <c r="O542" s="1" t="str">
        <f t="shared" ref="O542:P542" si="546">IF(ISBLANK(K542),M542,K542)</f>
        <v>Outreach</v>
      </c>
      <c r="P542" s="1" t="str">
        <f t="shared" si="546"/>
        <v>Community Building</v>
      </c>
      <c r="Q542" s="61" t="str">
        <f t="shared" si="3"/>
        <v>2024</v>
      </c>
      <c r="R542" s="62">
        <f t="shared" si="4"/>
        <v>4</v>
      </c>
      <c r="S542" s="61" t="str">
        <f t="shared" si="5"/>
        <v>2024-Q2</v>
      </c>
      <c r="T542" s="63" t="str">
        <f t="shared" si="6"/>
        <v>2024-04</v>
      </c>
      <c r="U542" s="64" t="str">
        <f t="shared" si="7"/>
        <v>2024-H1</v>
      </c>
      <c r="V542" s="9" t="str">
        <f>VLOOKUP(B542,Bounties!A:E,2,FALSE)</f>
        <v>Moderation Team Bounty</v>
      </c>
    </row>
    <row r="543" hidden="1">
      <c r="A543" s="67">
        <f>HYPERLINK("https://polkadot.subsquare.io/treasury/child-bounties/860", 860)</f>
        <v>860</v>
      </c>
      <c r="B543" s="1">
        <v>24.0</v>
      </c>
      <c r="C543" s="1" t="s">
        <v>2508</v>
      </c>
      <c r="D543" s="1" t="s">
        <v>2640</v>
      </c>
      <c r="E543" s="5">
        <v>161.26</v>
      </c>
      <c r="F543" s="4">
        <v>1547.488900489807</v>
      </c>
      <c r="G543" s="1"/>
      <c r="H543" s="95">
        <v>45378.0</v>
      </c>
      <c r="I543" s="95">
        <v>45379.0</v>
      </c>
      <c r="J543" s="4">
        <v>1554.9698379135132</v>
      </c>
      <c r="K543" s="1"/>
      <c r="L543" s="1"/>
      <c r="M543" s="1" t="str">
        <f>VLOOKUP(B543,Bounties!A:D,3,FALSE)</f>
        <v>Outreach</v>
      </c>
      <c r="N543" s="1" t="str">
        <f>VLOOKUP(B543,Bounties!A:D,4,FALSE)</f>
        <v>Community Building</v>
      </c>
      <c r="O543" s="1" t="str">
        <f t="shared" ref="O543:P543" si="547">IF(ISBLANK(K543),M543,K543)</f>
        <v>Outreach</v>
      </c>
      <c r="P543" s="1" t="str">
        <f t="shared" si="547"/>
        <v>Community Building</v>
      </c>
      <c r="Q543" s="61" t="str">
        <f t="shared" si="3"/>
        <v>2024</v>
      </c>
      <c r="R543" s="62">
        <f t="shared" si="4"/>
        <v>3</v>
      </c>
      <c r="S543" s="61" t="str">
        <f t="shared" si="5"/>
        <v>2024-Q1</v>
      </c>
      <c r="T543" s="63" t="str">
        <f t="shared" si="6"/>
        <v>2024-03</v>
      </c>
      <c r="U543" s="64" t="str">
        <f t="shared" si="7"/>
        <v>2024-H1</v>
      </c>
      <c r="V543" s="9" t="str">
        <f>VLOOKUP(B543,Bounties!A:E,2,FALSE)</f>
        <v>Moderation Team Bounty</v>
      </c>
    </row>
    <row r="544" hidden="1">
      <c r="A544" s="67">
        <f>HYPERLINK("https://polkadot.subsquare.io/treasury/child-bounties/859", 859)</f>
        <v>859</v>
      </c>
      <c r="B544" s="1">
        <v>24.0</v>
      </c>
      <c r="C544" s="1" t="s">
        <v>2414</v>
      </c>
      <c r="D544" s="1" t="s">
        <v>474</v>
      </c>
      <c r="E544" s="5">
        <v>147.0742</v>
      </c>
      <c r="F544" s="4">
        <v>1411.3586261219023</v>
      </c>
      <c r="G544" s="1" t="s">
        <v>2463</v>
      </c>
      <c r="H544" s="95">
        <v>45377.0</v>
      </c>
      <c r="I544" s="95">
        <v>45396.0</v>
      </c>
      <c r="J544" s="4">
        <v>985.4040548617362</v>
      </c>
      <c r="K544" s="1"/>
      <c r="L544" s="1"/>
      <c r="M544" s="1" t="str">
        <f>VLOOKUP(B544,Bounties!A:D,3,FALSE)</f>
        <v>Outreach</v>
      </c>
      <c r="N544" s="1" t="str">
        <f>VLOOKUP(B544,Bounties!A:D,4,FALSE)</f>
        <v>Community Building</v>
      </c>
      <c r="O544" s="1" t="str">
        <f t="shared" ref="O544:P544" si="548">IF(ISBLANK(K544),M544,K544)</f>
        <v>Outreach</v>
      </c>
      <c r="P544" s="1" t="str">
        <f t="shared" si="548"/>
        <v>Community Building</v>
      </c>
      <c r="Q544" s="61" t="str">
        <f t="shared" si="3"/>
        <v>2024</v>
      </c>
      <c r="R544" s="62">
        <f t="shared" si="4"/>
        <v>4</v>
      </c>
      <c r="S544" s="61" t="str">
        <f t="shared" si="5"/>
        <v>2024-Q2</v>
      </c>
      <c r="T544" s="63" t="str">
        <f t="shared" si="6"/>
        <v>2024-04</v>
      </c>
      <c r="U544" s="64" t="str">
        <f t="shared" si="7"/>
        <v>2024-H1</v>
      </c>
      <c r="V544" s="9" t="str">
        <f>VLOOKUP(B544,Bounties!A:E,2,FALSE)</f>
        <v>Moderation Team Bounty</v>
      </c>
    </row>
    <row r="545" hidden="1">
      <c r="A545" s="67">
        <f>HYPERLINK("https://polkadot.subsquare.io/treasury/child-bounties/858", 858)</f>
        <v>858</v>
      </c>
      <c r="B545" s="1">
        <v>24.0</v>
      </c>
      <c r="C545" s="1" t="s">
        <v>2414</v>
      </c>
      <c r="D545" s="1" t="s">
        <v>473</v>
      </c>
      <c r="E545" s="5">
        <v>173.3375</v>
      </c>
      <c r="F545" s="4">
        <v>1663.387432026863</v>
      </c>
      <c r="G545" s="1" t="s">
        <v>2549</v>
      </c>
      <c r="H545" s="95">
        <v>45377.0</v>
      </c>
      <c r="I545" s="95">
        <v>45387.0</v>
      </c>
      <c r="J545" s="4">
        <v>1567.776867556572</v>
      </c>
      <c r="K545" s="1"/>
      <c r="L545" s="1"/>
      <c r="M545" s="1" t="str">
        <f>VLOOKUP(B545,Bounties!A:D,3,FALSE)</f>
        <v>Outreach</v>
      </c>
      <c r="N545" s="1" t="str">
        <f>VLOOKUP(B545,Bounties!A:D,4,FALSE)</f>
        <v>Community Building</v>
      </c>
      <c r="O545" s="1" t="str">
        <f t="shared" ref="O545:P545" si="549">IF(ISBLANK(K545),M545,K545)</f>
        <v>Outreach</v>
      </c>
      <c r="P545" s="1" t="str">
        <f t="shared" si="549"/>
        <v>Community Building</v>
      </c>
      <c r="Q545" s="61" t="str">
        <f t="shared" si="3"/>
        <v>2024</v>
      </c>
      <c r="R545" s="62">
        <f t="shared" si="4"/>
        <v>4</v>
      </c>
      <c r="S545" s="61" t="str">
        <f t="shared" si="5"/>
        <v>2024-Q2</v>
      </c>
      <c r="T545" s="63" t="str">
        <f t="shared" si="6"/>
        <v>2024-04</v>
      </c>
      <c r="U545" s="64" t="str">
        <f t="shared" si="7"/>
        <v>2024-H1</v>
      </c>
      <c r="V545" s="9" t="str">
        <f>VLOOKUP(B545,Bounties!A:E,2,FALSE)</f>
        <v>Moderation Team Bounty</v>
      </c>
    </row>
    <row r="546" hidden="1">
      <c r="A546" s="67">
        <f>HYPERLINK("https://polkadot.subsquare.io/treasury/child-bounties/857", 857)</f>
        <v>857</v>
      </c>
      <c r="B546" s="1">
        <v>24.0</v>
      </c>
      <c r="C546" s="1" t="s">
        <v>2414</v>
      </c>
      <c r="D546" s="1" t="s">
        <v>472</v>
      </c>
      <c r="E546" s="5">
        <v>147.0742</v>
      </c>
      <c r="F546" s="4">
        <v>1411.3586261219023</v>
      </c>
      <c r="G546" s="1" t="s">
        <v>2550</v>
      </c>
      <c r="H546" s="95">
        <v>45377.0</v>
      </c>
      <c r="I546" s="95">
        <v>45386.0</v>
      </c>
      <c r="J546" s="4">
        <v>1249.275669631958</v>
      </c>
      <c r="K546" s="1"/>
      <c r="L546" s="1"/>
      <c r="M546" s="1" t="str">
        <f>VLOOKUP(B546,Bounties!A:D,3,FALSE)</f>
        <v>Outreach</v>
      </c>
      <c r="N546" s="1" t="str">
        <f>VLOOKUP(B546,Bounties!A:D,4,FALSE)</f>
        <v>Community Building</v>
      </c>
      <c r="O546" s="1" t="str">
        <f t="shared" ref="O546:P546" si="550">IF(ISBLANK(K546),M546,K546)</f>
        <v>Outreach</v>
      </c>
      <c r="P546" s="1" t="str">
        <f t="shared" si="550"/>
        <v>Community Building</v>
      </c>
      <c r="Q546" s="61" t="str">
        <f t="shared" si="3"/>
        <v>2024</v>
      </c>
      <c r="R546" s="62">
        <f t="shared" si="4"/>
        <v>4</v>
      </c>
      <c r="S546" s="61" t="str">
        <f t="shared" si="5"/>
        <v>2024-Q2</v>
      </c>
      <c r="T546" s="63" t="str">
        <f t="shared" si="6"/>
        <v>2024-04</v>
      </c>
      <c r="U546" s="64" t="str">
        <f t="shared" si="7"/>
        <v>2024-H1</v>
      </c>
      <c r="V546" s="9" t="str">
        <f>VLOOKUP(B546,Bounties!A:E,2,FALSE)</f>
        <v>Moderation Team Bounty</v>
      </c>
    </row>
    <row r="547" hidden="1">
      <c r="A547" s="67">
        <f>HYPERLINK("https://polkadot.subsquare.io/treasury/child-bounties/856", 856)</f>
        <v>856</v>
      </c>
      <c r="B547" s="1">
        <v>24.0</v>
      </c>
      <c r="C547" s="1" t="s">
        <v>2414</v>
      </c>
      <c r="D547" s="1" t="s">
        <v>471</v>
      </c>
      <c r="E547" s="5">
        <v>147.0742</v>
      </c>
      <c r="F547" s="4">
        <v>1411.3586261219023</v>
      </c>
      <c r="G547" s="1" t="s">
        <v>2551</v>
      </c>
      <c r="H547" s="95">
        <v>45377.0</v>
      </c>
      <c r="I547" s="95">
        <v>45385.0</v>
      </c>
      <c r="J547" s="4">
        <v>1249.275669631958</v>
      </c>
      <c r="K547" s="1"/>
      <c r="L547" s="1"/>
      <c r="M547" s="1" t="str">
        <f>VLOOKUP(B547,Bounties!A:D,3,FALSE)</f>
        <v>Outreach</v>
      </c>
      <c r="N547" s="1" t="str">
        <f>VLOOKUP(B547,Bounties!A:D,4,FALSE)</f>
        <v>Community Building</v>
      </c>
      <c r="O547" s="1" t="str">
        <f t="shared" ref="O547:P547" si="551">IF(ISBLANK(K547),M547,K547)</f>
        <v>Outreach</v>
      </c>
      <c r="P547" s="1" t="str">
        <f t="shared" si="551"/>
        <v>Community Building</v>
      </c>
      <c r="Q547" s="61" t="str">
        <f t="shared" si="3"/>
        <v>2024</v>
      </c>
      <c r="R547" s="62">
        <f t="shared" si="4"/>
        <v>4</v>
      </c>
      <c r="S547" s="61" t="str">
        <f t="shared" si="5"/>
        <v>2024-Q2</v>
      </c>
      <c r="T547" s="63" t="str">
        <f t="shared" si="6"/>
        <v>2024-04</v>
      </c>
      <c r="U547" s="64" t="str">
        <f t="shared" si="7"/>
        <v>2024-H1</v>
      </c>
      <c r="V547" s="9" t="str">
        <f>VLOOKUP(B547,Bounties!A:E,2,FALSE)</f>
        <v>Moderation Team Bounty</v>
      </c>
    </row>
    <row r="548" hidden="1">
      <c r="A548" s="67">
        <f>HYPERLINK("https://polkadot.subsquare.io/treasury/child-bounties/855", 855)</f>
        <v>855</v>
      </c>
      <c r="B548" s="1">
        <v>24.0</v>
      </c>
      <c r="C548" s="1" t="s">
        <v>2414</v>
      </c>
      <c r="D548" s="1" t="s">
        <v>470</v>
      </c>
      <c r="E548" s="5">
        <v>161.2564</v>
      </c>
      <c r="F548" s="4">
        <v>1547.4543540428162</v>
      </c>
      <c r="G548" s="1" t="s">
        <v>2534</v>
      </c>
      <c r="H548" s="95">
        <v>45377.0</v>
      </c>
      <c r="I548" s="95">
        <v>45386.0</v>
      </c>
      <c r="J548" s="4">
        <v>1369.741920013428</v>
      </c>
      <c r="K548" s="1"/>
      <c r="L548" s="1"/>
      <c r="M548" s="1" t="str">
        <f>VLOOKUP(B548,Bounties!A:D,3,FALSE)</f>
        <v>Outreach</v>
      </c>
      <c r="N548" s="1" t="str">
        <f>VLOOKUP(B548,Bounties!A:D,4,FALSE)</f>
        <v>Community Building</v>
      </c>
      <c r="O548" s="1" t="str">
        <f t="shared" ref="O548:P548" si="552">IF(ISBLANK(K548),M548,K548)</f>
        <v>Outreach</v>
      </c>
      <c r="P548" s="1" t="str">
        <f t="shared" si="552"/>
        <v>Community Building</v>
      </c>
      <c r="Q548" s="61" t="str">
        <f t="shared" si="3"/>
        <v>2024</v>
      </c>
      <c r="R548" s="62">
        <f t="shared" si="4"/>
        <v>4</v>
      </c>
      <c r="S548" s="61" t="str">
        <f t="shared" si="5"/>
        <v>2024-Q2</v>
      </c>
      <c r="T548" s="63" t="str">
        <f t="shared" si="6"/>
        <v>2024-04</v>
      </c>
      <c r="U548" s="64" t="str">
        <f t="shared" si="7"/>
        <v>2024-H1</v>
      </c>
      <c r="V548" s="9" t="str">
        <f>VLOOKUP(B548,Bounties!A:E,2,FALSE)</f>
        <v>Moderation Team Bounty</v>
      </c>
    </row>
    <row r="549" hidden="1">
      <c r="A549" s="67">
        <f>HYPERLINK("https://polkadot.subsquare.io/treasury/child-bounties/854", 854)</f>
        <v>854</v>
      </c>
      <c r="B549" s="1">
        <v>33.0</v>
      </c>
      <c r="C549" s="1" t="s">
        <v>2414</v>
      </c>
      <c r="D549" s="1" t="s">
        <v>469</v>
      </c>
      <c r="E549" s="5">
        <v>38028.0</v>
      </c>
      <c r="F549" s="4">
        <v>361904.142288208</v>
      </c>
      <c r="G549" s="1" t="s">
        <v>2577</v>
      </c>
      <c r="H549" s="95">
        <v>45377.0</v>
      </c>
      <c r="I549" s="95">
        <v>45387.0</v>
      </c>
      <c r="J549" s="4">
        <v>331099.3791503906</v>
      </c>
      <c r="K549" s="1" t="s">
        <v>81</v>
      </c>
      <c r="L549" s="1" t="s">
        <v>84</v>
      </c>
      <c r="M549" s="1" t="str">
        <f>VLOOKUP(B549,Bounties!A:D,3,FALSE)</f>
        <v>Outreach</v>
      </c>
      <c r="N549" s="1" t="str">
        <f>VLOOKUP(B549,Bounties!A:D,4,FALSE)</f>
        <v>Advertising</v>
      </c>
      <c r="O549" s="1" t="str">
        <f t="shared" ref="O549:P549" si="553">IF(ISBLANK(K549),M549,K549)</f>
        <v>Outreach</v>
      </c>
      <c r="P549" s="1" t="str">
        <f t="shared" si="553"/>
        <v>Advertising/Influencers</v>
      </c>
      <c r="Q549" s="61" t="str">
        <f t="shared" si="3"/>
        <v>2024</v>
      </c>
      <c r="R549" s="62">
        <f t="shared" si="4"/>
        <v>4</v>
      </c>
      <c r="S549" s="61" t="str">
        <f t="shared" si="5"/>
        <v>2024-Q2</v>
      </c>
      <c r="T549" s="63" t="str">
        <f t="shared" si="6"/>
        <v>2024-04</v>
      </c>
      <c r="U549" s="64" t="str">
        <f t="shared" si="7"/>
        <v>2024-H1</v>
      </c>
      <c r="V549" s="9" t="str">
        <f>VLOOKUP(B549,Bounties!A:E,2,FALSE)</f>
        <v>Marketing Bounty</v>
      </c>
    </row>
    <row r="550" hidden="1">
      <c r="A550" s="67">
        <f>HYPERLINK("https://polkadot.subsquare.io/treasury/child-bounties/853", 853)</f>
        <v>853</v>
      </c>
      <c r="B550" s="1">
        <v>33.0</v>
      </c>
      <c r="C550" s="1" t="s">
        <v>2414</v>
      </c>
      <c r="D550" s="1" t="s">
        <v>468</v>
      </c>
      <c r="E550" s="5">
        <v>10493.0</v>
      </c>
      <c r="F550" s="4">
        <v>99859.58149337769</v>
      </c>
      <c r="G550" s="1" t="s">
        <v>2435</v>
      </c>
      <c r="H550" s="95">
        <v>45377.0</v>
      </c>
      <c r="I550" s="95">
        <v>45385.0</v>
      </c>
      <c r="J550" s="4">
        <v>89129.4979095459</v>
      </c>
      <c r="K550" s="1" t="s">
        <v>81</v>
      </c>
      <c r="L550" s="1" t="s">
        <v>84</v>
      </c>
      <c r="M550" s="1" t="str">
        <f>VLOOKUP(B550,Bounties!A:D,3,FALSE)</f>
        <v>Outreach</v>
      </c>
      <c r="N550" s="1" t="str">
        <f>VLOOKUP(B550,Bounties!A:D,4,FALSE)</f>
        <v>Advertising</v>
      </c>
      <c r="O550" s="1" t="str">
        <f t="shared" ref="O550:P550" si="554">IF(ISBLANK(K550),M550,K550)</f>
        <v>Outreach</v>
      </c>
      <c r="P550" s="1" t="str">
        <f t="shared" si="554"/>
        <v>Advertising/Influencers</v>
      </c>
      <c r="Q550" s="61" t="str">
        <f t="shared" si="3"/>
        <v>2024</v>
      </c>
      <c r="R550" s="62">
        <f t="shared" si="4"/>
        <v>4</v>
      </c>
      <c r="S550" s="61" t="str">
        <f t="shared" si="5"/>
        <v>2024-Q2</v>
      </c>
      <c r="T550" s="63" t="str">
        <f t="shared" si="6"/>
        <v>2024-04</v>
      </c>
      <c r="U550" s="64" t="str">
        <f t="shared" si="7"/>
        <v>2024-H1</v>
      </c>
      <c r="V550" s="9" t="str">
        <f>VLOOKUP(B550,Bounties!A:E,2,FALSE)</f>
        <v>Marketing Bounty</v>
      </c>
    </row>
    <row r="551" hidden="1">
      <c r="A551" s="67">
        <f>HYPERLINK("https://polkadot.subsquare.io/treasury/child-bounties/852", 852)</f>
        <v>852</v>
      </c>
      <c r="B551" s="1">
        <v>33.0</v>
      </c>
      <c r="C551" s="1" t="s">
        <v>2414</v>
      </c>
      <c r="D551" s="1" t="s">
        <v>467</v>
      </c>
      <c r="E551" s="5">
        <v>67438.67</v>
      </c>
      <c r="F551" s="4">
        <v>641799.043426094</v>
      </c>
      <c r="G551" s="1" t="s">
        <v>2554</v>
      </c>
      <c r="H551" s="95">
        <v>45377.0</v>
      </c>
      <c r="I551" s="95">
        <v>45385.0</v>
      </c>
      <c r="J551" s="4">
        <v>572836.6336402893</v>
      </c>
      <c r="K551" s="1" t="s">
        <v>81</v>
      </c>
      <c r="L551" s="1" t="s">
        <v>87</v>
      </c>
      <c r="M551" s="1" t="str">
        <f>VLOOKUP(B551,Bounties!A:D,3,FALSE)</f>
        <v>Outreach</v>
      </c>
      <c r="N551" s="1" t="str">
        <f>VLOOKUP(B551,Bounties!A:D,4,FALSE)</f>
        <v>Advertising</v>
      </c>
      <c r="O551" s="1" t="str">
        <f t="shared" ref="O551:P551" si="555">IF(ISBLANK(K551),M551,K551)</f>
        <v>Outreach</v>
      </c>
      <c r="P551" s="1" t="str">
        <f t="shared" si="555"/>
        <v>Advertising/Digital Ads</v>
      </c>
      <c r="Q551" s="61" t="str">
        <f t="shared" si="3"/>
        <v>2024</v>
      </c>
      <c r="R551" s="62">
        <f t="shared" si="4"/>
        <v>4</v>
      </c>
      <c r="S551" s="61" t="str">
        <f t="shared" si="5"/>
        <v>2024-Q2</v>
      </c>
      <c r="T551" s="63" t="str">
        <f t="shared" si="6"/>
        <v>2024-04</v>
      </c>
      <c r="U551" s="64" t="str">
        <f t="shared" si="7"/>
        <v>2024-H1</v>
      </c>
      <c r="V551" s="9" t="str">
        <f>VLOOKUP(B551,Bounties!A:E,2,FALSE)</f>
        <v>Marketing Bounty</v>
      </c>
    </row>
    <row r="552" hidden="1">
      <c r="A552" s="67">
        <f>HYPERLINK("https://polkadot.subsquare.io/treasury/child-bounties/851", 851)</f>
        <v>851</v>
      </c>
      <c r="B552" s="1">
        <v>33.0</v>
      </c>
      <c r="C552" s="1" t="s">
        <v>2414</v>
      </c>
      <c r="D552" s="1" t="s">
        <v>466</v>
      </c>
      <c r="E552" s="5">
        <v>22826.0</v>
      </c>
      <c r="F552" s="4">
        <v>217230.0397567749</v>
      </c>
      <c r="G552" s="1" t="s">
        <v>2641</v>
      </c>
      <c r="H552" s="95">
        <v>45377.0</v>
      </c>
      <c r="I552" s="95">
        <v>45385.0</v>
      </c>
      <c r="J552" s="4">
        <v>193888.29879760742</v>
      </c>
      <c r="K552" s="1" t="s">
        <v>81</v>
      </c>
      <c r="L552" s="1" t="s">
        <v>92</v>
      </c>
      <c r="M552" s="1" t="str">
        <f>VLOOKUP(B552,Bounties!A:D,3,FALSE)</f>
        <v>Outreach</v>
      </c>
      <c r="N552" s="1" t="str">
        <f>VLOOKUP(B552,Bounties!A:D,4,FALSE)</f>
        <v>Advertising</v>
      </c>
      <c r="O552" s="1" t="str">
        <f t="shared" ref="O552:P552" si="556">IF(ISBLANK(K552),M552,K552)</f>
        <v>Outreach</v>
      </c>
      <c r="P552" s="1" t="str">
        <f t="shared" si="556"/>
        <v>Advertising/Physical Ads</v>
      </c>
      <c r="Q552" s="61" t="str">
        <f t="shared" si="3"/>
        <v>2024</v>
      </c>
      <c r="R552" s="62">
        <f t="shared" si="4"/>
        <v>4</v>
      </c>
      <c r="S552" s="61" t="str">
        <f t="shared" si="5"/>
        <v>2024-Q2</v>
      </c>
      <c r="T552" s="63" t="str">
        <f t="shared" si="6"/>
        <v>2024-04</v>
      </c>
      <c r="U552" s="64" t="str">
        <f t="shared" si="7"/>
        <v>2024-H1</v>
      </c>
      <c r="V552" s="9" t="str">
        <f>VLOOKUP(B552,Bounties!A:E,2,FALSE)</f>
        <v>Marketing Bounty</v>
      </c>
    </row>
    <row r="553" hidden="1">
      <c r="A553" s="67">
        <f>HYPERLINK("https://polkadot.subsquare.io/treasury/child-bounties/850", 850)</f>
        <v>850</v>
      </c>
      <c r="B553" s="1">
        <v>17.0</v>
      </c>
      <c r="C553" s="1" t="s">
        <v>2414</v>
      </c>
      <c r="D553" s="1" t="s">
        <v>465</v>
      </c>
      <c r="E553" s="5">
        <v>699.6</v>
      </c>
      <c r="F553" s="4">
        <v>6131.545888137817</v>
      </c>
      <c r="G553" s="1" t="s">
        <v>2600</v>
      </c>
      <c r="H553" s="95">
        <v>45367.0</v>
      </c>
      <c r="I553" s="95">
        <v>45384.0</v>
      </c>
      <c r="J553" s="4">
        <v>5868.96904335022</v>
      </c>
      <c r="K553" s="1"/>
      <c r="L553" s="1"/>
      <c r="M553" s="1" t="str">
        <f>VLOOKUP(B553,Bounties!A:D,3,FALSE)</f>
        <v>Outreach</v>
      </c>
      <c r="N553" s="1" t="str">
        <f>VLOOKUP(B553,Bounties!A:D,4,FALSE)</f>
        <v>Events/Meetups</v>
      </c>
      <c r="O553" s="1" t="str">
        <f t="shared" ref="O553:P553" si="557">IF(ISBLANK(K553),M553,K553)</f>
        <v>Outreach</v>
      </c>
      <c r="P553" s="1" t="str">
        <f t="shared" si="557"/>
        <v>Events/Meetups</v>
      </c>
      <c r="Q553" s="61" t="str">
        <f t="shared" si="3"/>
        <v>2024</v>
      </c>
      <c r="R553" s="62">
        <f t="shared" si="4"/>
        <v>4</v>
      </c>
      <c r="S553" s="61" t="str">
        <f t="shared" si="5"/>
        <v>2024-Q2</v>
      </c>
      <c r="T553" s="63" t="str">
        <f t="shared" si="6"/>
        <v>2024-04</v>
      </c>
      <c r="U553" s="64" t="str">
        <f t="shared" si="7"/>
        <v>2024-H1</v>
      </c>
      <c r="V553" s="9" t="str">
        <f>VLOOKUP(B553,Bounties!A:E,2,FALSE)</f>
        <v>Events Bounty</v>
      </c>
    </row>
    <row r="554" hidden="1">
      <c r="A554" s="67">
        <f>HYPERLINK("https://polkadot.subsquare.io/treasury/child-bounties/849", 849)</f>
        <v>849</v>
      </c>
      <c r="B554" s="1">
        <v>17.0</v>
      </c>
      <c r="C554" s="1" t="s">
        <v>2414</v>
      </c>
      <c r="D554" s="1" t="s">
        <v>464</v>
      </c>
      <c r="E554" s="5">
        <v>18.7</v>
      </c>
      <c r="F554" s="4">
        <v>163.89352216720582</v>
      </c>
      <c r="G554" s="1" t="s">
        <v>2642</v>
      </c>
      <c r="H554" s="95">
        <v>45367.0</v>
      </c>
      <c r="I554" s="95">
        <v>45388.0</v>
      </c>
      <c r="J554" s="4">
        <v>169.134938621521</v>
      </c>
      <c r="K554" s="1"/>
      <c r="L554" s="1" t="s">
        <v>86</v>
      </c>
      <c r="M554" s="1" t="str">
        <f>VLOOKUP(B554,Bounties!A:D,3,FALSE)</f>
        <v>Outreach</v>
      </c>
      <c r="N554" s="1" t="str">
        <f>VLOOKUP(B554,Bounties!A:D,4,FALSE)</f>
        <v>Events/Meetups</v>
      </c>
      <c r="O554" s="1" t="str">
        <f t="shared" ref="O554:P554" si="558">IF(ISBLANK(K554),M554,K554)</f>
        <v>Outreach</v>
      </c>
      <c r="P554" s="1" t="str">
        <f t="shared" si="558"/>
        <v>Events/Conference Attendance &amp; Side Events</v>
      </c>
      <c r="Q554" s="61" t="str">
        <f t="shared" si="3"/>
        <v>2024</v>
      </c>
      <c r="R554" s="62">
        <f t="shared" si="4"/>
        <v>4</v>
      </c>
      <c r="S554" s="61" t="str">
        <f t="shared" si="5"/>
        <v>2024-Q2</v>
      </c>
      <c r="T554" s="63" t="str">
        <f t="shared" si="6"/>
        <v>2024-04</v>
      </c>
      <c r="U554" s="64" t="str">
        <f t="shared" si="7"/>
        <v>2024-H1</v>
      </c>
      <c r="V554" s="9" t="str">
        <f>VLOOKUP(B554,Bounties!A:E,2,FALSE)</f>
        <v>Events Bounty</v>
      </c>
    </row>
    <row r="555" hidden="1">
      <c r="A555" s="67">
        <f>HYPERLINK("https://polkadot.subsquare.io/treasury/child-bounties/848", 848)</f>
        <v>848</v>
      </c>
      <c r="B555" s="1">
        <v>17.0</v>
      </c>
      <c r="C555" s="1" t="s">
        <v>2414</v>
      </c>
      <c r="D555" s="1" t="s">
        <v>463</v>
      </c>
      <c r="E555" s="5">
        <v>135.3</v>
      </c>
      <c r="F555" s="4">
        <v>1185.8178368568422</v>
      </c>
      <c r="G555" s="1" t="s">
        <v>2643</v>
      </c>
      <c r="H555" s="95">
        <v>45367.0</v>
      </c>
      <c r="I555" s="95">
        <v>45385.0</v>
      </c>
      <c r="J555" s="4">
        <v>1149.2634201049805</v>
      </c>
      <c r="K555" s="1"/>
      <c r="L555" s="1"/>
      <c r="M555" s="1" t="str">
        <f>VLOOKUP(B555,Bounties!A:D,3,FALSE)</f>
        <v>Outreach</v>
      </c>
      <c r="N555" s="1" t="str">
        <f>VLOOKUP(B555,Bounties!A:D,4,FALSE)</f>
        <v>Events/Meetups</v>
      </c>
      <c r="O555" s="1" t="str">
        <f t="shared" ref="O555:P555" si="559">IF(ISBLANK(K555),M555,K555)</f>
        <v>Outreach</v>
      </c>
      <c r="P555" s="1" t="str">
        <f t="shared" si="559"/>
        <v>Events/Meetups</v>
      </c>
      <c r="Q555" s="61" t="str">
        <f t="shared" si="3"/>
        <v>2024</v>
      </c>
      <c r="R555" s="62">
        <f t="shared" si="4"/>
        <v>4</v>
      </c>
      <c r="S555" s="61" t="str">
        <f t="shared" si="5"/>
        <v>2024-Q2</v>
      </c>
      <c r="T555" s="63" t="str">
        <f t="shared" si="6"/>
        <v>2024-04</v>
      </c>
      <c r="U555" s="64" t="str">
        <f t="shared" si="7"/>
        <v>2024-H1</v>
      </c>
      <c r="V555" s="9" t="str">
        <f>VLOOKUP(B555,Bounties!A:E,2,FALSE)</f>
        <v>Events Bounty</v>
      </c>
    </row>
    <row r="556" hidden="1">
      <c r="A556" s="67">
        <f>HYPERLINK("https://polkadot.subsquare.io/treasury/child-bounties/847", 847)</f>
        <v>847</v>
      </c>
      <c r="B556" s="1">
        <v>17.0</v>
      </c>
      <c r="C556" s="1" t="s">
        <v>2414</v>
      </c>
      <c r="D556" s="1" t="s">
        <v>462</v>
      </c>
      <c r="E556" s="5">
        <v>289.7</v>
      </c>
      <c r="F556" s="4">
        <v>2539.034939670563</v>
      </c>
      <c r="G556" s="1" t="s">
        <v>2562</v>
      </c>
      <c r="H556" s="95">
        <v>45367.0</v>
      </c>
      <c r="I556" s="95">
        <v>45409.0</v>
      </c>
      <c r="J556" s="4">
        <v>1860.5223118305205</v>
      </c>
      <c r="K556" s="1"/>
      <c r="L556" s="1"/>
      <c r="M556" s="1" t="str">
        <f>VLOOKUP(B556,Bounties!A:D,3,FALSE)</f>
        <v>Outreach</v>
      </c>
      <c r="N556" s="1" t="str">
        <f>VLOOKUP(B556,Bounties!A:D,4,FALSE)</f>
        <v>Events/Meetups</v>
      </c>
      <c r="O556" s="1" t="str">
        <f t="shared" ref="O556:P556" si="560">IF(ISBLANK(K556),M556,K556)</f>
        <v>Outreach</v>
      </c>
      <c r="P556" s="1" t="str">
        <f t="shared" si="560"/>
        <v>Events/Meetups</v>
      </c>
      <c r="Q556" s="61" t="str">
        <f t="shared" si="3"/>
        <v>2024</v>
      </c>
      <c r="R556" s="62">
        <f t="shared" si="4"/>
        <v>4</v>
      </c>
      <c r="S556" s="61" t="str">
        <f t="shared" si="5"/>
        <v>2024-Q2</v>
      </c>
      <c r="T556" s="63" t="str">
        <f t="shared" si="6"/>
        <v>2024-04</v>
      </c>
      <c r="U556" s="64" t="str">
        <f t="shared" si="7"/>
        <v>2024-H1</v>
      </c>
      <c r="V556" s="9" t="str">
        <f>VLOOKUP(B556,Bounties!A:E,2,FALSE)</f>
        <v>Events Bounty</v>
      </c>
    </row>
    <row r="557" hidden="1">
      <c r="A557" s="67">
        <f>HYPERLINK("https://polkadot.subsquare.io/treasury/child-bounties/846", 846)</f>
        <v>846</v>
      </c>
      <c r="B557" s="1">
        <v>17.0</v>
      </c>
      <c r="C557" s="1" t="s">
        <v>2414</v>
      </c>
      <c r="D557" s="1" t="s">
        <v>461</v>
      </c>
      <c r="E557" s="5">
        <v>4854.9</v>
      </c>
      <c r="F557" s="4">
        <v>42550.08881120681</v>
      </c>
      <c r="G557" s="1" t="s">
        <v>2644</v>
      </c>
      <c r="H557" s="95">
        <v>45367.0</v>
      </c>
      <c r="I557" s="95">
        <v>45389.0</v>
      </c>
      <c r="J557" s="4">
        <v>40872.924617958066</v>
      </c>
      <c r="K557" s="1"/>
      <c r="L557" s="1"/>
      <c r="M557" s="1" t="str">
        <f>VLOOKUP(B557,Bounties!A:D,3,FALSE)</f>
        <v>Outreach</v>
      </c>
      <c r="N557" s="1" t="str">
        <f>VLOOKUP(B557,Bounties!A:D,4,FALSE)</f>
        <v>Events/Meetups</v>
      </c>
      <c r="O557" s="1" t="str">
        <f t="shared" ref="O557:P557" si="561">IF(ISBLANK(K557),M557,K557)</f>
        <v>Outreach</v>
      </c>
      <c r="P557" s="1" t="str">
        <f t="shared" si="561"/>
        <v>Events/Meetups</v>
      </c>
      <c r="Q557" s="61" t="str">
        <f t="shared" si="3"/>
        <v>2024</v>
      </c>
      <c r="R557" s="62">
        <f t="shared" si="4"/>
        <v>4</v>
      </c>
      <c r="S557" s="61" t="str">
        <f t="shared" si="5"/>
        <v>2024-Q2</v>
      </c>
      <c r="T557" s="63" t="str">
        <f t="shared" si="6"/>
        <v>2024-04</v>
      </c>
      <c r="U557" s="64" t="str">
        <f t="shared" si="7"/>
        <v>2024-H1</v>
      </c>
      <c r="V557" s="9" t="str">
        <f>VLOOKUP(B557,Bounties!A:E,2,FALSE)</f>
        <v>Events Bounty</v>
      </c>
    </row>
    <row r="558" hidden="1">
      <c r="A558" s="67">
        <f>HYPERLINK("https://polkadot.subsquare.io/treasury/child-bounties/845", 845)</f>
        <v>845</v>
      </c>
      <c r="B558" s="1">
        <v>17.0</v>
      </c>
      <c r="C558" s="1" t="s">
        <v>2414</v>
      </c>
      <c r="D558" s="1" t="s">
        <v>460</v>
      </c>
      <c r="E558" s="5">
        <v>6865.6</v>
      </c>
      <c r="F558" s="4">
        <v>60172.58640594483</v>
      </c>
      <c r="G558" s="1" t="s">
        <v>2618</v>
      </c>
      <c r="H558" s="95">
        <v>45367.0</v>
      </c>
      <c r="I558" s="95">
        <v>45388.0</v>
      </c>
      <c r="J558" s="4">
        <v>59456.45506744385</v>
      </c>
      <c r="K558" s="1"/>
      <c r="L558" s="1" t="s">
        <v>86</v>
      </c>
      <c r="M558" s="1" t="str">
        <f>VLOOKUP(B558,Bounties!A:D,3,FALSE)</f>
        <v>Outreach</v>
      </c>
      <c r="N558" s="1" t="str">
        <f>VLOOKUP(B558,Bounties!A:D,4,FALSE)</f>
        <v>Events/Meetups</v>
      </c>
      <c r="O558" s="1" t="str">
        <f t="shared" ref="O558:P558" si="562">IF(ISBLANK(K558),M558,K558)</f>
        <v>Outreach</v>
      </c>
      <c r="P558" s="1" t="str">
        <f t="shared" si="562"/>
        <v>Events/Conference Attendance &amp; Side Events</v>
      </c>
      <c r="Q558" s="61" t="str">
        <f t="shared" si="3"/>
        <v>2024</v>
      </c>
      <c r="R558" s="62">
        <f t="shared" si="4"/>
        <v>4</v>
      </c>
      <c r="S558" s="61" t="str">
        <f t="shared" si="5"/>
        <v>2024-Q2</v>
      </c>
      <c r="T558" s="63" t="str">
        <f t="shared" si="6"/>
        <v>2024-04</v>
      </c>
      <c r="U558" s="64" t="str">
        <f t="shared" si="7"/>
        <v>2024-H1</v>
      </c>
      <c r="V558" s="9" t="str">
        <f>VLOOKUP(B558,Bounties!A:E,2,FALSE)</f>
        <v>Events Bounty</v>
      </c>
    </row>
    <row r="559" hidden="1">
      <c r="A559" s="67">
        <f>HYPERLINK("https://polkadot.subsquare.io/treasury/child-bounties/844", 844)</f>
        <v>844</v>
      </c>
      <c r="B559" s="1">
        <v>17.0</v>
      </c>
      <c r="C559" s="1" t="s">
        <v>2414</v>
      </c>
      <c r="D559" s="1" t="s">
        <v>459</v>
      </c>
      <c r="E559" s="5">
        <v>8722.9</v>
      </c>
      <c r="F559" s="4">
        <v>76450.6312573433</v>
      </c>
      <c r="G559" s="1" t="s">
        <v>2567</v>
      </c>
      <c r="H559" s="95">
        <v>45367.0</v>
      </c>
      <c r="I559" s="95">
        <v>45386.0</v>
      </c>
      <c r="J559" s="4">
        <v>75947.90087280273</v>
      </c>
      <c r="K559" s="1"/>
      <c r="L559" s="1" t="s">
        <v>86</v>
      </c>
      <c r="M559" s="1" t="str">
        <f>VLOOKUP(B559,Bounties!A:D,3,FALSE)</f>
        <v>Outreach</v>
      </c>
      <c r="N559" s="1" t="str">
        <f>VLOOKUP(B559,Bounties!A:D,4,FALSE)</f>
        <v>Events/Meetups</v>
      </c>
      <c r="O559" s="1" t="str">
        <f t="shared" ref="O559:P559" si="563">IF(ISBLANK(K559),M559,K559)</f>
        <v>Outreach</v>
      </c>
      <c r="P559" s="1" t="str">
        <f t="shared" si="563"/>
        <v>Events/Conference Attendance &amp; Side Events</v>
      </c>
      <c r="Q559" s="61" t="str">
        <f t="shared" si="3"/>
        <v>2024</v>
      </c>
      <c r="R559" s="62">
        <f t="shared" si="4"/>
        <v>4</v>
      </c>
      <c r="S559" s="61" t="str">
        <f t="shared" si="5"/>
        <v>2024-Q2</v>
      </c>
      <c r="T559" s="63" t="str">
        <f t="shared" si="6"/>
        <v>2024-04</v>
      </c>
      <c r="U559" s="64" t="str">
        <f t="shared" si="7"/>
        <v>2024-H1</v>
      </c>
      <c r="V559" s="9" t="str">
        <f>VLOOKUP(B559,Bounties!A:E,2,FALSE)</f>
        <v>Events Bounty</v>
      </c>
    </row>
    <row r="560" hidden="1">
      <c r="A560" s="67">
        <f>HYPERLINK("https://polkadot.subsquare.io/treasury/child-bounties/843", 843)</f>
        <v>843</v>
      </c>
      <c r="B560" s="1">
        <v>17.0</v>
      </c>
      <c r="C560" s="1" t="s">
        <v>2414</v>
      </c>
      <c r="D560" s="1" t="s">
        <v>458</v>
      </c>
      <c r="E560" s="5">
        <v>275.6</v>
      </c>
      <c r="F560" s="4">
        <v>2415.457471084595</v>
      </c>
      <c r="G560" s="1" t="s">
        <v>2601</v>
      </c>
      <c r="H560" s="95">
        <v>45367.0</v>
      </c>
      <c r="I560" s="95">
        <v>45384.0</v>
      </c>
      <c r="J560" s="4">
        <v>2312.0181079864506</v>
      </c>
      <c r="K560" s="1"/>
      <c r="L560" s="1" t="s">
        <v>86</v>
      </c>
      <c r="M560" s="1" t="str">
        <f>VLOOKUP(B560,Bounties!A:D,3,FALSE)</f>
        <v>Outreach</v>
      </c>
      <c r="N560" s="1" t="str">
        <f>VLOOKUP(B560,Bounties!A:D,4,FALSE)</f>
        <v>Events/Meetups</v>
      </c>
      <c r="O560" s="1" t="str">
        <f t="shared" ref="O560:P560" si="564">IF(ISBLANK(K560),M560,K560)</f>
        <v>Outreach</v>
      </c>
      <c r="P560" s="1" t="str">
        <f t="shared" si="564"/>
        <v>Events/Conference Attendance &amp; Side Events</v>
      </c>
      <c r="Q560" s="61" t="str">
        <f t="shared" si="3"/>
        <v>2024</v>
      </c>
      <c r="R560" s="62">
        <f t="shared" si="4"/>
        <v>4</v>
      </c>
      <c r="S560" s="61" t="str">
        <f t="shared" si="5"/>
        <v>2024-Q2</v>
      </c>
      <c r="T560" s="63" t="str">
        <f t="shared" si="6"/>
        <v>2024-04</v>
      </c>
      <c r="U560" s="64" t="str">
        <f t="shared" si="7"/>
        <v>2024-H1</v>
      </c>
      <c r="V560" s="9" t="str">
        <f>VLOOKUP(B560,Bounties!A:E,2,FALSE)</f>
        <v>Events Bounty</v>
      </c>
    </row>
    <row r="561" hidden="1">
      <c r="A561" s="67">
        <f>HYPERLINK("https://polkadot.subsquare.io/treasury/child-bounties/842", 842)</f>
        <v>842</v>
      </c>
      <c r="B561" s="1">
        <v>17.0</v>
      </c>
      <c r="C561" s="1" t="s">
        <v>2414</v>
      </c>
      <c r="D561" s="1" t="s">
        <v>457</v>
      </c>
      <c r="E561" s="5">
        <v>508.8</v>
      </c>
      <c r="F561" s="4">
        <v>4459.306100463868</v>
      </c>
      <c r="G561" s="1" t="s">
        <v>2607</v>
      </c>
      <c r="H561" s="95">
        <v>45367.0</v>
      </c>
      <c r="I561" s="95">
        <v>45387.0</v>
      </c>
      <c r="J561" s="4">
        <v>4601.917474365235</v>
      </c>
      <c r="K561" s="1"/>
      <c r="L561" s="1" t="s">
        <v>86</v>
      </c>
      <c r="M561" s="1" t="str">
        <f>VLOOKUP(B561,Bounties!A:D,3,FALSE)</f>
        <v>Outreach</v>
      </c>
      <c r="N561" s="1" t="str">
        <f>VLOOKUP(B561,Bounties!A:D,4,FALSE)</f>
        <v>Events/Meetups</v>
      </c>
      <c r="O561" s="1" t="str">
        <f t="shared" ref="O561:P561" si="565">IF(ISBLANK(K561),M561,K561)</f>
        <v>Outreach</v>
      </c>
      <c r="P561" s="1" t="str">
        <f t="shared" si="565"/>
        <v>Events/Conference Attendance &amp; Side Events</v>
      </c>
      <c r="Q561" s="61" t="str">
        <f t="shared" si="3"/>
        <v>2024</v>
      </c>
      <c r="R561" s="62">
        <f t="shared" si="4"/>
        <v>4</v>
      </c>
      <c r="S561" s="61" t="str">
        <f t="shared" si="5"/>
        <v>2024-Q2</v>
      </c>
      <c r="T561" s="63" t="str">
        <f t="shared" si="6"/>
        <v>2024-04</v>
      </c>
      <c r="U561" s="64" t="str">
        <f t="shared" si="7"/>
        <v>2024-H1</v>
      </c>
      <c r="V561" s="9" t="str">
        <f>VLOOKUP(B561,Bounties!A:E,2,FALSE)</f>
        <v>Events Bounty</v>
      </c>
    </row>
    <row r="562" hidden="1">
      <c r="A562" s="67">
        <f>HYPERLINK("https://polkadot.subsquare.io/treasury/child-bounties/841", 841)</f>
        <v>841</v>
      </c>
      <c r="B562" s="1">
        <v>33.0</v>
      </c>
      <c r="C562" s="1" t="s">
        <v>2414</v>
      </c>
      <c r="D562" s="1" t="s">
        <v>456</v>
      </c>
      <c r="E562" s="5">
        <v>33100.0</v>
      </c>
      <c r="F562" s="4">
        <v>327934.88121032715</v>
      </c>
      <c r="G562" s="1" t="s">
        <v>2554</v>
      </c>
      <c r="H562" s="95">
        <v>45366.0</v>
      </c>
      <c r="I562" s="95">
        <v>45375.0</v>
      </c>
      <c r="J562" s="4">
        <v>320758.0207824707</v>
      </c>
      <c r="K562" s="1" t="s">
        <v>81</v>
      </c>
      <c r="L562" s="1" t="s">
        <v>87</v>
      </c>
      <c r="M562" s="1" t="str">
        <f>VLOOKUP(B562,Bounties!A:D,3,FALSE)</f>
        <v>Outreach</v>
      </c>
      <c r="N562" s="1" t="str">
        <f>VLOOKUP(B562,Bounties!A:D,4,FALSE)</f>
        <v>Advertising</v>
      </c>
      <c r="O562" s="1" t="str">
        <f t="shared" ref="O562:P562" si="566">IF(ISBLANK(K562),M562,K562)</f>
        <v>Outreach</v>
      </c>
      <c r="P562" s="1" t="str">
        <f t="shared" si="566"/>
        <v>Advertising/Digital Ads</v>
      </c>
      <c r="Q562" s="61" t="str">
        <f t="shared" si="3"/>
        <v>2024</v>
      </c>
      <c r="R562" s="62">
        <f t="shared" si="4"/>
        <v>3</v>
      </c>
      <c r="S562" s="61" t="str">
        <f t="shared" si="5"/>
        <v>2024-Q1</v>
      </c>
      <c r="T562" s="63" t="str">
        <f t="shared" si="6"/>
        <v>2024-03</v>
      </c>
      <c r="U562" s="64" t="str">
        <f t="shared" si="7"/>
        <v>2024-H1</v>
      </c>
      <c r="V562" s="9" t="str">
        <f>VLOOKUP(B562,Bounties!A:E,2,FALSE)</f>
        <v>Marketing Bounty</v>
      </c>
    </row>
    <row r="563" hidden="1">
      <c r="A563" s="67">
        <f>HYPERLINK("https://polkadot.subsquare.io/treasury/child-bounties/840", 840)</f>
        <v>840</v>
      </c>
      <c r="B563" s="1">
        <v>33.0</v>
      </c>
      <c r="C563" s="1" t="s">
        <v>2508</v>
      </c>
      <c r="D563" s="1" t="s">
        <v>2645</v>
      </c>
      <c r="E563" s="5">
        <v>9310.98</v>
      </c>
      <c r="F563" s="4">
        <v>92247.58671455384</v>
      </c>
      <c r="G563" s="1"/>
      <c r="H563" s="95">
        <v>45366.0</v>
      </c>
      <c r="I563" s="95">
        <v>45377.0</v>
      </c>
      <c r="J563" s="4">
        <v>88610.55618919373</v>
      </c>
      <c r="K563" s="1"/>
      <c r="L563" s="2"/>
      <c r="M563" s="1" t="str">
        <f>VLOOKUP(B563,Bounties!A:D,3,FALSE)</f>
        <v>Outreach</v>
      </c>
      <c r="N563" s="1" t="str">
        <f>VLOOKUP(B563,Bounties!A:D,4,FALSE)</f>
        <v>Advertising</v>
      </c>
      <c r="O563" s="1" t="str">
        <f t="shared" ref="O563:P563" si="567">IF(ISBLANK(K563),M563,K563)</f>
        <v>Outreach</v>
      </c>
      <c r="P563" s="1" t="str">
        <f t="shared" si="567"/>
        <v>Advertising</v>
      </c>
      <c r="Q563" s="61" t="str">
        <f t="shared" si="3"/>
        <v>2024</v>
      </c>
      <c r="R563" s="62">
        <f t="shared" si="4"/>
        <v>3</v>
      </c>
      <c r="S563" s="61" t="str">
        <f t="shared" si="5"/>
        <v>2024-Q1</v>
      </c>
      <c r="T563" s="63" t="str">
        <f t="shared" si="6"/>
        <v>2024-03</v>
      </c>
      <c r="U563" s="64" t="str">
        <f t="shared" si="7"/>
        <v>2024-H1</v>
      </c>
      <c r="V563" s="9" t="str">
        <f>VLOOKUP(B563,Bounties!A:E,2,FALSE)</f>
        <v>Marketing Bounty</v>
      </c>
    </row>
    <row r="564" hidden="1">
      <c r="A564" s="67">
        <f>HYPERLINK("https://polkadot.subsquare.io/treasury/child-bounties/839", 839)</f>
        <v>839</v>
      </c>
      <c r="B564" s="1">
        <v>11.0</v>
      </c>
      <c r="C564" s="1" t="s">
        <v>2414</v>
      </c>
      <c r="D564" s="1" t="s">
        <v>455</v>
      </c>
      <c r="E564" s="5">
        <v>56.98</v>
      </c>
      <c r="F564" s="4">
        <v>552.5260681915283</v>
      </c>
      <c r="G564" s="1" t="s">
        <v>2533</v>
      </c>
      <c r="H564" s="95">
        <v>45365.0</v>
      </c>
      <c r="I564" s="95">
        <v>45378.0</v>
      </c>
      <c r="J564" s="4">
        <v>546.7934859848023</v>
      </c>
      <c r="K564" s="1"/>
      <c r="L564" s="1"/>
      <c r="M564" s="1" t="str">
        <f>VLOOKUP(B564,Bounties!A:D,3,FALSE)</f>
        <v>Research</v>
      </c>
      <c r="N564" s="1" t="str">
        <f>VLOOKUP(B564,Bounties!A:D,4,FALSE)</f>
        <v>Anti-Scam</v>
      </c>
      <c r="O564" s="1" t="str">
        <f t="shared" ref="O564:P564" si="568">IF(ISBLANK(K564),M564,K564)</f>
        <v>Research</v>
      </c>
      <c r="P564" s="1" t="str">
        <f t="shared" si="568"/>
        <v>Anti-Scam</v>
      </c>
      <c r="Q564" s="61" t="str">
        <f t="shared" si="3"/>
        <v>2024</v>
      </c>
      <c r="R564" s="62">
        <f t="shared" si="4"/>
        <v>3</v>
      </c>
      <c r="S564" s="61" t="str">
        <f t="shared" si="5"/>
        <v>2024-Q1</v>
      </c>
      <c r="T564" s="63" t="str">
        <f t="shared" si="6"/>
        <v>2024-03</v>
      </c>
      <c r="U564" s="64" t="str">
        <f t="shared" si="7"/>
        <v>2024-H1</v>
      </c>
      <c r="V564" s="9" t="str">
        <f>VLOOKUP(B564,Bounties!A:E,2,FALSE)</f>
        <v>Anti-Scam Bounty</v>
      </c>
    </row>
    <row r="565" hidden="1">
      <c r="A565" s="67">
        <f>HYPERLINK("https://polkadot.subsquare.io/treasury/child-bounties/838", 838)</f>
        <v>838</v>
      </c>
      <c r="B565" s="1">
        <v>11.0</v>
      </c>
      <c r="C565" s="1" t="s">
        <v>2414</v>
      </c>
      <c r="D565" s="1" t="s">
        <v>454</v>
      </c>
      <c r="E565" s="5">
        <v>28.49</v>
      </c>
      <c r="F565" s="4">
        <v>276.26303409576417</v>
      </c>
      <c r="G565" s="1" t="s">
        <v>2527</v>
      </c>
      <c r="H565" s="95">
        <v>45365.0</v>
      </c>
      <c r="I565" s="95">
        <v>45377.0</v>
      </c>
      <c r="J565" s="4">
        <v>271.1330865097046</v>
      </c>
      <c r="K565" s="1"/>
      <c r="L565" s="1"/>
      <c r="M565" s="1" t="str">
        <f>VLOOKUP(B565,Bounties!A:D,3,FALSE)</f>
        <v>Research</v>
      </c>
      <c r="N565" s="1" t="str">
        <f>VLOOKUP(B565,Bounties!A:D,4,FALSE)</f>
        <v>Anti-Scam</v>
      </c>
      <c r="O565" s="1" t="str">
        <f t="shared" ref="O565:P565" si="569">IF(ISBLANK(K565),M565,K565)</f>
        <v>Research</v>
      </c>
      <c r="P565" s="1" t="str">
        <f t="shared" si="569"/>
        <v>Anti-Scam</v>
      </c>
      <c r="Q565" s="61" t="str">
        <f t="shared" si="3"/>
        <v>2024</v>
      </c>
      <c r="R565" s="62">
        <f t="shared" si="4"/>
        <v>3</v>
      </c>
      <c r="S565" s="61" t="str">
        <f t="shared" si="5"/>
        <v>2024-Q1</v>
      </c>
      <c r="T565" s="63" t="str">
        <f t="shared" si="6"/>
        <v>2024-03</v>
      </c>
      <c r="U565" s="64" t="str">
        <f t="shared" si="7"/>
        <v>2024-H1</v>
      </c>
      <c r="V565" s="9" t="str">
        <f>VLOOKUP(B565,Bounties!A:E,2,FALSE)</f>
        <v>Anti-Scam Bounty</v>
      </c>
    </row>
    <row r="566" hidden="1">
      <c r="A566" s="67">
        <f>HYPERLINK("https://polkadot.subsquare.io/treasury/child-bounties/837", 837)</f>
        <v>837</v>
      </c>
      <c r="B566" s="1">
        <v>11.0</v>
      </c>
      <c r="C566" s="1" t="s">
        <v>2414</v>
      </c>
      <c r="D566" s="1" t="s">
        <v>453</v>
      </c>
      <c r="E566" s="5">
        <v>151.96</v>
      </c>
      <c r="F566" s="4">
        <v>1473.5321397399903</v>
      </c>
      <c r="G566" s="1" t="s">
        <v>2524</v>
      </c>
      <c r="H566" s="95">
        <v>45365.0</v>
      </c>
      <c r="I566" s="95">
        <v>45379.0</v>
      </c>
      <c r="J566" s="4">
        <v>1433.5506443023683</v>
      </c>
      <c r="K566" s="1"/>
      <c r="L566" s="1"/>
      <c r="M566" s="1" t="str">
        <f>VLOOKUP(B566,Bounties!A:D,3,FALSE)</f>
        <v>Research</v>
      </c>
      <c r="N566" s="1" t="str">
        <f>VLOOKUP(B566,Bounties!A:D,4,FALSE)</f>
        <v>Anti-Scam</v>
      </c>
      <c r="O566" s="1" t="str">
        <f t="shared" ref="O566:P566" si="570">IF(ISBLANK(K566),M566,K566)</f>
        <v>Research</v>
      </c>
      <c r="P566" s="1" t="str">
        <f t="shared" si="570"/>
        <v>Anti-Scam</v>
      </c>
      <c r="Q566" s="61" t="str">
        <f t="shared" si="3"/>
        <v>2024</v>
      </c>
      <c r="R566" s="62">
        <f t="shared" si="4"/>
        <v>3</v>
      </c>
      <c r="S566" s="61" t="str">
        <f t="shared" si="5"/>
        <v>2024-Q1</v>
      </c>
      <c r="T566" s="63" t="str">
        <f t="shared" si="6"/>
        <v>2024-03</v>
      </c>
      <c r="U566" s="64" t="str">
        <f t="shared" si="7"/>
        <v>2024-H1</v>
      </c>
      <c r="V566" s="9" t="str">
        <f>VLOOKUP(B566,Bounties!A:E,2,FALSE)</f>
        <v>Anti-Scam Bounty</v>
      </c>
    </row>
    <row r="567" hidden="1">
      <c r="A567" s="67">
        <f>HYPERLINK("https://polkadot.subsquare.io/treasury/child-bounties/836", 836)</f>
        <v>836</v>
      </c>
      <c r="B567" s="1">
        <v>11.0</v>
      </c>
      <c r="C567" s="1" t="s">
        <v>2414</v>
      </c>
      <c r="D567" s="1" t="s">
        <v>452</v>
      </c>
      <c r="E567" s="5">
        <v>75.98</v>
      </c>
      <c r="F567" s="4">
        <v>736.7660698699951</v>
      </c>
      <c r="G567" s="1" t="s">
        <v>2535</v>
      </c>
      <c r="H567" s="95">
        <v>45365.0</v>
      </c>
      <c r="I567" s="95">
        <v>45380.0</v>
      </c>
      <c r="J567" s="4">
        <v>732.646708946228</v>
      </c>
      <c r="K567" s="1"/>
      <c r="L567" s="1"/>
      <c r="M567" s="1" t="str">
        <f>VLOOKUP(B567,Bounties!A:D,3,FALSE)</f>
        <v>Research</v>
      </c>
      <c r="N567" s="1" t="str">
        <f>VLOOKUP(B567,Bounties!A:D,4,FALSE)</f>
        <v>Anti-Scam</v>
      </c>
      <c r="O567" s="1" t="str">
        <f t="shared" ref="O567:P567" si="571">IF(ISBLANK(K567),M567,K567)</f>
        <v>Research</v>
      </c>
      <c r="P567" s="1" t="str">
        <f t="shared" si="571"/>
        <v>Anti-Scam</v>
      </c>
      <c r="Q567" s="61" t="str">
        <f t="shared" si="3"/>
        <v>2024</v>
      </c>
      <c r="R567" s="62">
        <f t="shared" si="4"/>
        <v>3</v>
      </c>
      <c r="S567" s="61" t="str">
        <f t="shared" si="5"/>
        <v>2024-Q1</v>
      </c>
      <c r="T567" s="63" t="str">
        <f t="shared" si="6"/>
        <v>2024-03</v>
      </c>
      <c r="U567" s="64" t="str">
        <f t="shared" si="7"/>
        <v>2024-H1</v>
      </c>
      <c r="V567" s="9" t="str">
        <f>VLOOKUP(B567,Bounties!A:E,2,FALSE)</f>
        <v>Anti-Scam Bounty</v>
      </c>
    </row>
    <row r="568" hidden="1">
      <c r="A568" s="67">
        <f>HYPERLINK("https://polkadot.subsquare.io/treasury/child-bounties/835", 835)</f>
        <v>835</v>
      </c>
      <c r="B568" s="1">
        <v>11.0</v>
      </c>
      <c r="C568" s="1" t="s">
        <v>2414</v>
      </c>
      <c r="D568" s="1" t="s">
        <v>451</v>
      </c>
      <c r="E568" s="5">
        <v>112.07</v>
      </c>
      <c r="F568" s="4">
        <v>1086.725104637146</v>
      </c>
      <c r="G568" s="1" t="s">
        <v>2531</v>
      </c>
      <c r="H568" s="95">
        <v>45365.0</v>
      </c>
      <c r="I568" s="95">
        <v>45377.0</v>
      </c>
      <c r="J568" s="4">
        <v>1066.5456302261352</v>
      </c>
      <c r="K568" s="1"/>
      <c r="L568" s="1"/>
      <c r="M568" s="1" t="str">
        <f>VLOOKUP(B568,Bounties!A:D,3,FALSE)</f>
        <v>Research</v>
      </c>
      <c r="N568" s="1" t="str">
        <f>VLOOKUP(B568,Bounties!A:D,4,FALSE)</f>
        <v>Anti-Scam</v>
      </c>
      <c r="O568" s="1" t="str">
        <f t="shared" ref="O568:P568" si="572">IF(ISBLANK(K568),M568,K568)</f>
        <v>Research</v>
      </c>
      <c r="P568" s="1" t="str">
        <f t="shared" si="572"/>
        <v>Anti-Scam</v>
      </c>
      <c r="Q568" s="61" t="str">
        <f t="shared" si="3"/>
        <v>2024</v>
      </c>
      <c r="R568" s="62">
        <f t="shared" si="4"/>
        <v>3</v>
      </c>
      <c r="S568" s="61" t="str">
        <f t="shared" si="5"/>
        <v>2024-Q1</v>
      </c>
      <c r="T568" s="63" t="str">
        <f t="shared" si="6"/>
        <v>2024-03</v>
      </c>
      <c r="U568" s="64" t="str">
        <f t="shared" si="7"/>
        <v>2024-H1</v>
      </c>
      <c r="V568" s="9" t="str">
        <f>VLOOKUP(B568,Bounties!A:E,2,FALSE)</f>
        <v>Anti-Scam Bounty</v>
      </c>
    </row>
    <row r="569" hidden="1">
      <c r="A569" s="67">
        <f>HYPERLINK("https://polkadot.subsquare.io/treasury/child-bounties/834", 834)</f>
        <v>834</v>
      </c>
      <c r="B569" s="1">
        <v>32.0</v>
      </c>
      <c r="C569" s="1" t="s">
        <v>2414</v>
      </c>
      <c r="D569" s="1" t="s">
        <v>450</v>
      </c>
      <c r="E569" s="5">
        <v>7.7868168139</v>
      </c>
      <c r="F569" s="4">
        <v>85.9382456231322</v>
      </c>
      <c r="G569" s="1" t="s">
        <v>2437</v>
      </c>
      <c r="H569" s="95">
        <v>45359.0</v>
      </c>
      <c r="I569" s="95">
        <v>45367.0</v>
      </c>
      <c r="J569" s="4">
        <v>68.24646171662516</v>
      </c>
      <c r="K569" s="1"/>
      <c r="L569" s="1"/>
      <c r="M569" s="1" t="str">
        <f>VLOOKUP(B569,Bounties!A:D,3,FALSE)</f>
        <v>Operations</v>
      </c>
      <c r="N569" s="1" t="str">
        <f>VLOOKUP(B569,Bounties!A:D,4,FALSE)</f>
        <v>RPCs and Nodes</v>
      </c>
      <c r="O569" s="1" t="str">
        <f t="shared" ref="O569:P569" si="573">IF(ISBLANK(K569),M569,K569)</f>
        <v>Operations</v>
      </c>
      <c r="P569" s="1" t="str">
        <f t="shared" si="573"/>
        <v>RPCs and Nodes</v>
      </c>
      <c r="Q569" s="61" t="str">
        <f t="shared" si="3"/>
        <v>2024</v>
      </c>
      <c r="R569" s="62">
        <f t="shared" si="4"/>
        <v>3</v>
      </c>
      <c r="S569" s="61" t="str">
        <f t="shared" si="5"/>
        <v>2024-Q1</v>
      </c>
      <c r="T569" s="63" t="str">
        <f t="shared" si="6"/>
        <v>2024-03</v>
      </c>
      <c r="U569" s="64" t="str">
        <f t="shared" si="7"/>
        <v>2024-H1</v>
      </c>
      <c r="V569" s="9" t="str">
        <f>VLOOKUP(B569,Bounties!A:E,2,FALSE)</f>
        <v>System Parachains Collator Bounty</v>
      </c>
    </row>
    <row r="570" hidden="1">
      <c r="A570" s="67">
        <f>HYPERLINK("https://polkadot.subsquare.io/treasury/child-bounties/833", 833)</f>
        <v>833</v>
      </c>
      <c r="B570" s="1">
        <v>32.0</v>
      </c>
      <c r="C570" s="1" t="s">
        <v>2414</v>
      </c>
      <c r="D570" s="1" t="s">
        <v>449</v>
      </c>
      <c r="E570" s="5">
        <v>7.7868168139</v>
      </c>
      <c r="F570" s="4">
        <v>85.9382456231322</v>
      </c>
      <c r="G570" s="1" t="s">
        <v>2463</v>
      </c>
      <c r="H570" s="95">
        <v>45359.0</v>
      </c>
      <c r="I570" s="95">
        <v>45367.0</v>
      </c>
      <c r="J570" s="4">
        <v>68.24646171662516</v>
      </c>
      <c r="K570" s="1"/>
      <c r="L570" s="1"/>
      <c r="M570" s="1" t="str">
        <f>VLOOKUP(B570,Bounties!A:D,3,FALSE)</f>
        <v>Operations</v>
      </c>
      <c r="N570" s="1" t="str">
        <f>VLOOKUP(B570,Bounties!A:D,4,FALSE)</f>
        <v>RPCs and Nodes</v>
      </c>
      <c r="O570" s="1" t="str">
        <f t="shared" ref="O570:P570" si="574">IF(ISBLANK(K570),M570,K570)</f>
        <v>Operations</v>
      </c>
      <c r="P570" s="1" t="str">
        <f t="shared" si="574"/>
        <v>RPCs and Nodes</v>
      </c>
      <c r="Q570" s="61" t="str">
        <f t="shared" si="3"/>
        <v>2024</v>
      </c>
      <c r="R570" s="62">
        <f t="shared" si="4"/>
        <v>3</v>
      </c>
      <c r="S570" s="61" t="str">
        <f t="shared" si="5"/>
        <v>2024-Q1</v>
      </c>
      <c r="T570" s="63" t="str">
        <f t="shared" si="6"/>
        <v>2024-03</v>
      </c>
      <c r="U570" s="64" t="str">
        <f t="shared" si="7"/>
        <v>2024-H1</v>
      </c>
      <c r="V570" s="9" t="str">
        <f>VLOOKUP(B570,Bounties!A:E,2,FALSE)</f>
        <v>System Parachains Collator Bounty</v>
      </c>
    </row>
    <row r="571" hidden="1">
      <c r="A571" s="67">
        <f>HYPERLINK("https://polkadot.subsquare.io/treasury/child-bounties/832", 832)</f>
        <v>832</v>
      </c>
      <c r="B571" s="1">
        <v>32.0</v>
      </c>
      <c r="C571" s="1" t="s">
        <v>2414</v>
      </c>
      <c r="D571" s="1" t="s">
        <v>448</v>
      </c>
      <c r="E571" s="5">
        <v>7.7868168139</v>
      </c>
      <c r="F571" s="4">
        <v>85.9382456231322</v>
      </c>
      <c r="G571" s="1" t="s">
        <v>2438</v>
      </c>
      <c r="H571" s="95">
        <v>45359.0</v>
      </c>
      <c r="I571" s="95">
        <v>45367.0</v>
      </c>
      <c r="J571" s="4">
        <v>68.24646171662516</v>
      </c>
      <c r="K571" s="1"/>
      <c r="L571" s="1"/>
      <c r="M571" s="1" t="str">
        <f>VLOOKUP(B571,Bounties!A:D,3,FALSE)</f>
        <v>Operations</v>
      </c>
      <c r="N571" s="1" t="str">
        <f>VLOOKUP(B571,Bounties!A:D,4,FALSE)</f>
        <v>RPCs and Nodes</v>
      </c>
      <c r="O571" s="1" t="str">
        <f t="shared" ref="O571:P571" si="575">IF(ISBLANK(K571),M571,K571)</f>
        <v>Operations</v>
      </c>
      <c r="P571" s="1" t="str">
        <f t="shared" si="575"/>
        <v>RPCs and Nodes</v>
      </c>
      <c r="Q571" s="61" t="str">
        <f t="shared" si="3"/>
        <v>2024</v>
      </c>
      <c r="R571" s="62">
        <f t="shared" si="4"/>
        <v>3</v>
      </c>
      <c r="S571" s="61" t="str">
        <f t="shared" si="5"/>
        <v>2024-Q1</v>
      </c>
      <c r="T571" s="63" t="str">
        <f t="shared" si="6"/>
        <v>2024-03</v>
      </c>
      <c r="U571" s="64" t="str">
        <f t="shared" si="7"/>
        <v>2024-H1</v>
      </c>
      <c r="V571" s="9" t="str">
        <f>VLOOKUP(B571,Bounties!A:E,2,FALSE)</f>
        <v>System Parachains Collator Bounty</v>
      </c>
    </row>
    <row r="572" hidden="1">
      <c r="A572" s="67">
        <f>HYPERLINK("https://polkadot.subsquare.io/treasury/child-bounties/831", 831)</f>
        <v>831</v>
      </c>
      <c r="B572" s="1">
        <v>32.0</v>
      </c>
      <c r="C572" s="1" t="s">
        <v>2414</v>
      </c>
      <c r="D572" s="1" t="s">
        <v>447</v>
      </c>
      <c r="E572" s="5">
        <v>44.6118381964</v>
      </c>
      <c r="F572" s="4">
        <v>492.35306290729056</v>
      </c>
      <c r="G572" s="1" t="s">
        <v>2579</v>
      </c>
      <c r="H572" s="95">
        <v>45359.0</v>
      </c>
      <c r="I572" s="95">
        <v>45367.0</v>
      </c>
      <c r="J572" s="4">
        <v>390.9941867572985</v>
      </c>
      <c r="K572" s="1"/>
      <c r="L572" s="1"/>
      <c r="M572" s="1" t="str">
        <f>VLOOKUP(B572,Bounties!A:D,3,FALSE)</f>
        <v>Operations</v>
      </c>
      <c r="N572" s="1" t="str">
        <f>VLOOKUP(B572,Bounties!A:D,4,FALSE)</f>
        <v>RPCs and Nodes</v>
      </c>
      <c r="O572" s="1" t="str">
        <f t="shared" ref="O572:P572" si="576">IF(ISBLANK(K572),M572,K572)</f>
        <v>Operations</v>
      </c>
      <c r="P572" s="1" t="str">
        <f t="shared" si="576"/>
        <v>RPCs and Nodes</v>
      </c>
      <c r="Q572" s="61" t="str">
        <f t="shared" si="3"/>
        <v>2024</v>
      </c>
      <c r="R572" s="62">
        <f t="shared" si="4"/>
        <v>3</v>
      </c>
      <c r="S572" s="61" t="str">
        <f t="shared" si="5"/>
        <v>2024-Q1</v>
      </c>
      <c r="T572" s="63" t="str">
        <f t="shared" si="6"/>
        <v>2024-03</v>
      </c>
      <c r="U572" s="64" t="str">
        <f t="shared" si="7"/>
        <v>2024-H1</v>
      </c>
      <c r="V572" s="9" t="str">
        <f>VLOOKUP(B572,Bounties!A:E,2,FALSE)</f>
        <v>System Parachains Collator Bounty</v>
      </c>
    </row>
    <row r="573" hidden="1">
      <c r="A573" s="67">
        <f>HYPERLINK("https://polkadot.subsquare.io/treasury/child-bounties/830", 830)</f>
        <v>830</v>
      </c>
      <c r="B573" s="1">
        <v>32.0</v>
      </c>
      <c r="C573" s="1" t="s">
        <v>2414</v>
      </c>
      <c r="D573" s="1" t="s">
        <v>446</v>
      </c>
      <c r="E573" s="5">
        <v>44.5762720219</v>
      </c>
      <c r="F573" s="4">
        <v>491.9605411987279</v>
      </c>
      <c r="G573" s="1" t="s">
        <v>2440</v>
      </c>
      <c r="H573" s="95">
        <v>45359.0</v>
      </c>
      <c r="I573" s="95">
        <v>45367.0</v>
      </c>
      <c r="J573" s="4">
        <v>390.6824720188591</v>
      </c>
      <c r="K573" s="1"/>
      <c r="L573" s="1"/>
      <c r="M573" s="1" t="str">
        <f>VLOOKUP(B573,Bounties!A:D,3,FALSE)</f>
        <v>Operations</v>
      </c>
      <c r="N573" s="1" t="str">
        <f>VLOOKUP(B573,Bounties!A:D,4,FALSE)</f>
        <v>RPCs and Nodes</v>
      </c>
      <c r="O573" s="1" t="str">
        <f t="shared" ref="O573:P573" si="577">IF(ISBLANK(K573),M573,K573)</f>
        <v>Operations</v>
      </c>
      <c r="P573" s="1" t="str">
        <f t="shared" si="577"/>
        <v>RPCs and Nodes</v>
      </c>
      <c r="Q573" s="61" t="str">
        <f t="shared" si="3"/>
        <v>2024</v>
      </c>
      <c r="R573" s="62">
        <f t="shared" si="4"/>
        <v>3</v>
      </c>
      <c r="S573" s="61" t="str">
        <f t="shared" si="5"/>
        <v>2024-Q1</v>
      </c>
      <c r="T573" s="63" t="str">
        <f t="shared" si="6"/>
        <v>2024-03</v>
      </c>
      <c r="U573" s="64" t="str">
        <f t="shared" si="7"/>
        <v>2024-H1</v>
      </c>
      <c r="V573" s="9" t="str">
        <f>VLOOKUP(B573,Bounties!A:E,2,FALSE)</f>
        <v>System Parachains Collator Bounty</v>
      </c>
    </row>
    <row r="574" hidden="1">
      <c r="A574" s="67">
        <f>HYPERLINK("https://polkadot.subsquare.io/treasury/child-bounties/829", 829)</f>
        <v>829</v>
      </c>
      <c r="B574" s="1">
        <v>32.0</v>
      </c>
      <c r="C574" s="1" t="s">
        <v>2414</v>
      </c>
      <c r="D574" s="1" t="s">
        <v>445</v>
      </c>
      <c r="E574" s="5">
        <v>43.8945870109</v>
      </c>
      <c r="F574" s="4">
        <v>484.4372084540367</v>
      </c>
      <c r="G574" s="1" t="s">
        <v>2580</v>
      </c>
      <c r="H574" s="95">
        <v>45359.0</v>
      </c>
      <c r="I574" s="95">
        <v>45367.0</v>
      </c>
      <c r="J574" s="4">
        <v>384.7079395342932</v>
      </c>
      <c r="K574" s="1"/>
      <c r="L574" s="1"/>
      <c r="M574" s="1" t="str">
        <f>VLOOKUP(B574,Bounties!A:D,3,FALSE)</f>
        <v>Operations</v>
      </c>
      <c r="N574" s="1" t="str">
        <f>VLOOKUP(B574,Bounties!A:D,4,FALSE)</f>
        <v>RPCs and Nodes</v>
      </c>
      <c r="O574" s="1" t="str">
        <f t="shared" ref="O574:P574" si="578">IF(ISBLANK(K574),M574,K574)</f>
        <v>Operations</v>
      </c>
      <c r="P574" s="1" t="str">
        <f t="shared" si="578"/>
        <v>RPCs and Nodes</v>
      </c>
      <c r="Q574" s="61" t="str">
        <f t="shared" si="3"/>
        <v>2024</v>
      </c>
      <c r="R574" s="62">
        <f t="shared" si="4"/>
        <v>3</v>
      </c>
      <c r="S574" s="61" t="str">
        <f t="shared" si="5"/>
        <v>2024-Q1</v>
      </c>
      <c r="T574" s="63" t="str">
        <f t="shared" si="6"/>
        <v>2024-03</v>
      </c>
      <c r="U574" s="64" t="str">
        <f t="shared" si="7"/>
        <v>2024-H1</v>
      </c>
      <c r="V574" s="9" t="str">
        <f>VLOOKUP(B574,Bounties!A:E,2,FALSE)</f>
        <v>System Parachains Collator Bounty</v>
      </c>
    </row>
    <row r="575" hidden="1">
      <c r="A575" s="67">
        <f>HYPERLINK("https://polkadot.subsquare.io/treasury/child-bounties/828", 828)</f>
        <v>828</v>
      </c>
      <c r="B575" s="1">
        <v>32.0</v>
      </c>
      <c r="C575" s="1" t="s">
        <v>2414</v>
      </c>
      <c r="D575" s="1" t="s">
        <v>444</v>
      </c>
      <c r="E575" s="5">
        <v>44.5436696953</v>
      </c>
      <c r="F575" s="4">
        <v>491.60072963282136</v>
      </c>
      <c r="G575" s="1" t="s">
        <v>2465</v>
      </c>
      <c r="H575" s="95">
        <v>45359.0</v>
      </c>
      <c r="I575" s="95">
        <v>45367.0</v>
      </c>
      <c r="J575" s="4">
        <v>390.3967335088419</v>
      </c>
      <c r="K575" s="1"/>
      <c r="L575" s="1"/>
      <c r="M575" s="1" t="str">
        <f>VLOOKUP(B575,Bounties!A:D,3,FALSE)</f>
        <v>Operations</v>
      </c>
      <c r="N575" s="1" t="str">
        <f>VLOOKUP(B575,Bounties!A:D,4,FALSE)</f>
        <v>RPCs and Nodes</v>
      </c>
      <c r="O575" s="1" t="str">
        <f t="shared" ref="O575:P575" si="579">IF(ISBLANK(K575),M575,K575)</f>
        <v>Operations</v>
      </c>
      <c r="P575" s="1" t="str">
        <f t="shared" si="579"/>
        <v>RPCs and Nodes</v>
      </c>
      <c r="Q575" s="61" t="str">
        <f t="shared" si="3"/>
        <v>2024</v>
      </c>
      <c r="R575" s="62">
        <f t="shared" si="4"/>
        <v>3</v>
      </c>
      <c r="S575" s="61" t="str">
        <f t="shared" si="5"/>
        <v>2024-Q1</v>
      </c>
      <c r="T575" s="63" t="str">
        <f t="shared" si="6"/>
        <v>2024-03</v>
      </c>
      <c r="U575" s="64" t="str">
        <f t="shared" si="7"/>
        <v>2024-H1</v>
      </c>
      <c r="V575" s="9" t="str">
        <f>VLOOKUP(B575,Bounties!A:E,2,FALSE)</f>
        <v>System Parachains Collator Bounty</v>
      </c>
    </row>
    <row r="576" hidden="1">
      <c r="A576" s="67">
        <f>HYPERLINK("https://polkadot.subsquare.io/treasury/child-bounties/827", 827)</f>
        <v>827</v>
      </c>
      <c r="B576" s="1">
        <v>32.0</v>
      </c>
      <c r="C576" s="1" t="s">
        <v>2414</v>
      </c>
      <c r="D576" s="1" t="s">
        <v>443</v>
      </c>
      <c r="E576" s="5">
        <v>44.5110673687</v>
      </c>
      <c r="F576" s="4">
        <v>491.2409180669149</v>
      </c>
      <c r="G576" s="1" t="s">
        <v>2442</v>
      </c>
      <c r="H576" s="95">
        <v>45359.0</v>
      </c>
      <c r="I576" s="95">
        <v>45367.0</v>
      </c>
      <c r="J576" s="4">
        <v>390.1109949988248</v>
      </c>
      <c r="K576" s="1"/>
      <c r="L576" s="1"/>
      <c r="M576" s="1" t="str">
        <f>VLOOKUP(B576,Bounties!A:D,3,FALSE)</f>
        <v>Operations</v>
      </c>
      <c r="N576" s="1" t="str">
        <f>VLOOKUP(B576,Bounties!A:D,4,FALSE)</f>
        <v>RPCs and Nodes</v>
      </c>
      <c r="O576" s="1" t="str">
        <f t="shared" ref="O576:P576" si="580">IF(ISBLANK(K576),M576,K576)</f>
        <v>Operations</v>
      </c>
      <c r="P576" s="1" t="str">
        <f t="shared" si="580"/>
        <v>RPCs and Nodes</v>
      </c>
      <c r="Q576" s="61" t="str">
        <f t="shared" si="3"/>
        <v>2024</v>
      </c>
      <c r="R576" s="62">
        <f t="shared" si="4"/>
        <v>3</v>
      </c>
      <c r="S576" s="61" t="str">
        <f t="shared" si="5"/>
        <v>2024-Q1</v>
      </c>
      <c r="T576" s="63" t="str">
        <f t="shared" si="6"/>
        <v>2024-03</v>
      </c>
      <c r="U576" s="64" t="str">
        <f t="shared" si="7"/>
        <v>2024-H1</v>
      </c>
      <c r="V576" s="9" t="str">
        <f>VLOOKUP(B576,Bounties!A:E,2,FALSE)</f>
        <v>System Parachains Collator Bounty</v>
      </c>
    </row>
    <row r="577" hidden="1">
      <c r="A577" s="67">
        <f>HYPERLINK("https://polkadot.subsquare.io/treasury/child-bounties/826", 826)</f>
        <v>826</v>
      </c>
      <c r="B577" s="1">
        <v>32.0</v>
      </c>
      <c r="C577" s="1" t="s">
        <v>2414</v>
      </c>
      <c r="D577" s="1" t="s">
        <v>442</v>
      </c>
      <c r="E577" s="5">
        <v>44.3747303665</v>
      </c>
      <c r="F577" s="4">
        <v>489.7362515179767</v>
      </c>
      <c r="G577" s="1" t="s">
        <v>2441</v>
      </c>
      <c r="H577" s="95">
        <v>45359.0</v>
      </c>
      <c r="I577" s="95">
        <v>45367.0</v>
      </c>
      <c r="J577" s="4">
        <v>388.9160885019117</v>
      </c>
      <c r="K577" s="1"/>
      <c r="L577" s="1"/>
      <c r="M577" s="1" t="str">
        <f>VLOOKUP(B577,Bounties!A:D,3,FALSE)</f>
        <v>Operations</v>
      </c>
      <c r="N577" s="1" t="str">
        <f>VLOOKUP(B577,Bounties!A:D,4,FALSE)</f>
        <v>RPCs and Nodes</v>
      </c>
      <c r="O577" s="1" t="str">
        <f t="shared" ref="O577:P577" si="581">IF(ISBLANK(K577),M577,K577)</f>
        <v>Operations</v>
      </c>
      <c r="P577" s="1" t="str">
        <f t="shared" si="581"/>
        <v>RPCs and Nodes</v>
      </c>
      <c r="Q577" s="61" t="str">
        <f t="shared" si="3"/>
        <v>2024</v>
      </c>
      <c r="R577" s="62">
        <f t="shared" si="4"/>
        <v>3</v>
      </c>
      <c r="S577" s="61" t="str">
        <f t="shared" si="5"/>
        <v>2024-Q1</v>
      </c>
      <c r="T577" s="63" t="str">
        <f t="shared" si="6"/>
        <v>2024-03</v>
      </c>
      <c r="U577" s="64" t="str">
        <f t="shared" si="7"/>
        <v>2024-H1</v>
      </c>
      <c r="V577" s="9" t="str">
        <f>VLOOKUP(B577,Bounties!A:E,2,FALSE)</f>
        <v>System Parachains Collator Bounty</v>
      </c>
    </row>
    <row r="578" hidden="1">
      <c r="A578" s="67">
        <f>HYPERLINK("https://polkadot.subsquare.io/treasury/child-bounties/825", 825)</f>
        <v>825</v>
      </c>
      <c r="B578" s="1">
        <v>32.0</v>
      </c>
      <c r="C578" s="1" t="s">
        <v>2414</v>
      </c>
      <c r="D578" s="1" t="s">
        <v>441</v>
      </c>
      <c r="E578" s="5">
        <v>30.3983469132</v>
      </c>
      <c r="F578" s="4">
        <v>335.487615285939</v>
      </c>
      <c r="G578" s="1" t="s">
        <v>2581</v>
      </c>
      <c r="H578" s="95">
        <v>45359.0</v>
      </c>
      <c r="I578" s="95">
        <v>45367.0</v>
      </c>
      <c r="J578" s="4">
        <v>266.4220397681795</v>
      </c>
      <c r="K578" s="1"/>
      <c r="L578" s="1"/>
      <c r="M578" s="1" t="str">
        <f>VLOOKUP(B578,Bounties!A:D,3,FALSE)</f>
        <v>Operations</v>
      </c>
      <c r="N578" s="1" t="str">
        <f>VLOOKUP(B578,Bounties!A:D,4,FALSE)</f>
        <v>RPCs and Nodes</v>
      </c>
      <c r="O578" s="1" t="str">
        <f t="shared" ref="O578:P578" si="582">IF(ISBLANK(K578),M578,K578)</f>
        <v>Operations</v>
      </c>
      <c r="P578" s="1" t="str">
        <f t="shared" si="582"/>
        <v>RPCs and Nodes</v>
      </c>
      <c r="Q578" s="61" t="str">
        <f t="shared" si="3"/>
        <v>2024</v>
      </c>
      <c r="R578" s="62">
        <f t="shared" si="4"/>
        <v>3</v>
      </c>
      <c r="S578" s="61" t="str">
        <f t="shared" si="5"/>
        <v>2024-Q1</v>
      </c>
      <c r="T578" s="63" t="str">
        <f t="shared" si="6"/>
        <v>2024-03</v>
      </c>
      <c r="U578" s="64" t="str">
        <f t="shared" si="7"/>
        <v>2024-H1</v>
      </c>
      <c r="V578" s="9" t="str">
        <f>VLOOKUP(B578,Bounties!A:E,2,FALSE)</f>
        <v>System Parachains Collator Bounty</v>
      </c>
    </row>
    <row r="579" hidden="1">
      <c r="A579" s="67">
        <f>HYPERLINK("https://polkadot.subsquare.io/treasury/child-bounties/824", 824)</f>
        <v>824</v>
      </c>
      <c r="B579" s="1">
        <v>32.0</v>
      </c>
      <c r="C579" s="1" t="s">
        <v>2414</v>
      </c>
      <c r="D579" s="1" t="s">
        <v>440</v>
      </c>
      <c r="E579" s="5">
        <v>30.4246150938</v>
      </c>
      <c r="F579" s="4">
        <v>335.77752082891334</v>
      </c>
      <c r="G579" s="1" t="s">
        <v>2444</v>
      </c>
      <c r="H579" s="95">
        <v>45359.0</v>
      </c>
      <c r="I579" s="95">
        <v>45367.0</v>
      </c>
      <c r="J579" s="4">
        <v>266.65226354569063</v>
      </c>
      <c r="K579" s="1"/>
      <c r="L579" s="1"/>
      <c r="M579" s="1" t="str">
        <f>VLOOKUP(B579,Bounties!A:D,3,FALSE)</f>
        <v>Operations</v>
      </c>
      <c r="N579" s="1" t="str">
        <f>VLOOKUP(B579,Bounties!A:D,4,FALSE)</f>
        <v>RPCs and Nodes</v>
      </c>
      <c r="O579" s="1" t="str">
        <f t="shared" ref="O579:P579" si="583">IF(ISBLANK(K579),M579,K579)</f>
        <v>Operations</v>
      </c>
      <c r="P579" s="1" t="str">
        <f t="shared" si="583"/>
        <v>RPCs and Nodes</v>
      </c>
      <c r="Q579" s="61" t="str">
        <f t="shared" si="3"/>
        <v>2024</v>
      </c>
      <c r="R579" s="62">
        <f t="shared" si="4"/>
        <v>3</v>
      </c>
      <c r="S579" s="61" t="str">
        <f t="shared" si="5"/>
        <v>2024-Q1</v>
      </c>
      <c r="T579" s="63" t="str">
        <f t="shared" si="6"/>
        <v>2024-03</v>
      </c>
      <c r="U579" s="64" t="str">
        <f t="shared" si="7"/>
        <v>2024-H1</v>
      </c>
      <c r="V579" s="9" t="str">
        <f>VLOOKUP(B579,Bounties!A:E,2,FALSE)</f>
        <v>System Parachains Collator Bounty</v>
      </c>
    </row>
    <row r="580" hidden="1">
      <c r="A580" s="67">
        <f>HYPERLINK("https://polkadot.subsquare.io/treasury/child-bounties/823", 823)</f>
        <v>823</v>
      </c>
      <c r="B580" s="1">
        <v>32.0</v>
      </c>
      <c r="C580" s="1" t="s">
        <v>2414</v>
      </c>
      <c r="D580" s="1" t="s">
        <v>439</v>
      </c>
      <c r="E580" s="5">
        <v>30.432697611</v>
      </c>
      <c r="F580" s="4">
        <v>335.8667225354626</v>
      </c>
      <c r="G580" s="1" t="s">
        <v>2582</v>
      </c>
      <c r="H580" s="95">
        <v>45359.0</v>
      </c>
      <c r="I580" s="95">
        <v>45367.0</v>
      </c>
      <c r="J580" s="4">
        <v>266.7231016318877</v>
      </c>
      <c r="K580" s="1"/>
      <c r="L580" s="1"/>
      <c r="M580" s="1" t="str">
        <f>VLOOKUP(B580,Bounties!A:D,3,FALSE)</f>
        <v>Operations</v>
      </c>
      <c r="N580" s="1" t="str">
        <f>VLOOKUP(B580,Bounties!A:D,4,FALSE)</f>
        <v>RPCs and Nodes</v>
      </c>
      <c r="O580" s="1" t="str">
        <f t="shared" ref="O580:P580" si="584">IF(ISBLANK(K580),M580,K580)</f>
        <v>Operations</v>
      </c>
      <c r="P580" s="1" t="str">
        <f t="shared" si="584"/>
        <v>RPCs and Nodes</v>
      </c>
      <c r="Q580" s="61" t="str">
        <f t="shared" si="3"/>
        <v>2024</v>
      </c>
      <c r="R580" s="62">
        <f t="shared" si="4"/>
        <v>3</v>
      </c>
      <c r="S580" s="61" t="str">
        <f t="shared" si="5"/>
        <v>2024-Q1</v>
      </c>
      <c r="T580" s="63" t="str">
        <f t="shared" si="6"/>
        <v>2024-03</v>
      </c>
      <c r="U580" s="64" t="str">
        <f t="shared" si="7"/>
        <v>2024-H1</v>
      </c>
      <c r="V580" s="9" t="str">
        <f>VLOOKUP(B580,Bounties!A:E,2,FALSE)</f>
        <v>System Parachains Collator Bounty</v>
      </c>
    </row>
    <row r="581" hidden="1">
      <c r="A581" s="67">
        <f>HYPERLINK("https://polkadot.subsquare.io/treasury/child-bounties/822", 822)</f>
        <v>822</v>
      </c>
      <c r="B581" s="1">
        <v>32.0</v>
      </c>
      <c r="C581" s="1" t="s">
        <v>2414</v>
      </c>
      <c r="D581" s="1" t="s">
        <v>438</v>
      </c>
      <c r="E581" s="5">
        <v>30.4387594988</v>
      </c>
      <c r="F581" s="4">
        <v>335.933623814271</v>
      </c>
      <c r="G581" s="1" t="s">
        <v>2445</v>
      </c>
      <c r="H581" s="95">
        <v>45359.0</v>
      </c>
      <c r="I581" s="95">
        <v>45367.0</v>
      </c>
      <c r="J581" s="4">
        <v>266.776230195659</v>
      </c>
      <c r="K581" s="1"/>
      <c r="L581" s="1"/>
      <c r="M581" s="1" t="str">
        <f>VLOOKUP(B581,Bounties!A:D,3,FALSE)</f>
        <v>Operations</v>
      </c>
      <c r="N581" s="1" t="str">
        <f>VLOOKUP(B581,Bounties!A:D,4,FALSE)</f>
        <v>RPCs and Nodes</v>
      </c>
      <c r="O581" s="1" t="str">
        <f t="shared" ref="O581:P581" si="585">IF(ISBLANK(K581),M581,K581)</f>
        <v>Operations</v>
      </c>
      <c r="P581" s="1" t="str">
        <f t="shared" si="585"/>
        <v>RPCs and Nodes</v>
      </c>
      <c r="Q581" s="61" t="str">
        <f t="shared" si="3"/>
        <v>2024</v>
      </c>
      <c r="R581" s="62">
        <f t="shared" si="4"/>
        <v>3</v>
      </c>
      <c r="S581" s="61" t="str">
        <f t="shared" si="5"/>
        <v>2024-Q1</v>
      </c>
      <c r="T581" s="63" t="str">
        <f t="shared" si="6"/>
        <v>2024-03</v>
      </c>
      <c r="U581" s="64" t="str">
        <f t="shared" si="7"/>
        <v>2024-H1</v>
      </c>
      <c r="V581" s="9" t="str">
        <f>VLOOKUP(B581,Bounties!A:E,2,FALSE)</f>
        <v>System Parachains Collator Bounty</v>
      </c>
    </row>
    <row r="582" hidden="1">
      <c r="A582" s="67">
        <f>HYPERLINK("https://polkadot.subsquare.io/treasury/child-bounties/821", 821)</f>
        <v>821</v>
      </c>
      <c r="B582" s="1">
        <v>32.0</v>
      </c>
      <c r="C582" s="1" t="s">
        <v>2414</v>
      </c>
      <c r="D582" s="1" t="s">
        <v>437</v>
      </c>
      <c r="E582" s="5">
        <v>30.3639962154</v>
      </c>
      <c r="F582" s="4">
        <v>335.1085080364153</v>
      </c>
      <c r="G582" s="1" t="s">
        <v>2578</v>
      </c>
      <c r="H582" s="95">
        <v>45359.0</v>
      </c>
      <c r="I582" s="95">
        <v>45367.0</v>
      </c>
      <c r="J582" s="4">
        <v>266.1209779044713</v>
      </c>
      <c r="K582" s="1"/>
      <c r="L582" s="1"/>
      <c r="M582" s="1" t="str">
        <f>VLOOKUP(B582,Bounties!A:D,3,FALSE)</f>
        <v>Operations</v>
      </c>
      <c r="N582" s="1" t="str">
        <f>VLOOKUP(B582,Bounties!A:D,4,FALSE)</f>
        <v>RPCs and Nodes</v>
      </c>
      <c r="O582" s="1" t="str">
        <f t="shared" ref="O582:P582" si="586">IF(ISBLANK(K582),M582,K582)</f>
        <v>Operations</v>
      </c>
      <c r="P582" s="1" t="str">
        <f t="shared" si="586"/>
        <v>RPCs and Nodes</v>
      </c>
      <c r="Q582" s="61" t="str">
        <f t="shared" si="3"/>
        <v>2024</v>
      </c>
      <c r="R582" s="62">
        <f t="shared" si="4"/>
        <v>3</v>
      </c>
      <c r="S582" s="61" t="str">
        <f t="shared" si="5"/>
        <v>2024-Q1</v>
      </c>
      <c r="T582" s="63" t="str">
        <f t="shared" si="6"/>
        <v>2024-03</v>
      </c>
      <c r="U582" s="64" t="str">
        <f t="shared" si="7"/>
        <v>2024-H1</v>
      </c>
      <c r="V582" s="9" t="str">
        <f>VLOOKUP(B582,Bounties!A:E,2,FALSE)</f>
        <v>System Parachains Collator Bounty</v>
      </c>
    </row>
    <row r="583" hidden="1">
      <c r="A583" s="67">
        <f>HYPERLINK("https://polkadot.subsquare.io/treasury/child-bounties/820", 820)</f>
        <v>820</v>
      </c>
      <c r="B583" s="1">
        <v>32.0</v>
      </c>
      <c r="C583" s="1" t="s">
        <v>2414</v>
      </c>
      <c r="D583" s="1" t="s">
        <v>436</v>
      </c>
      <c r="E583" s="5">
        <v>44.478465042</v>
      </c>
      <c r="F583" s="4">
        <v>490.88110649990483</v>
      </c>
      <c r="G583" s="1" t="s">
        <v>2439</v>
      </c>
      <c r="H583" s="95">
        <v>45359.0</v>
      </c>
      <c r="I583" s="95">
        <v>45367.0</v>
      </c>
      <c r="J583" s="4">
        <v>389.82525648793137</v>
      </c>
      <c r="K583" s="1"/>
      <c r="L583" s="1"/>
      <c r="M583" s="1" t="str">
        <f>VLOOKUP(B583,Bounties!A:D,3,FALSE)</f>
        <v>Operations</v>
      </c>
      <c r="N583" s="1" t="str">
        <f>VLOOKUP(B583,Bounties!A:D,4,FALSE)</f>
        <v>RPCs and Nodes</v>
      </c>
      <c r="O583" s="1" t="str">
        <f t="shared" ref="O583:P583" si="587">IF(ISBLANK(K583),M583,K583)</f>
        <v>Operations</v>
      </c>
      <c r="P583" s="1" t="str">
        <f t="shared" si="587"/>
        <v>RPCs and Nodes</v>
      </c>
      <c r="Q583" s="61" t="str">
        <f t="shared" si="3"/>
        <v>2024</v>
      </c>
      <c r="R583" s="62">
        <f t="shared" si="4"/>
        <v>3</v>
      </c>
      <c r="S583" s="61" t="str">
        <f t="shared" si="5"/>
        <v>2024-Q1</v>
      </c>
      <c r="T583" s="63" t="str">
        <f t="shared" si="6"/>
        <v>2024-03</v>
      </c>
      <c r="U583" s="64" t="str">
        <f t="shared" si="7"/>
        <v>2024-H1</v>
      </c>
      <c r="V583" s="9" t="str">
        <f>VLOOKUP(B583,Bounties!A:E,2,FALSE)</f>
        <v>System Parachains Collator Bounty</v>
      </c>
    </row>
    <row r="584" hidden="1">
      <c r="A584" s="67">
        <f>HYPERLINK("https://polkadot.subsquare.io/treasury/child-bounties/819", 819)</f>
        <v>819</v>
      </c>
      <c r="B584" s="1">
        <v>32.0</v>
      </c>
      <c r="C584" s="1" t="s">
        <v>2414</v>
      </c>
      <c r="D584" s="1" t="s">
        <v>420</v>
      </c>
      <c r="E584" s="5">
        <v>1.6234005066</v>
      </c>
      <c r="F584" s="4">
        <v>17.916459936731687</v>
      </c>
      <c r="G584" s="1" t="s">
        <v>2619</v>
      </c>
      <c r="H584" s="95">
        <v>45359.0</v>
      </c>
      <c r="I584" s="95">
        <v>45367.0</v>
      </c>
      <c r="J584" s="4">
        <v>14.228065610411777</v>
      </c>
      <c r="K584" s="1"/>
      <c r="L584" s="1"/>
      <c r="M584" s="1" t="str">
        <f>VLOOKUP(B584,Bounties!A:D,3,FALSE)</f>
        <v>Operations</v>
      </c>
      <c r="N584" s="1" t="str">
        <f>VLOOKUP(B584,Bounties!A:D,4,FALSE)</f>
        <v>RPCs and Nodes</v>
      </c>
      <c r="O584" s="1" t="str">
        <f t="shared" ref="O584:P584" si="588">IF(ISBLANK(K584),M584,K584)</f>
        <v>Operations</v>
      </c>
      <c r="P584" s="1" t="str">
        <f t="shared" si="588"/>
        <v>RPCs and Nodes</v>
      </c>
      <c r="Q584" s="61" t="str">
        <f t="shared" si="3"/>
        <v>2024</v>
      </c>
      <c r="R584" s="62">
        <f t="shared" si="4"/>
        <v>3</v>
      </c>
      <c r="S584" s="61" t="str">
        <f t="shared" si="5"/>
        <v>2024-Q1</v>
      </c>
      <c r="T584" s="63" t="str">
        <f t="shared" si="6"/>
        <v>2024-03</v>
      </c>
      <c r="U584" s="64" t="str">
        <f t="shared" si="7"/>
        <v>2024-H1</v>
      </c>
      <c r="V584" s="9" t="str">
        <f>VLOOKUP(B584,Bounties!A:E,2,FALSE)</f>
        <v>System Parachains Collator Bounty</v>
      </c>
    </row>
    <row r="585" hidden="1">
      <c r="A585" s="67">
        <f>HYPERLINK("https://polkadot.subsquare.io/treasury/child-bounties/818", 818)</f>
        <v>818</v>
      </c>
      <c r="B585" s="1">
        <v>32.0</v>
      </c>
      <c r="C585" s="1" t="s">
        <v>2414</v>
      </c>
      <c r="D585" s="1" t="s">
        <v>296</v>
      </c>
      <c r="E585" s="5">
        <v>2.5365632916</v>
      </c>
      <c r="F585" s="4">
        <v>27.994468651557128</v>
      </c>
      <c r="G585" s="1" t="s">
        <v>2619</v>
      </c>
      <c r="H585" s="95">
        <v>45359.0</v>
      </c>
      <c r="I585" s="95">
        <v>45367.0</v>
      </c>
      <c r="J585" s="4">
        <v>22.231352516597063</v>
      </c>
      <c r="K585" s="1"/>
      <c r="L585" s="1"/>
      <c r="M585" s="1" t="str">
        <f>VLOOKUP(B585,Bounties!A:D,3,FALSE)</f>
        <v>Operations</v>
      </c>
      <c r="N585" s="1" t="str">
        <f>VLOOKUP(B585,Bounties!A:D,4,FALSE)</f>
        <v>RPCs and Nodes</v>
      </c>
      <c r="O585" s="1" t="str">
        <f t="shared" ref="O585:P585" si="589">IF(ISBLANK(K585),M585,K585)</f>
        <v>Operations</v>
      </c>
      <c r="P585" s="1" t="str">
        <f t="shared" si="589"/>
        <v>RPCs and Nodes</v>
      </c>
      <c r="Q585" s="61" t="str">
        <f t="shared" si="3"/>
        <v>2024</v>
      </c>
      <c r="R585" s="62">
        <f t="shared" si="4"/>
        <v>3</v>
      </c>
      <c r="S585" s="61" t="str">
        <f t="shared" si="5"/>
        <v>2024-Q1</v>
      </c>
      <c r="T585" s="63" t="str">
        <f t="shared" si="6"/>
        <v>2024-03</v>
      </c>
      <c r="U585" s="64" t="str">
        <f t="shared" si="7"/>
        <v>2024-H1</v>
      </c>
      <c r="V585" s="9" t="str">
        <f>VLOOKUP(B585,Bounties!A:E,2,FALSE)</f>
        <v>System Parachains Collator Bounty</v>
      </c>
    </row>
    <row r="586" hidden="1">
      <c r="A586" s="67">
        <f>HYPERLINK("https://polkadot.subsquare.io/treasury/child-bounties/817", 817)</f>
        <v>817</v>
      </c>
      <c r="B586" s="1">
        <v>32.0</v>
      </c>
      <c r="C586" s="1" t="s">
        <v>2414</v>
      </c>
      <c r="D586" s="1" t="s">
        <v>435</v>
      </c>
      <c r="E586" s="5">
        <v>7.786445359</v>
      </c>
      <c r="F586" s="4">
        <v>85.93414610683472</v>
      </c>
      <c r="G586" s="1" t="s">
        <v>2437</v>
      </c>
      <c r="H586" s="95">
        <v>45359.0</v>
      </c>
      <c r="I586" s="95">
        <v>45367.0</v>
      </c>
      <c r="J586" s="4">
        <v>68.24320615235312</v>
      </c>
      <c r="K586" s="1"/>
      <c r="L586" s="1"/>
      <c r="M586" s="1" t="str">
        <f>VLOOKUP(B586,Bounties!A:D,3,FALSE)</f>
        <v>Operations</v>
      </c>
      <c r="N586" s="1" t="str">
        <f>VLOOKUP(B586,Bounties!A:D,4,FALSE)</f>
        <v>RPCs and Nodes</v>
      </c>
      <c r="O586" s="1" t="str">
        <f t="shared" ref="O586:P586" si="590">IF(ISBLANK(K586),M586,K586)</f>
        <v>Operations</v>
      </c>
      <c r="P586" s="1" t="str">
        <f t="shared" si="590"/>
        <v>RPCs and Nodes</v>
      </c>
      <c r="Q586" s="61" t="str">
        <f t="shared" si="3"/>
        <v>2024</v>
      </c>
      <c r="R586" s="62">
        <f t="shared" si="4"/>
        <v>3</v>
      </c>
      <c r="S586" s="61" t="str">
        <f t="shared" si="5"/>
        <v>2024-Q1</v>
      </c>
      <c r="T586" s="63" t="str">
        <f t="shared" si="6"/>
        <v>2024-03</v>
      </c>
      <c r="U586" s="64" t="str">
        <f t="shared" si="7"/>
        <v>2024-H1</v>
      </c>
      <c r="V586" s="9" t="str">
        <f>VLOOKUP(B586,Bounties!A:E,2,FALSE)</f>
        <v>System Parachains Collator Bounty</v>
      </c>
    </row>
    <row r="587" hidden="1">
      <c r="A587" s="67">
        <f>HYPERLINK("https://polkadot.subsquare.io/treasury/child-bounties/816", 816)</f>
        <v>816</v>
      </c>
      <c r="B587" s="1">
        <v>32.0</v>
      </c>
      <c r="C587" s="1" t="s">
        <v>2414</v>
      </c>
      <c r="D587" s="1" t="s">
        <v>434</v>
      </c>
      <c r="E587" s="5">
        <v>7.786445359</v>
      </c>
      <c r="F587" s="4">
        <v>85.93414610683472</v>
      </c>
      <c r="G587" s="1" t="s">
        <v>2463</v>
      </c>
      <c r="H587" s="95">
        <v>45359.0</v>
      </c>
      <c r="I587" s="95">
        <v>45367.0</v>
      </c>
      <c r="J587" s="4">
        <v>68.24320615235312</v>
      </c>
      <c r="K587" s="1"/>
      <c r="L587" s="1"/>
      <c r="M587" s="1" t="str">
        <f>VLOOKUP(B587,Bounties!A:D,3,FALSE)</f>
        <v>Operations</v>
      </c>
      <c r="N587" s="1" t="str">
        <f>VLOOKUP(B587,Bounties!A:D,4,FALSE)</f>
        <v>RPCs and Nodes</v>
      </c>
      <c r="O587" s="1" t="str">
        <f t="shared" ref="O587:P587" si="591">IF(ISBLANK(K587),M587,K587)</f>
        <v>Operations</v>
      </c>
      <c r="P587" s="1" t="str">
        <f t="shared" si="591"/>
        <v>RPCs and Nodes</v>
      </c>
      <c r="Q587" s="61" t="str">
        <f t="shared" si="3"/>
        <v>2024</v>
      </c>
      <c r="R587" s="62">
        <f t="shared" si="4"/>
        <v>3</v>
      </c>
      <c r="S587" s="61" t="str">
        <f t="shared" si="5"/>
        <v>2024-Q1</v>
      </c>
      <c r="T587" s="63" t="str">
        <f t="shared" si="6"/>
        <v>2024-03</v>
      </c>
      <c r="U587" s="64" t="str">
        <f t="shared" si="7"/>
        <v>2024-H1</v>
      </c>
      <c r="V587" s="9" t="str">
        <f>VLOOKUP(B587,Bounties!A:E,2,FALSE)</f>
        <v>System Parachains Collator Bounty</v>
      </c>
    </row>
    <row r="588" hidden="1">
      <c r="A588" s="67">
        <f>HYPERLINK("https://polkadot.subsquare.io/treasury/child-bounties/815", 815)</f>
        <v>815</v>
      </c>
      <c r="B588" s="1">
        <v>32.0</v>
      </c>
      <c r="C588" s="1" t="s">
        <v>2414</v>
      </c>
      <c r="D588" s="1" t="s">
        <v>433</v>
      </c>
      <c r="E588" s="5">
        <v>7.786445359</v>
      </c>
      <c r="F588" s="4">
        <v>85.93414610683472</v>
      </c>
      <c r="G588" s="1" t="s">
        <v>2438</v>
      </c>
      <c r="H588" s="95">
        <v>45359.0</v>
      </c>
      <c r="I588" s="95">
        <v>45367.0</v>
      </c>
      <c r="J588" s="4">
        <v>68.24320615235312</v>
      </c>
      <c r="K588" s="1"/>
      <c r="L588" s="1"/>
      <c r="M588" s="1" t="str">
        <f>VLOOKUP(B588,Bounties!A:D,3,FALSE)</f>
        <v>Operations</v>
      </c>
      <c r="N588" s="1" t="str">
        <f>VLOOKUP(B588,Bounties!A:D,4,FALSE)</f>
        <v>RPCs and Nodes</v>
      </c>
      <c r="O588" s="1" t="str">
        <f t="shared" ref="O588:P588" si="592">IF(ISBLANK(K588),M588,K588)</f>
        <v>Operations</v>
      </c>
      <c r="P588" s="1" t="str">
        <f t="shared" si="592"/>
        <v>RPCs and Nodes</v>
      </c>
      <c r="Q588" s="61" t="str">
        <f t="shared" si="3"/>
        <v>2024</v>
      </c>
      <c r="R588" s="62">
        <f t="shared" si="4"/>
        <v>3</v>
      </c>
      <c r="S588" s="61" t="str">
        <f t="shared" si="5"/>
        <v>2024-Q1</v>
      </c>
      <c r="T588" s="63" t="str">
        <f t="shared" si="6"/>
        <v>2024-03</v>
      </c>
      <c r="U588" s="64" t="str">
        <f t="shared" si="7"/>
        <v>2024-H1</v>
      </c>
      <c r="V588" s="9" t="str">
        <f>VLOOKUP(B588,Bounties!A:E,2,FALSE)</f>
        <v>System Parachains Collator Bounty</v>
      </c>
    </row>
    <row r="589" hidden="1">
      <c r="A589" s="67">
        <f>HYPERLINK("https://polkadot.subsquare.io/treasury/child-bounties/814", 814)</f>
        <v>814</v>
      </c>
      <c r="B589" s="1">
        <v>32.0</v>
      </c>
      <c r="C589" s="1" t="s">
        <v>2414</v>
      </c>
      <c r="D589" s="1" t="s">
        <v>432</v>
      </c>
      <c r="E589" s="5">
        <v>44.599992247</v>
      </c>
      <c r="F589" s="4">
        <v>492.2223265443445</v>
      </c>
      <c r="G589" s="1" t="s">
        <v>2459</v>
      </c>
      <c r="H589" s="95">
        <v>45359.0</v>
      </c>
      <c r="I589" s="95">
        <v>45367.0</v>
      </c>
      <c r="J589" s="4">
        <v>390.89036459844397</v>
      </c>
      <c r="K589" s="1"/>
      <c r="L589" s="1"/>
      <c r="M589" s="1" t="str">
        <f>VLOOKUP(B589,Bounties!A:D,3,FALSE)</f>
        <v>Operations</v>
      </c>
      <c r="N589" s="1" t="str">
        <f>VLOOKUP(B589,Bounties!A:D,4,FALSE)</f>
        <v>RPCs and Nodes</v>
      </c>
      <c r="O589" s="1" t="str">
        <f t="shared" ref="O589:P589" si="593">IF(ISBLANK(K589),M589,K589)</f>
        <v>Operations</v>
      </c>
      <c r="P589" s="1" t="str">
        <f t="shared" si="593"/>
        <v>RPCs and Nodes</v>
      </c>
      <c r="Q589" s="61" t="str">
        <f t="shared" si="3"/>
        <v>2024</v>
      </c>
      <c r="R589" s="62">
        <f t="shared" si="4"/>
        <v>3</v>
      </c>
      <c r="S589" s="61" t="str">
        <f t="shared" si="5"/>
        <v>2024-Q1</v>
      </c>
      <c r="T589" s="63" t="str">
        <f t="shared" si="6"/>
        <v>2024-03</v>
      </c>
      <c r="U589" s="64" t="str">
        <f t="shared" si="7"/>
        <v>2024-H1</v>
      </c>
      <c r="V589" s="9" t="str">
        <f>VLOOKUP(B589,Bounties!A:E,2,FALSE)</f>
        <v>System Parachains Collator Bounty</v>
      </c>
    </row>
    <row r="590" hidden="1">
      <c r="A590" s="67">
        <f>HYPERLINK("https://polkadot.subsquare.io/treasury/child-bounties/813", 813)</f>
        <v>813</v>
      </c>
      <c r="B590" s="1">
        <v>32.0</v>
      </c>
      <c r="C590" s="1" t="s">
        <v>2414</v>
      </c>
      <c r="D590" s="1" t="s">
        <v>431</v>
      </c>
      <c r="E590" s="5">
        <v>44.5436903499</v>
      </c>
      <c r="F590" s="4">
        <v>491.6009575847728</v>
      </c>
      <c r="G590" s="1" t="s">
        <v>2445</v>
      </c>
      <c r="H590" s="95">
        <v>45359.0</v>
      </c>
      <c r="I590" s="95">
        <v>45367.0</v>
      </c>
      <c r="J590" s="4">
        <v>390.39691453318113</v>
      </c>
      <c r="K590" s="1"/>
      <c r="L590" s="1"/>
      <c r="M590" s="1" t="str">
        <f>VLOOKUP(B590,Bounties!A:D,3,FALSE)</f>
        <v>Operations</v>
      </c>
      <c r="N590" s="1" t="str">
        <f>VLOOKUP(B590,Bounties!A:D,4,FALSE)</f>
        <v>RPCs and Nodes</v>
      </c>
      <c r="O590" s="1" t="str">
        <f t="shared" ref="O590:P590" si="594">IF(ISBLANK(K590),M590,K590)</f>
        <v>Operations</v>
      </c>
      <c r="P590" s="1" t="str">
        <f t="shared" si="594"/>
        <v>RPCs and Nodes</v>
      </c>
      <c r="Q590" s="61" t="str">
        <f t="shared" si="3"/>
        <v>2024</v>
      </c>
      <c r="R590" s="62">
        <f t="shared" si="4"/>
        <v>3</v>
      </c>
      <c r="S590" s="61" t="str">
        <f t="shared" si="5"/>
        <v>2024-Q1</v>
      </c>
      <c r="T590" s="63" t="str">
        <f t="shared" si="6"/>
        <v>2024-03</v>
      </c>
      <c r="U590" s="64" t="str">
        <f t="shared" si="7"/>
        <v>2024-H1</v>
      </c>
      <c r="V590" s="9" t="str">
        <f>VLOOKUP(B590,Bounties!A:E,2,FALSE)</f>
        <v>System Parachains Collator Bounty</v>
      </c>
    </row>
    <row r="591" hidden="1">
      <c r="A591" s="67">
        <f>HYPERLINK("https://polkadot.subsquare.io/treasury/child-bounties/812", 812)</f>
        <v>812</v>
      </c>
      <c r="B591" s="1">
        <v>32.0</v>
      </c>
      <c r="C591" s="1" t="s">
        <v>2414</v>
      </c>
      <c r="D591" s="1" t="s">
        <v>430</v>
      </c>
      <c r="E591" s="5">
        <v>44.6474043708</v>
      </c>
      <c r="F591" s="4">
        <v>492.7455846147495</v>
      </c>
      <c r="G591" s="1" t="s">
        <v>2444</v>
      </c>
      <c r="H591" s="95">
        <v>45359.0</v>
      </c>
      <c r="I591" s="95">
        <v>45367.0</v>
      </c>
      <c r="J591" s="4">
        <v>391.30590149486153</v>
      </c>
      <c r="K591" s="1"/>
      <c r="L591" s="1"/>
      <c r="M591" s="1" t="str">
        <f>VLOOKUP(B591,Bounties!A:D,3,FALSE)</f>
        <v>Operations</v>
      </c>
      <c r="N591" s="1" t="str">
        <f>VLOOKUP(B591,Bounties!A:D,4,FALSE)</f>
        <v>RPCs and Nodes</v>
      </c>
      <c r="O591" s="1" t="str">
        <f t="shared" ref="O591:P591" si="595">IF(ISBLANK(K591),M591,K591)</f>
        <v>Operations</v>
      </c>
      <c r="P591" s="1" t="str">
        <f t="shared" si="595"/>
        <v>RPCs and Nodes</v>
      </c>
      <c r="Q591" s="61" t="str">
        <f t="shared" si="3"/>
        <v>2024</v>
      </c>
      <c r="R591" s="62">
        <f t="shared" si="4"/>
        <v>3</v>
      </c>
      <c r="S591" s="61" t="str">
        <f t="shared" si="5"/>
        <v>2024-Q1</v>
      </c>
      <c r="T591" s="63" t="str">
        <f t="shared" si="6"/>
        <v>2024-03</v>
      </c>
      <c r="U591" s="64" t="str">
        <f t="shared" si="7"/>
        <v>2024-H1</v>
      </c>
      <c r="V591" s="9" t="str">
        <f>VLOOKUP(B591,Bounties!A:E,2,FALSE)</f>
        <v>System Parachains Collator Bounty</v>
      </c>
    </row>
    <row r="592" hidden="1">
      <c r="A592" s="67">
        <f>HYPERLINK("https://polkadot.subsquare.io/treasury/child-bounties/811", 811)</f>
        <v>811</v>
      </c>
      <c r="B592" s="1">
        <v>32.0</v>
      </c>
      <c r="C592" s="1" t="s">
        <v>2414</v>
      </c>
      <c r="D592" s="1" t="s">
        <v>429</v>
      </c>
      <c r="E592" s="5">
        <v>44.2947766998</v>
      </c>
      <c r="F592" s="4">
        <v>488.853852713491</v>
      </c>
      <c r="G592" s="1" t="s">
        <v>2441</v>
      </c>
      <c r="H592" s="95">
        <v>45359.0</v>
      </c>
      <c r="I592" s="95">
        <v>45367.0</v>
      </c>
      <c r="J592" s="4">
        <v>388.215345825674</v>
      </c>
      <c r="K592" s="1"/>
      <c r="L592" s="1"/>
      <c r="M592" s="1" t="str">
        <f>VLOOKUP(B592,Bounties!A:D,3,FALSE)</f>
        <v>Operations</v>
      </c>
      <c r="N592" s="1" t="str">
        <f>VLOOKUP(B592,Bounties!A:D,4,FALSE)</f>
        <v>RPCs and Nodes</v>
      </c>
      <c r="O592" s="1" t="str">
        <f t="shared" ref="O592:P592" si="596">IF(ISBLANK(K592),M592,K592)</f>
        <v>Operations</v>
      </c>
      <c r="P592" s="1" t="str">
        <f t="shared" si="596"/>
        <v>RPCs and Nodes</v>
      </c>
      <c r="Q592" s="61" t="str">
        <f t="shared" si="3"/>
        <v>2024</v>
      </c>
      <c r="R592" s="62">
        <f t="shared" si="4"/>
        <v>3</v>
      </c>
      <c r="S592" s="61" t="str">
        <f t="shared" si="5"/>
        <v>2024-Q1</v>
      </c>
      <c r="T592" s="63" t="str">
        <f t="shared" si="6"/>
        <v>2024-03</v>
      </c>
      <c r="U592" s="64" t="str">
        <f t="shared" si="7"/>
        <v>2024-H1</v>
      </c>
      <c r="V592" s="9" t="str">
        <f>VLOOKUP(B592,Bounties!A:E,2,FALSE)</f>
        <v>System Parachains Collator Bounty</v>
      </c>
    </row>
    <row r="593" hidden="1">
      <c r="A593" s="67">
        <f>HYPERLINK("https://polkadot.subsquare.io/treasury/child-bounties/810", 810)</f>
        <v>810</v>
      </c>
      <c r="B593" s="1">
        <v>32.0</v>
      </c>
      <c r="C593" s="1" t="s">
        <v>2414</v>
      </c>
      <c r="D593" s="1" t="s">
        <v>428</v>
      </c>
      <c r="E593" s="5">
        <v>43.9777081216</v>
      </c>
      <c r="F593" s="4">
        <v>485.3545643644844</v>
      </c>
      <c r="G593" s="1" t="s">
        <v>2583</v>
      </c>
      <c r="H593" s="95">
        <v>45359.0</v>
      </c>
      <c r="I593" s="95">
        <v>45367.0</v>
      </c>
      <c r="J593" s="4">
        <v>385.43644282836135</v>
      </c>
      <c r="K593" s="1"/>
      <c r="L593" s="1"/>
      <c r="M593" s="1" t="str">
        <f>VLOOKUP(B593,Bounties!A:D,3,FALSE)</f>
        <v>Operations</v>
      </c>
      <c r="N593" s="1" t="str">
        <f>VLOOKUP(B593,Bounties!A:D,4,FALSE)</f>
        <v>RPCs and Nodes</v>
      </c>
      <c r="O593" s="1" t="str">
        <f t="shared" ref="O593:P593" si="597">IF(ISBLANK(K593),M593,K593)</f>
        <v>Operations</v>
      </c>
      <c r="P593" s="1" t="str">
        <f t="shared" si="597"/>
        <v>RPCs and Nodes</v>
      </c>
      <c r="Q593" s="61" t="str">
        <f t="shared" si="3"/>
        <v>2024</v>
      </c>
      <c r="R593" s="62">
        <f t="shared" si="4"/>
        <v>3</v>
      </c>
      <c r="S593" s="61" t="str">
        <f t="shared" si="5"/>
        <v>2024-Q1</v>
      </c>
      <c r="T593" s="63" t="str">
        <f t="shared" si="6"/>
        <v>2024-03</v>
      </c>
      <c r="U593" s="64" t="str">
        <f t="shared" si="7"/>
        <v>2024-H1</v>
      </c>
      <c r="V593" s="9" t="str">
        <f>VLOOKUP(B593,Bounties!A:E,2,FALSE)</f>
        <v>System Parachains Collator Bounty</v>
      </c>
    </row>
    <row r="594" hidden="1">
      <c r="A594" s="67">
        <f>HYPERLINK("https://polkadot.subsquare.io/treasury/child-bounties/809", 809)</f>
        <v>809</v>
      </c>
      <c r="B594" s="1">
        <v>32.0</v>
      </c>
      <c r="C594" s="1" t="s">
        <v>2414</v>
      </c>
      <c r="D594" s="1" t="s">
        <v>427</v>
      </c>
      <c r="E594" s="5">
        <v>44.4133070094</v>
      </c>
      <c r="F594" s="4">
        <v>490.1619978906072</v>
      </c>
      <c r="G594" s="1" t="s">
        <v>2442</v>
      </c>
      <c r="H594" s="95">
        <v>45359.0</v>
      </c>
      <c r="I594" s="95">
        <v>45367.0</v>
      </c>
      <c r="J594" s="4">
        <v>389.25418806759444</v>
      </c>
      <c r="K594" s="1"/>
      <c r="L594" s="1"/>
      <c r="M594" s="1" t="str">
        <f>VLOOKUP(B594,Bounties!A:D,3,FALSE)</f>
        <v>Operations</v>
      </c>
      <c r="N594" s="1" t="str">
        <f>VLOOKUP(B594,Bounties!A:D,4,FALSE)</f>
        <v>RPCs and Nodes</v>
      </c>
      <c r="O594" s="1" t="str">
        <f t="shared" ref="O594:P594" si="598">IF(ISBLANK(K594),M594,K594)</f>
        <v>Operations</v>
      </c>
      <c r="P594" s="1" t="str">
        <f t="shared" si="598"/>
        <v>RPCs and Nodes</v>
      </c>
      <c r="Q594" s="61" t="str">
        <f t="shared" si="3"/>
        <v>2024</v>
      </c>
      <c r="R594" s="62">
        <f t="shared" si="4"/>
        <v>3</v>
      </c>
      <c r="S594" s="61" t="str">
        <f t="shared" si="5"/>
        <v>2024-Q1</v>
      </c>
      <c r="T594" s="63" t="str">
        <f t="shared" si="6"/>
        <v>2024-03</v>
      </c>
      <c r="U594" s="64" t="str">
        <f t="shared" si="7"/>
        <v>2024-H1</v>
      </c>
      <c r="V594" s="9" t="str">
        <f>VLOOKUP(B594,Bounties!A:E,2,FALSE)</f>
        <v>System Parachains Collator Bounty</v>
      </c>
    </row>
    <row r="595" hidden="1">
      <c r="A595" s="67">
        <f>HYPERLINK("https://polkadot.subsquare.io/treasury/child-bounties/808", 808)</f>
        <v>808</v>
      </c>
      <c r="B595" s="1">
        <v>32.0</v>
      </c>
      <c r="C595" s="1" t="s">
        <v>2414</v>
      </c>
      <c r="D595" s="1" t="s">
        <v>426</v>
      </c>
      <c r="E595" s="5">
        <v>30.4185572293</v>
      </c>
      <c r="F595" s="4">
        <v>335.71066395276034</v>
      </c>
      <c r="G595" s="1" t="s">
        <v>2475</v>
      </c>
      <c r="H595" s="95">
        <v>45359.0</v>
      </c>
      <c r="I595" s="95">
        <v>45367.0</v>
      </c>
      <c r="J595" s="4">
        <v>266.59917024356673</v>
      </c>
      <c r="K595" s="1"/>
      <c r="L595" s="1"/>
      <c r="M595" s="1" t="str">
        <f>VLOOKUP(B595,Bounties!A:D,3,FALSE)</f>
        <v>Operations</v>
      </c>
      <c r="N595" s="1" t="str">
        <f>VLOOKUP(B595,Bounties!A:D,4,FALSE)</f>
        <v>RPCs and Nodes</v>
      </c>
      <c r="O595" s="1" t="str">
        <f t="shared" ref="O595:P595" si="599">IF(ISBLANK(K595),M595,K595)</f>
        <v>Operations</v>
      </c>
      <c r="P595" s="1" t="str">
        <f t="shared" si="599"/>
        <v>RPCs and Nodes</v>
      </c>
      <c r="Q595" s="61" t="str">
        <f t="shared" si="3"/>
        <v>2024</v>
      </c>
      <c r="R595" s="62">
        <f t="shared" si="4"/>
        <v>3</v>
      </c>
      <c r="S595" s="61" t="str">
        <f t="shared" si="5"/>
        <v>2024-Q1</v>
      </c>
      <c r="T595" s="63" t="str">
        <f t="shared" si="6"/>
        <v>2024-03</v>
      </c>
      <c r="U595" s="64" t="str">
        <f t="shared" si="7"/>
        <v>2024-H1</v>
      </c>
      <c r="V595" s="9" t="str">
        <f>VLOOKUP(B595,Bounties!A:E,2,FALSE)</f>
        <v>System Parachains Collator Bounty</v>
      </c>
    </row>
    <row r="596" hidden="1">
      <c r="A596" s="67">
        <f>HYPERLINK("https://polkadot.subsquare.io/treasury/child-bounties/807", 807)</f>
        <v>807</v>
      </c>
      <c r="B596" s="1">
        <v>32.0</v>
      </c>
      <c r="C596" s="1" t="s">
        <v>2414</v>
      </c>
      <c r="D596" s="1" t="s">
        <v>425</v>
      </c>
      <c r="E596" s="5">
        <v>30.3943145058</v>
      </c>
      <c r="F596" s="4">
        <v>335.443112117844</v>
      </c>
      <c r="G596" s="1" t="s">
        <v>2584</v>
      </c>
      <c r="H596" s="95">
        <v>45359.0</v>
      </c>
      <c r="I596" s="95">
        <v>45367.0</v>
      </c>
      <c r="J596" s="4">
        <v>266.38669830017955</v>
      </c>
      <c r="K596" s="1"/>
      <c r="L596" s="1"/>
      <c r="M596" s="1" t="str">
        <f>VLOOKUP(B596,Bounties!A:D,3,FALSE)</f>
        <v>Operations</v>
      </c>
      <c r="N596" s="1" t="str">
        <f>VLOOKUP(B596,Bounties!A:D,4,FALSE)</f>
        <v>RPCs and Nodes</v>
      </c>
      <c r="O596" s="1" t="str">
        <f t="shared" ref="O596:P596" si="600">IF(ISBLANK(K596),M596,K596)</f>
        <v>Operations</v>
      </c>
      <c r="P596" s="1" t="str">
        <f t="shared" si="600"/>
        <v>RPCs and Nodes</v>
      </c>
      <c r="Q596" s="61" t="str">
        <f t="shared" si="3"/>
        <v>2024</v>
      </c>
      <c r="R596" s="62">
        <f t="shared" si="4"/>
        <v>3</v>
      </c>
      <c r="S596" s="61" t="str">
        <f t="shared" si="5"/>
        <v>2024-Q1</v>
      </c>
      <c r="T596" s="63" t="str">
        <f t="shared" si="6"/>
        <v>2024-03</v>
      </c>
      <c r="U596" s="64" t="str">
        <f t="shared" si="7"/>
        <v>2024-H1</v>
      </c>
      <c r="V596" s="9" t="str">
        <f>VLOOKUP(B596,Bounties!A:E,2,FALSE)</f>
        <v>System Parachains Collator Bounty</v>
      </c>
    </row>
    <row r="597" hidden="1">
      <c r="A597" s="67">
        <f>HYPERLINK("https://polkadot.subsquare.io/treasury/child-bounties/806", 806)</f>
        <v>806</v>
      </c>
      <c r="B597" s="1">
        <v>32.0</v>
      </c>
      <c r="C597" s="1" t="s">
        <v>2414</v>
      </c>
      <c r="D597" s="1" t="s">
        <v>424</v>
      </c>
      <c r="E597" s="5">
        <v>30.4084560945</v>
      </c>
      <c r="F597" s="4">
        <v>335.59918402145325</v>
      </c>
      <c r="G597" s="1" t="s">
        <v>2465</v>
      </c>
      <c r="H597" s="95">
        <v>45359.0</v>
      </c>
      <c r="I597" s="95">
        <v>45367.0</v>
      </c>
      <c r="J597" s="4">
        <v>266.51064026708235</v>
      </c>
      <c r="K597" s="1"/>
      <c r="L597" s="1"/>
      <c r="M597" s="1" t="str">
        <f>VLOOKUP(B597,Bounties!A:D,3,FALSE)</f>
        <v>Operations</v>
      </c>
      <c r="N597" s="1" t="str">
        <f>VLOOKUP(B597,Bounties!A:D,4,FALSE)</f>
        <v>RPCs and Nodes</v>
      </c>
      <c r="O597" s="1" t="str">
        <f t="shared" ref="O597:P597" si="601">IF(ISBLANK(K597),M597,K597)</f>
        <v>Operations</v>
      </c>
      <c r="P597" s="1" t="str">
        <f t="shared" si="601"/>
        <v>RPCs and Nodes</v>
      </c>
      <c r="Q597" s="61" t="str">
        <f t="shared" si="3"/>
        <v>2024</v>
      </c>
      <c r="R597" s="62">
        <f t="shared" si="4"/>
        <v>3</v>
      </c>
      <c r="S597" s="61" t="str">
        <f t="shared" si="5"/>
        <v>2024-Q1</v>
      </c>
      <c r="T597" s="63" t="str">
        <f t="shared" si="6"/>
        <v>2024-03</v>
      </c>
      <c r="U597" s="64" t="str">
        <f t="shared" si="7"/>
        <v>2024-H1</v>
      </c>
      <c r="V597" s="9" t="str">
        <f>VLOOKUP(B597,Bounties!A:E,2,FALSE)</f>
        <v>System Parachains Collator Bounty</v>
      </c>
    </row>
    <row r="598" hidden="1">
      <c r="A598" s="67">
        <f>HYPERLINK("https://polkadot.subsquare.io/treasury/child-bounties/805", 805)</f>
        <v>805</v>
      </c>
      <c r="B598" s="1">
        <v>32.0</v>
      </c>
      <c r="C598" s="1" t="s">
        <v>2414</v>
      </c>
      <c r="D598" s="1" t="s">
        <v>423</v>
      </c>
      <c r="E598" s="5">
        <v>30.4064358675</v>
      </c>
      <c r="F598" s="4">
        <v>335.57688803475037</v>
      </c>
      <c r="G598" s="1" t="s">
        <v>2443</v>
      </c>
      <c r="H598" s="95">
        <v>45359.0</v>
      </c>
      <c r="I598" s="95">
        <v>45367.0</v>
      </c>
      <c r="J598" s="4">
        <v>266.49293427143493</v>
      </c>
      <c r="K598" s="1"/>
      <c r="L598" s="1"/>
      <c r="M598" s="1" t="str">
        <f>VLOOKUP(B598,Bounties!A:D,3,FALSE)</f>
        <v>Operations</v>
      </c>
      <c r="N598" s="1" t="str">
        <f>VLOOKUP(B598,Bounties!A:D,4,FALSE)</f>
        <v>RPCs and Nodes</v>
      </c>
      <c r="O598" s="1" t="str">
        <f t="shared" ref="O598:P598" si="602">IF(ISBLANK(K598),M598,K598)</f>
        <v>Operations</v>
      </c>
      <c r="P598" s="1" t="str">
        <f t="shared" si="602"/>
        <v>RPCs and Nodes</v>
      </c>
      <c r="Q598" s="61" t="str">
        <f t="shared" si="3"/>
        <v>2024</v>
      </c>
      <c r="R598" s="62">
        <f t="shared" si="4"/>
        <v>3</v>
      </c>
      <c r="S598" s="61" t="str">
        <f t="shared" si="5"/>
        <v>2024-Q1</v>
      </c>
      <c r="T598" s="63" t="str">
        <f t="shared" si="6"/>
        <v>2024-03</v>
      </c>
      <c r="U598" s="64" t="str">
        <f t="shared" si="7"/>
        <v>2024-H1</v>
      </c>
      <c r="V598" s="9" t="str">
        <f>VLOOKUP(B598,Bounties!A:E,2,FALSE)</f>
        <v>System Parachains Collator Bounty</v>
      </c>
    </row>
    <row r="599" hidden="1">
      <c r="A599" s="67">
        <f>HYPERLINK("https://polkadot.subsquare.io/treasury/child-bounties/804", 804)</f>
        <v>804</v>
      </c>
      <c r="B599" s="1">
        <v>32.0</v>
      </c>
      <c r="C599" s="1" t="s">
        <v>2414</v>
      </c>
      <c r="D599" s="1" t="s">
        <v>422</v>
      </c>
      <c r="E599" s="5">
        <v>30.345829059</v>
      </c>
      <c r="F599" s="4">
        <v>334.9080084502185</v>
      </c>
      <c r="G599" s="1" t="s">
        <v>2439</v>
      </c>
      <c r="H599" s="95">
        <v>45359.0</v>
      </c>
      <c r="I599" s="95">
        <v>45367.0</v>
      </c>
      <c r="J599" s="4">
        <v>265.961754415158</v>
      </c>
      <c r="K599" s="1"/>
      <c r="L599" s="1"/>
      <c r="M599" s="1" t="str">
        <f>VLOOKUP(B599,Bounties!A:D,3,FALSE)</f>
        <v>Operations</v>
      </c>
      <c r="N599" s="1" t="str">
        <f>VLOOKUP(B599,Bounties!A:D,4,FALSE)</f>
        <v>RPCs and Nodes</v>
      </c>
      <c r="O599" s="1" t="str">
        <f t="shared" ref="O599:P599" si="603">IF(ISBLANK(K599),M599,K599)</f>
        <v>Operations</v>
      </c>
      <c r="P599" s="1" t="str">
        <f t="shared" si="603"/>
        <v>RPCs and Nodes</v>
      </c>
      <c r="Q599" s="61" t="str">
        <f t="shared" si="3"/>
        <v>2024</v>
      </c>
      <c r="R599" s="62">
        <f t="shared" si="4"/>
        <v>3</v>
      </c>
      <c r="S599" s="61" t="str">
        <f t="shared" si="5"/>
        <v>2024-Q1</v>
      </c>
      <c r="T599" s="63" t="str">
        <f t="shared" si="6"/>
        <v>2024-03</v>
      </c>
      <c r="U599" s="64" t="str">
        <f t="shared" si="7"/>
        <v>2024-H1</v>
      </c>
      <c r="V599" s="9" t="str">
        <f>VLOOKUP(B599,Bounties!A:E,2,FALSE)</f>
        <v>System Parachains Collator Bounty</v>
      </c>
    </row>
    <row r="600" hidden="1">
      <c r="A600" s="67">
        <f>HYPERLINK("https://polkadot.subsquare.io/treasury/child-bounties/803", 803)</f>
        <v>803</v>
      </c>
      <c r="B600" s="1">
        <v>32.0</v>
      </c>
      <c r="C600" s="1" t="s">
        <v>2414</v>
      </c>
      <c r="D600" s="1" t="s">
        <v>421</v>
      </c>
      <c r="E600" s="5">
        <v>44.5762861851</v>
      </c>
      <c r="F600" s="4">
        <v>491.960697509142</v>
      </c>
      <c r="G600" s="1" t="s">
        <v>2473</v>
      </c>
      <c r="H600" s="95">
        <v>45359.0</v>
      </c>
      <c r="I600" s="95">
        <v>45367.0</v>
      </c>
      <c r="J600" s="4">
        <v>390.68259615023516</v>
      </c>
      <c r="K600" s="1"/>
      <c r="L600" s="1"/>
      <c r="M600" s="1" t="str">
        <f>VLOOKUP(B600,Bounties!A:D,3,FALSE)</f>
        <v>Operations</v>
      </c>
      <c r="N600" s="1" t="str">
        <f>VLOOKUP(B600,Bounties!A:D,4,FALSE)</f>
        <v>RPCs and Nodes</v>
      </c>
      <c r="O600" s="1" t="str">
        <f t="shared" ref="O600:P600" si="604">IF(ISBLANK(K600),M600,K600)</f>
        <v>Operations</v>
      </c>
      <c r="P600" s="1" t="str">
        <f t="shared" si="604"/>
        <v>RPCs and Nodes</v>
      </c>
      <c r="Q600" s="61" t="str">
        <f t="shared" si="3"/>
        <v>2024</v>
      </c>
      <c r="R600" s="62">
        <f t="shared" si="4"/>
        <v>3</v>
      </c>
      <c r="S600" s="61" t="str">
        <f t="shared" si="5"/>
        <v>2024-Q1</v>
      </c>
      <c r="T600" s="63" t="str">
        <f t="shared" si="6"/>
        <v>2024-03</v>
      </c>
      <c r="U600" s="64" t="str">
        <f t="shared" si="7"/>
        <v>2024-H1</v>
      </c>
      <c r="V600" s="9" t="str">
        <f>VLOOKUP(B600,Bounties!A:E,2,FALSE)</f>
        <v>System Parachains Collator Bounty</v>
      </c>
    </row>
    <row r="601" hidden="1">
      <c r="A601" s="67">
        <f>HYPERLINK("https://polkadot.subsquare.io/treasury/child-bounties/802", 802)</f>
        <v>802</v>
      </c>
      <c r="B601" s="1">
        <v>32.0</v>
      </c>
      <c r="C601" s="1" t="s">
        <v>2414</v>
      </c>
      <c r="D601" s="1" t="s">
        <v>420</v>
      </c>
      <c r="E601" s="5">
        <v>1.6234005066</v>
      </c>
      <c r="F601" s="4">
        <v>17.916459936731687</v>
      </c>
      <c r="G601" s="1" t="s">
        <v>2619</v>
      </c>
      <c r="H601" s="95">
        <v>45359.0</v>
      </c>
      <c r="I601" s="95">
        <v>45367.0</v>
      </c>
      <c r="J601" s="4">
        <v>14.228065610411777</v>
      </c>
      <c r="K601" s="1"/>
      <c r="L601" s="1"/>
      <c r="M601" s="1" t="str">
        <f>VLOOKUP(B601,Bounties!A:D,3,FALSE)</f>
        <v>Operations</v>
      </c>
      <c r="N601" s="1" t="str">
        <f>VLOOKUP(B601,Bounties!A:D,4,FALSE)</f>
        <v>RPCs and Nodes</v>
      </c>
      <c r="O601" s="1" t="str">
        <f t="shared" ref="O601:P601" si="605">IF(ISBLANK(K601),M601,K601)</f>
        <v>Operations</v>
      </c>
      <c r="P601" s="1" t="str">
        <f t="shared" si="605"/>
        <v>RPCs and Nodes</v>
      </c>
      <c r="Q601" s="61" t="str">
        <f t="shared" si="3"/>
        <v>2024</v>
      </c>
      <c r="R601" s="62">
        <f t="shared" si="4"/>
        <v>3</v>
      </c>
      <c r="S601" s="61" t="str">
        <f t="shared" si="5"/>
        <v>2024-Q1</v>
      </c>
      <c r="T601" s="63" t="str">
        <f t="shared" si="6"/>
        <v>2024-03</v>
      </c>
      <c r="U601" s="64" t="str">
        <f t="shared" si="7"/>
        <v>2024-H1</v>
      </c>
      <c r="V601" s="9" t="str">
        <f>VLOOKUP(B601,Bounties!A:E,2,FALSE)</f>
        <v>System Parachains Collator Bounty</v>
      </c>
    </row>
    <row r="602" hidden="1">
      <c r="A602" s="67">
        <f>HYPERLINK("https://polkadot.subsquare.io/treasury/child-bounties/801", 801)</f>
        <v>801</v>
      </c>
      <c r="B602" s="1">
        <v>32.0</v>
      </c>
      <c r="C602" s="1" t="s">
        <v>2414</v>
      </c>
      <c r="D602" s="1" t="s">
        <v>296</v>
      </c>
      <c r="E602" s="5">
        <v>2.5365632916</v>
      </c>
      <c r="F602" s="4">
        <v>27.994468651557128</v>
      </c>
      <c r="G602" s="1" t="s">
        <v>2619</v>
      </c>
      <c r="H602" s="95">
        <v>45359.0</v>
      </c>
      <c r="I602" s="95">
        <v>45367.0</v>
      </c>
      <c r="J602" s="4">
        <v>22.231352516597063</v>
      </c>
      <c r="K602" s="1"/>
      <c r="L602" s="1"/>
      <c r="M602" s="1" t="str">
        <f>VLOOKUP(B602,Bounties!A:D,3,FALSE)</f>
        <v>Operations</v>
      </c>
      <c r="N602" s="1" t="str">
        <f>VLOOKUP(B602,Bounties!A:D,4,FALSE)</f>
        <v>RPCs and Nodes</v>
      </c>
      <c r="O602" s="1" t="str">
        <f t="shared" ref="O602:P602" si="606">IF(ISBLANK(K602),M602,K602)</f>
        <v>Operations</v>
      </c>
      <c r="P602" s="1" t="str">
        <f t="shared" si="606"/>
        <v>RPCs and Nodes</v>
      </c>
      <c r="Q602" s="61" t="str">
        <f t="shared" si="3"/>
        <v>2024</v>
      </c>
      <c r="R602" s="62">
        <f t="shared" si="4"/>
        <v>3</v>
      </c>
      <c r="S602" s="61" t="str">
        <f t="shared" si="5"/>
        <v>2024-Q1</v>
      </c>
      <c r="T602" s="63" t="str">
        <f t="shared" si="6"/>
        <v>2024-03</v>
      </c>
      <c r="U602" s="64" t="str">
        <f t="shared" si="7"/>
        <v>2024-H1</v>
      </c>
      <c r="V602" s="9" t="str">
        <f>VLOOKUP(B602,Bounties!A:E,2,FALSE)</f>
        <v>System Parachains Collator Bounty</v>
      </c>
    </row>
    <row r="603" hidden="1">
      <c r="A603" s="67">
        <f>HYPERLINK("https://polkadot.subsquare.io/treasury/child-bounties/800", 800)</f>
        <v>800</v>
      </c>
      <c r="B603" s="1">
        <v>32.0</v>
      </c>
      <c r="C603" s="1" t="s">
        <v>2414</v>
      </c>
      <c r="D603" s="1" t="s">
        <v>419</v>
      </c>
      <c r="E603" s="5">
        <v>1.6234005066</v>
      </c>
      <c r="F603" s="4">
        <v>17.916459936731687</v>
      </c>
      <c r="G603" s="1" t="s">
        <v>2619</v>
      </c>
      <c r="H603" s="95">
        <v>45359.0</v>
      </c>
      <c r="I603" s="95">
        <v>45367.0</v>
      </c>
      <c r="J603" s="4">
        <v>14.228065610411777</v>
      </c>
      <c r="K603" s="1"/>
      <c r="L603" s="1"/>
      <c r="M603" s="1" t="str">
        <f>VLOOKUP(B603,Bounties!A:D,3,FALSE)</f>
        <v>Operations</v>
      </c>
      <c r="N603" s="1" t="str">
        <f>VLOOKUP(B603,Bounties!A:D,4,FALSE)</f>
        <v>RPCs and Nodes</v>
      </c>
      <c r="O603" s="1" t="str">
        <f t="shared" ref="O603:P603" si="607">IF(ISBLANK(K603),M603,K603)</f>
        <v>Operations</v>
      </c>
      <c r="P603" s="1" t="str">
        <f t="shared" si="607"/>
        <v>RPCs and Nodes</v>
      </c>
      <c r="Q603" s="61" t="str">
        <f t="shared" si="3"/>
        <v>2024</v>
      </c>
      <c r="R603" s="62">
        <f t="shared" si="4"/>
        <v>3</v>
      </c>
      <c r="S603" s="61" t="str">
        <f t="shared" si="5"/>
        <v>2024-Q1</v>
      </c>
      <c r="T603" s="63" t="str">
        <f t="shared" si="6"/>
        <v>2024-03</v>
      </c>
      <c r="U603" s="64" t="str">
        <f t="shared" si="7"/>
        <v>2024-H1</v>
      </c>
      <c r="V603" s="9" t="str">
        <f>VLOOKUP(B603,Bounties!A:E,2,FALSE)</f>
        <v>System Parachains Collator Bounty</v>
      </c>
    </row>
    <row r="604" hidden="1">
      <c r="A604" s="67">
        <f>HYPERLINK("https://polkadot.subsquare.io/treasury/child-bounties/799", 799)</f>
        <v>799</v>
      </c>
      <c r="B604" s="1">
        <v>32.0</v>
      </c>
      <c r="C604" s="1" t="s">
        <v>2414</v>
      </c>
      <c r="D604" s="1" t="s">
        <v>418</v>
      </c>
      <c r="E604" s="5">
        <v>7.7862511851</v>
      </c>
      <c r="F604" s="4">
        <v>85.93200313047986</v>
      </c>
      <c r="G604" s="1" t="s">
        <v>2437</v>
      </c>
      <c r="H604" s="95">
        <v>45359.0</v>
      </c>
      <c r="I604" s="95">
        <v>45367.0</v>
      </c>
      <c r="J604" s="4">
        <v>68.24150434249302</v>
      </c>
      <c r="K604" s="1"/>
      <c r="L604" s="1"/>
      <c r="M604" s="1" t="str">
        <f>VLOOKUP(B604,Bounties!A:D,3,FALSE)</f>
        <v>Operations</v>
      </c>
      <c r="N604" s="1" t="str">
        <f>VLOOKUP(B604,Bounties!A:D,4,FALSE)</f>
        <v>RPCs and Nodes</v>
      </c>
      <c r="O604" s="1" t="str">
        <f t="shared" ref="O604:P604" si="608">IF(ISBLANK(K604),M604,K604)</f>
        <v>Operations</v>
      </c>
      <c r="P604" s="1" t="str">
        <f t="shared" si="608"/>
        <v>RPCs and Nodes</v>
      </c>
      <c r="Q604" s="61" t="str">
        <f t="shared" si="3"/>
        <v>2024</v>
      </c>
      <c r="R604" s="62">
        <f t="shared" si="4"/>
        <v>3</v>
      </c>
      <c r="S604" s="61" t="str">
        <f t="shared" si="5"/>
        <v>2024-Q1</v>
      </c>
      <c r="T604" s="63" t="str">
        <f t="shared" si="6"/>
        <v>2024-03</v>
      </c>
      <c r="U604" s="64" t="str">
        <f t="shared" si="7"/>
        <v>2024-H1</v>
      </c>
      <c r="V604" s="9" t="str">
        <f>VLOOKUP(B604,Bounties!A:E,2,FALSE)</f>
        <v>System Parachains Collator Bounty</v>
      </c>
    </row>
    <row r="605" hidden="1">
      <c r="A605" s="67">
        <f>HYPERLINK("https://polkadot.subsquare.io/treasury/child-bounties/798", 798)</f>
        <v>798</v>
      </c>
      <c r="B605" s="1">
        <v>32.0</v>
      </c>
      <c r="C605" s="1" t="s">
        <v>2414</v>
      </c>
      <c r="D605" s="1" t="s">
        <v>417</v>
      </c>
      <c r="E605" s="5">
        <v>7.7862511851</v>
      </c>
      <c r="F605" s="4">
        <v>85.93200313047986</v>
      </c>
      <c r="G605" s="1" t="s">
        <v>2463</v>
      </c>
      <c r="H605" s="95">
        <v>45359.0</v>
      </c>
      <c r="I605" s="95">
        <v>45367.0</v>
      </c>
      <c r="J605" s="4">
        <v>68.24150434249302</v>
      </c>
      <c r="K605" s="1"/>
      <c r="L605" s="1"/>
      <c r="M605" s="1" t="str">
        <f>VLOOKUP(B605,Bounties!A:D,3,FALSE)</f>
        <v>Operations</v>
      </c>
      <c r="N605" s="1" t="str">
        <f>VLOOKUP(B605,Bounties!A:D,4,FALSE)</f>
        <v>RPCs and Nodes</v>
      </c>
      <c r="O605" s="1" t="str">
        <f t="shared" ref="O605:P605" si="609">IF(ISBLANK(K605),M605,K605)</f>
        <v>Operations</v>
      </c>
      <c r="P605" s="1" t="str">
        <f t="shared" si="609"/>
        <v>RPCs and Nodes</v>
      </c>
      <c r="Q605" s="61" t="str">
        <f t="shared" si="3"/>
        <v>2024</v>
      </c>
      <c r="R605" s="62">
        <f t="shared" si="4"/>
        <v>3</v>
      </c>
      <c r="S605" s="61" t="str">
        <f t="shared" si="5"/>
        <v>2024-Q1</v>
      </c>
      <c r="T605" s="63" t="str">
        <f t="shared" si="6"/>
        <v>2024-03</v>
      </c>
      <c r="U605" s="64" t="str">
        <f t="shared" si="7"/>
        <v>2024-H1</v>
      </c>
      <c r="V605" s="9" t="str">
        <f>VLOOKUP(B605,Bounties!A:E,2,FALSE)</f>
        <v>System Parachains Collator Bounty</v>
      </c>
    </row>
    <row r="606" hidden="1">
      <c r="A606" s="67">
        <f>HYPERLINK("https://polkadot.subsquare.io/treasury/child-bounties/797", 797)</f>
        <v>797</v>
      </c>
      <c r="B606" s="1">
        <v>32.0</v>
      </c>
      <c r="C606" s="1" t="s">
        <v>2414</v>
      </c>
      <c r="D606" s="1" t="s">
        <v>416</v>
      </c>
      <c r="E606" s="5">
        <v>7.7862511851</v>
      </c>
      <c r="F606" s="4">
        <v>85.93200313047986</v>
      </c>
      <c r="G606" s="1" t="s">
        <v>2438</v>
      </c>
      <c r="H606" s="95">
        <v>45359.0</v>
      </c>
      <c r="I606" s="95">
        <v>45367.0</v>
      </c>
      <c r="J606" s="4">
        <v>68.24150434249302</v>
      </c>
      <c r="K606" s="1"/>
      <c r="L606" s="1"/>
      <c r="M606" s="1" t="str">
        <f>VLOOKUP(B606,Bounties!A:D,3,FALSE)</f>
        <v>Operations</v>
      </c>
      <c r="N606" s="1" t="str">
        <f>VLOOKUP(B606,Bounties!A:D,4,FALSE)</f>
        <v>RPCs and Nodes</v>
      </c>
      <c r="O606" s="1" t="str">
        <f t="shared" ref="O606:P606" si="610">IF(ISBLANK(K606),M606,K606)</f>
        <v>Operations</v>
      </c>
      <c r="P606" s="1" t="str">
        <f t="shared" si="610"/>
        <v>RPCs and Nodes</v>
      </c>
      <c r="Q606" s="61" t="str">
        <f t="shared" si="3"/>
        <v>2024</v>
      </c>
      <c r="R606" s="62">
        <f t="shared" si="4"/>
        <v>3</v>
      </c>
      <c r="S606" s="61" t="str">
        <f t="shared" si="5"/>
        <v>2024-Q1</v>
      </c>
      <c r="T606" s="63" t="str">
        <f t="shared" si="6"/>
        <v>2024-03</v>
      </c>
      <c r="U606" s="64" t="str">
        <f t="shared" si="7"/>
        <v>2024-H1</v>
      </c>
      <c r="V606" s="9" t="str">
        <f>VLOOKUP(B606,Bounties!A:E,2,FALSE)</f>
        <v>System Parachains Collator Bounty</v>
      </c>
    </row>
    <row r="607" hidden="1">
      <c r="A607" s="67">
        <f>HYPERLINK("https://polkadot.subsquare.io/treasury/child-bounties/796", 796)</f>
        <v>796</v>
      </c>
      <c r="B607" s="1">
        <v>32.0</v>
      </c>
      <c r="C607" s="1" t="s">
        <v>2414</v>
      </c>
      <c r="D607" s="1" t="s">
        <v>415</v>
      </c>
      <c r="E607" s="5">
        <v>44.6148215109</v>
      </c>
      <c r="F607" s="4">
        <v>492.38598789068226</v>
      </c>
      <c r="G607" s="1" t="s">
        <v>2475</v>
      </c>
      <c r="H607" s="95">
        <v>45359.0</v>
      </c>
      <c r="I607" s="95">
        <v>45367.0</v>
      </c>
      <c r="J607" s="4">
        <v>391.02033359800106</v>
      </c>
      <c r="K607" s="1"/>
      <c r="L607" s="1"/>
      <c r="M607" s="1" t="str">
        <f>VLOOKUP(B607,Bounties!A:D,3,FALSE)</f>
        <v>Operations</v>
      </c>
      <c r="N607" s="1" t="str">
        <f>VLOOKUP(B607,Bounties!A:D,4,FALSE)</f>
        <v>RPCs and Nodes</v>
      </c>
      <c r="O607" s="1" t="str">
        <f t="shared" ref="O607:P607" si="611">IF(ISBLANK(K607),M607,K607)</f>
        <v>Operations</v>
      </c>
      <c r="P607" s="1" t="str">
        <f t="shared" si="611"/>
        <v>RPCs and Nodes</v>
      </c>
      <c r="Q607" s="61" t="str">
        <f t="shared" si="3"/>
        <v>2024</v>
      </c>
      <c r="R607" s="62">
        <f t="shared" si="4"/>
        <v>3</v>
      </c>
      <c r="S607" s="61" t="str">
        <f t="shared" si="5"/>
        <v>2024-Q1</v>
      </c>
      <c r="T607" s="63" t="str">
        <f t="shared" si="6"/>
        <v>2024-03</v>
      </c>
      <c r="U607" s="64" t="str">
        <f t="shared" si="7"/>
        <v>2024-H1</v>
      </c>
      <c r="V607" s="9" t="str">
        <f>VLOOKUP(B607,Bounties!A:E,2,FALSE)</f>
        <v>System Parachains Collator Bounty</v>
      </c>
    </row>
    <row r="608" hidden="1">
      <c r="A608" s="67">
        <f>HYPERLINK("https://polkadot.subsquare.io/treasury/child-bounties/795", 795)</f>
        <v>795</v>
      </c>
      <c r="B608" s="1">
        <v>32.0</v>
      </c>
      <c r="C608" s="1" t="s">
        <v>2414</v>
      </c>
      <c r="D608" s="1" t="s">
        <v>414</v>
      </c>
      <c r="E608" s="5">
        <v>44.5259591656</v>
      </c>
      <c r="F608" s="4">
        <v>491.4052695510127</v>
      </c>
      <c r="G608" s="1" t="s">
        <v>2443</v>
      </c>
      <c r="H608" s="95">
        <v>45359.0</v>
      </c>
      <c r="I608" s="95">
        <v>45367.0</v>
      </c>
      <c r="J608" s="4">
        <v>390.241512060073</v>
      </c>
      <c r="K608" s="1"/>
      <c r="L608" s="1"/>
      <c r="M608" s="1" t="str">
        <f>VLOOKUP(B608,Bounties!A:D,3,FALSE)</f>
        <v>Operations</v>
      </c>
      <c r="N608" s="1" t="str">
        <f>VLOOKUP(B608,Bounties!A:D,4,FALSE)</f>
        <v>RPCs and Nodes</v>
      </c>
      <c r="O608" s="1" t="str">
        <f t="shared" ref="O608:P608" si="612">IF(ISBLANK(K608),M608,K608)</f>
        <v>Operations</v>
      </c>
      <c r="P608" s="1" t="str">
        <f t="shared" si="612"/>
        <v>RPCs and Nodes</v>
      </c>
      <c r="Q608" s="61" t="str">
        <f t="shared" si="3"/>
        <v>2024</v>
      </c>
      <c r="R608" s="62">
        <f t="shared" si="4"/>
        <v>3</v>
      </c>
      <c r="S608" s="61" t="str">
        <f t="shared" si="5"/>
        <v>2024-Q1</v>
      </c>
      <c r="T608" s="63" t="str">
        <f t="shared" si="6"/>
        <v>2024-03</v>
      </c>
      <c r="U608" s="64" t="str">
        <f t="shared" si="7"/>
        <v>2024-H1</v>
      </c>
      <c r="V608" s="9" t="str">
        <f>VLOOKUP(B608,Bounties!A:E,2,FALSE)</f>
        <v>System Parachains Collator Bounty</v>
      </c>
    </row>
    <row r="609" hidden="1">
      <c r="A609" s="67">
        <f>HYPERLINK("https://polkadot.subsquare.io/treasury/child-bounties/794", 794)</f>
        <v>794</v>
      </c>
      <c r="B609" s="1">
        <v>32.0</v>
      </c>
      <c r="C609" s="1" t="s">
        <v>2414</v>
      </c>
      <c r="D609" s="1" t="s">
        <v>413</v>
      </c>
      <c r="E609" s="5">
        <v>44.5881628073</v>
      </c>
      <c r="F609" s="4">
        <v>492.091772388671</v>
      </c>
      <c r="G609" s="1" t="s">
        <v>2444</v>
      </c>
      <c r="H609" s="95">
        <v>45359.0</v>
      </c>
      <c r="I609" s="95">
        <v>45367.0</v>
      </c>
      <c r="J609" s="4">
        <v>390.786687136535</v>
      </c>
      <c r="K609" s="1"/>
      <c r="L609" s="1"/>
      <c r="M609" s="1" t="str">
        <f>VLOOKUP(B609,Bounties!A:D,3,FALSE)</f>
        <v>Operations</v>
      </c>
      <c r="N609" s="1" t="str">
        <f>VLOOKUP(B609,Bounties!A:D,4,FALSE)</f>
        <v>RPCs and Nodes</v>
      </c>
      <c r="O609" s="1" t="str">
        <f t="shared" ref="O609:P609" si="613">IF(ISBLANK(K609),M609,K609)</f>
        <v>Operations</v>
      </c>
      <c r="P609" s="1" t="str">
        <f t="shared" si="613"/>
        <v>RPCs and Nodes</v>
      </c>
      <c r="Q609" s="61" t="str">
        <f t="shared" si="3"/>
        <v>2024</v>
      </c>
      <c r="R609" s="62">
        <f t="shared" si="4"/>
        <v>3</v>
      </c>
      <c r="S609" s="61" t="str">
        <f t="shared" si="5"/>
        <v>2024-Q1</v>
      </c>
      <c r="T609" s="63" t="str">
        <f t="shared" si="6"/>
        <v>2024-03</v>
      </c>
      <c r="U609" s="64" t="str">
        <f t="shared" si="7"/>
        <v>2024-H1</v>
      </c>
      <c r="V609" s="9" t="str">
        <f>VLOOKUP(B609,Bounties!A:E,2,FALSE)</f>
        <v>System Parachains Collator Bounty</v>
      </c>
    </row>
    <row r="610" hidden="1">
      <c r="A610" s="67">
        <f>HYPERLINK("https://polkadot.subsquare.io/treasury/child-bounties/793", 793)</f>
        <v>793</v>
      </c>
      <c r="B610" s="1">
        <v>32.0</v>
      </c>
      <c r="C610" s="1" t="s">
        <v>2414</v>
      </c>
      <c r="D610" s="1" t="s">
        <v>412</v>
      </c>
      <c r="E610" s="5">
        <v>44.549655791</v>
      </c>
      <c r="F610" s="4">
        <v>491.6667944414441</v>
      </c>
      <c r="G610" s="1" t="s">
        <v>2445</v>
      </c>
      <c r="H610" s="95">
        <v>45359.0</v>
      </c>
      <c r="I610" s="95">
        <v>45367.0</v>
      </c>
      <c r="J610" s="4">
        <v>390.4491978034036</v>
      </c>
      <c r="K610" s="1"/>
      <c r="L610" s="1"/>
      <c r="M610" s="1" t="str">
        <f>VLOOKUP(B610,Bounties!A:D,3,FALSE)</f>
        <v>Operations</v>
      </c>
      <c r="N610" s="1" t="str">
        <f>VLOOKUP(B610,Bounties!A:D,4,FALSE)</f>
        <v>RPCs and Nodes</v>
      </c>
      <c r="O610" s="1" t="str">
        <f t="shared" ref="O610:P610" si="614">IF(ISBLANK(K610),M610,K610)</f>
        <v>Operations</v>
      </c>
      <c r="P610" s="1" t="str">
        <f t="shared" si="614"/>
        <v>RPCs and Nodes</v>
      </c>
      <c r="Q610" s="61" t="str">
        <f t="shared" si="3"/>
        <v>2024</v>
      </c>
      <c r="R610" s="62">
        <f t="shared" si="4"/>
        <v>3</v>
      </c>
      <c r="S610" s="61" t="str">
        <f t="shared" si="5"/>
        <v>2024-Q1</v>
      </c>
      <c r="T610" s="63" t="str">
        <f t="shared" si="6"/>
        <v>2024-03</v>
      </c>
      <c r="U610" s="64" t="str">
        <f t="shared" si="7"/>
        <v>2024-H1</v>
      </c>
      <c r="V610" s="9" t="str">
        <f>VLOOKUP(B610,Bounties!A:E,2,FALSE)</f>
        <v>System Parachains Collator Bounty</v>
      </c>
    </row>
    <row r="611" hidden="1">
      <c r="A611" s="67">
        <f>HYPERLINK("https://polkadot.subsquare.io/treasury/child-bounties/792", 792)</f>
        <v>792</v>
      </c>
      <c r="B611" s="1">
        <v>32.0</v>
      </c>
      <c r="C611" s="1" t="s">
        <v>2414</v>
      </c>
      <c r="D611" s="1" t="s">
        <v>411</v>
      </c>
      <c r="E611" s="5">
        <v>44.5022625401</v>
      </c>
      <c r="F611" s="4">
        <v>491.14374465947765</v>
      </c>
      <c r="G611" s="1" t="s">
        <v>2439</v>
      </c>
      <c r="H611" s="95">
        <v>45359.0</v>
      </c>
      <c r="I611" s="95">
        <v>45367.0</v>
      </c>
      <c r="J611" s="4">
        <v>390.0338263158659</v>
      </c>
      <c r="K611" s="1"/>
      <c r="L611" s="1"/>
      <c r="M611" s="1" t="str">
        <f>VLOOKUP(B611,Bounties!A:D,3,FALSE)</f>
        <v>Operations</v>
      </c>
      <c r="N611" s="1" t="str">
        <f>VLOOKUP(B611,Bounties!A:D,4,FALSE)</f>
        <v>RPCs and Nodes</v>
      </c>
      <c r="O611" s="1" t="str">
        <f t="shared" ref="O611:P611" si="615">IF(ISBLANK(K611),M611,K611)</f>
        <v>Operations</v>
      </c>
      <c r="P611" s="1" t="str">
        <f t="shared" si="615"/>
        <v>RPCs and Nodes</v>
      </c>
      <c r="Q611" s="61" t="str">
        <f t="shared" si="3"/>
        <v>2024</v>
      </c>
      <c r="R611" s="62">
        <f t="shared" si="4"/>
        <v>3</v>
      </c>
      <c r="S611" s="61" t="str">
        <f t="shared" si="5"/>
        <v>2024-Q1</v>
      </c>
      <c r="T611" s="63" t="str">
        <f t="shared" si="6"/>
        <v>2024-03</v>
      </c>
      <c r="U611" s="64" t="str">
        <f t="shared" si="7"/>
        <v>2024-H1</v>
      </c>
      <c r="V611" s="9" t="str">
        <f>VLOOKUP(B611,Bounties!A:E,2,FALSE)</f>
        <v>System Parachains Collator Bounty</v>
      </c>
    </row>
    <row r="612" hidden="1">
      <c r="A612" s="67">
        <f>HYPERLINK("https://polkadot.subsquare.io/treasury/child-bounties/791", 791)</f>
        <v>791</v>
      </c>
      <c r="B612" s="1">
        <v>32.0</v>
      </c>
      <c r="C612" s="1" t="s">
        <v>2414</v>
      </c>
      <c r="D612" s="1" t="s">
        <v>410</v>
      </c>
      <c r="E612" s="5">
        <v>44.5289212437</v>
      </c>
      <c r="F612" s="4">
        <v>491.4379601614889</v>
      </c>
      <c r="G612" s="1" t="s">
        <v>2465</v>
      </c>
      <c r="H612" s="95">
        <v>45359.0</v>
      </c>
      <c r="I612" s="95">
        <v>45367.0</v>
      </c>
      <c r="J612" s="4">
        <v>390.26747277733193</v>
      </c>
      <c r="K612" s="1"/>
      <c r="L612" s="1"/>
      <c r="M612" s="1" t="str">
        <f>VLOOKUP(B612,Bounties!A:D,3,FALSE)</f>
        <v>Operations</v>
      </c>
      <c r="N612" s="1" t="str">
        <f>VLOOKUP(B612,Bounties!A:D,4,FALSE)</f>
        <v>RPCs and Nodes</v>
      </c>
      <c r="O612" s="1" t="str">
        <f t="shared" ref="O612:P612" si="616">IF(ISBLANK(K612),M612,K612)</f>
        <v>Operations</v>
      </c>
      <c r="P612" s="1" t="str">
        <f t="shared" si="616"/>
        <v>RPCs and Nodes</v>
      </c>
      <c r="Q612" s="61" t="str">
        <f t="shared" si="3"/>
        <v>2024</v>
      </c>
      <c r="R612" s="62">
        <f t="shared" si="4"/>
        <v>3</v>
      </c>
      <c r="S612" s="61" t="str">
        <f t="shared" si="5"/>
        <v>2024-Q1</v>
      </c>
      <c r="T612" s="63" t="str">
        <f t="shared" si="6"/>
        <v>2024-03</v>
      </c>
      <c r="U612" s="64" t="str">
        <f t="shared" si="7"/>
        <v>2024-H1</v>
      </c>
      <c r="V612" s="9" t="str">
        <f>VLOOKUP(B612,Bounties!A:E,2,FALSE)</f>
        <v>System Parachains Collator Bounty</v>
      </c>
    </row>
    <row r="613" hidden="1">
      <c r="A613" s="67">
        <f>HYPERLINK("https://polkadot.subsquare.io/treasury/child-bounties/790", 790)</f>
        <v>790</v>
      </c>
      <c r="B613" s="1">
        <v>32.0</v>
      </c>
      <c r="C613" s="1" t="s">
        <v>2414</v>
      </c>
      <c r="D613" s="1" t="s">
        <v>409</v>
      </c>
      <c r="E613" s="5">
        <v>30.4387594988</v>
      </c>
      <c r="F613" s="4">
        <v>335.933623814271</v>
      </c>
      <c r="G613" s="1" t="s">
        <v>2459</v>
      </c>
      <c r="H613" s="95">
        <v>45359.0</v>
      </c>
      <c r="I613" s="95">
        <v>45367.0</v>
      </c>
      <c r="J613" s="4">
        <v>266.776230195659</v>
      </c>
      <c r="K613" s="1"/>
      <c r="L613" s="1"/>
      <c r="M613" s="1" t="str">
        <f>VLOOKUP(B613,Bounties!A:D,3,FALSE)</f>
        <v>Operations</v>
      </c>
      <c r="N613" s="1" t="str">
        <f>VLOOKUP(B613,Bounties!A:D,4,FALSE)</f>
        <v>RPCs and Nodes</v>
      </c>
      <c r="O613" s="1" t="str">
        <f t="shared" ref="O613:P613" si="617">IF(ISBLANK(K613),M613,K613)</f>
        <v>Operations</v>
      </c>
      <c r="P613" s="1" t="str">
        <f t="shared" si="617"/>
        <v>RPCs and Nodes</v>
      </c>
      <c r="Q613" s="61" t="str">
        <f t="shared" si="3"/>
        <v>2024</v>
      </c>
      <c r="R613" s="62">
        <f t="shared" si="4"/>
        <v>3</v>
      </c>
      <c r="S613" s="61" t="str">
        <f t="shared" si="5"/>
        <v>2024-Q1</v>
      </c>
      <c r="T613" s="63" t="str">
        <f t="shared" si="6"/>
        <v>2024-03</v>
      </c>
      <c r="U613" s="64" t="str">
        <f t="shared" si="7"/>
        <v>2024-H1</v>
      </c>
      <c r="V613" s="9" t="str">
        <f>VLOOKUP(B613,Bounties!A:E,2,FALSE)</f>
        <v>System Parachains Collator Bounty</v>
      </c>
    </row>
    <row r="614" hidden="1">
      <c r="A614" s="67">
        <f>HYPERLINK("https://polkadot.subsquare.io/treasury/child-bounties/789", 789)</f>
        <v>789</v>
      </c>
      <c r="B614" s="1">
        <v>32.0</v>
      </c>
      <c r="C614" s="1" t="s">
        <v>2414</v>
      </c>
      <c r="D614" s="1" t="s">
        <v>408</v>
      </c>
      <c r="E614" s="5">
        <v>30.3054775956</v>
      </c>
      <c r="F614" s="4">
        <v>334.46267448952585</v>
      </c>
      <c r="G614" s="1" t="s">
        <v>2441</v>
      </c>
      <c r="H614" s="95">
        <v>45359.0</v>
      </c>
      <c r="I614" s="95">
        <v>45367.0</v>
      </c>
      <c r="J614" s="4">
        <v>265.6080996846111</v>
      </c>
      <c r="K614" s="1"/>
      <c r="L614" s="1"/>
      <c r="M614" s="1" t="str">
        <f>VLOOKUP(B614,Bounties!A:D,3,FALSE)</f>
        <v>Operations</v>
      </c>
      <c r="N614" s="1" t="str">
        <f>VLOOKUP(B614,Bounties!A:D,4,FALSE)</f>
        <v>RPCs and Nodes</v>
      </c>
      <c r="O614" s="1" t="str">
        <f t="shared" ref="O614:P614" si="618">IF(ISBLANK(K614),M614,K614)</f>
        <v>Operations</v>
      </c>
      <c r="P614" s="1" t="str">
        <f t="shared" si="618"/>
        <v>RPCs and Nodes</v>
      </c>
      <c r="Q614" s="61" t="str">
        <f t="shared" si="3"/>
        <v>2024</v>
      </c>
      <c r="R614" s="62">
        <f t="shared" si="4"/>
        <v>3</v>
      </c>
      <c r="S614" s="61" t="str">
        <f t="shared" si="5"/>
        <v>2024-Q1</v>
      </c>
      <c r="T614" s="63" t="str">
        <f t="shared" si="6"/>
        <v>2024-03</v>
      </c>
      <c r="U614" s="64" t="str">
        <f t="shared" si="7"/>
        <v>2024-H1</v>
      </c>
      <c r="V614" s="9" t="str">
        <f>VLOOKUP(B614,Bounties!A:E,2,FALSE)</f>
        <v>System Parachains Collator Bounty</v>
      </c>
    </row>
    <row r="615" hidden="1">
      <c r="A615" s="67">
        <f>HYPERLINK("https://polkadot.subsquare.io/treasury/child-bounties/788", 788)</f>
        <v>788</v>
      </c>
      <c r="B615" s="1">
        <v>32.0</v>
      </c>
      <c r="C615" s="1" t="s">
        <v>2414</v>
      </c>
      <c r="D615" s="1" t="s">
        <v>407</v>
      </c>
      <c r="E615" s="5">
        <v>30.1903704974</v>
      </c>
      <c r="F615" s="4">
        <v>333.1923091638103</v>
      </c>
      <c r="G615" s="1" t="s">
        <v>2469</v>
      </c>
      <c r="H615" s="95">
        <v>45359.0</v>
      </c>
      <c r="I615" s="95">
        <v>45367.0</v>
      </c>
      <c r="J615" s="4">
        <v>264.5992596979563</v>
      </c>
      <c r="K615" s="1"/>
      <c r="L615" s="1"/>
      <c r="M615" s="1" t="str">
        <f>VLOOKUP(B615,Bounties!A:D,3,FALSE)</f>
        <v>Operations</v>
      </c>
      <c r="N615" s="1" t="str">
        <f>VLOOKUP(B615,Bounties!A:D,4,FALSE)</f>
        <v>RPCs and Nodes</v>
      </c>
      <c r="O615" s="1" t="str">
        <f t="shared" ref="O615:P615" si="619">IF(ISBLANK(K615),M615,K615)</f>
        <v>Operations</v>
      </c>
      <c r="P615" s="1" t="str">
        <f t="shared" si="619"/>
        <v>RPCs and Nodes</v>
      </c>
      <c r="Q615" s="61" t="str">
        <f t="shared" si="3"/>
        <v>2024</v>
      </c>
      <c r="R615" s="62">
        <f t="shared" si="4"/>
        <v>3</v>
      </c>
      <c r="S615" s="61" t="str">
        <f t="shared" si="5"/>
        <v>2024-Q1</v>
      </c>
      <c r="T615" s="63" t="str">
        <f t="shared" si="6"/>
        <v>2024-03</v>
      </c>
      <c r="U615" s="64" t="str">
        <f t="shared" si="7"/>
        <v>2024-H1</v>
      </c>
      <c r="V615" s="9" t="str">
        <f>VLOOKUP(B615,Bounties!A:E,2,FALSE)</f>
        <v>System Parachains Collator Bounty</v>
      </c>
    </row>
    <row r="616" hidden="1">
      <c r="A616" s="67">
        <f>HYPERLINK("https://polkadot.subsquare.io/treasury/child-bounties/787", 787)</f>
        <v>787</v>
      </c>
      <c r="B616" s="1">
        <v>32.0</v>
      </c>
      <c r="C616" s="1" t="s">
        <v>2414</v>
      </c>
      <c r="D616" s="1" t="s">
        <v>406</v>
      </c>
      <c r="E616" s="5">
        <v>29.9399620732</v>
      </c>
      <c r="F616" s="4">
        <v>330.42870740210105</v>
      </c>
      <c r="G616" s="1" t="s">
        <v>2471</v>
      </c>
      <c r="H616" s="95">
        <v>45359.0</v>
      </c>
      <c r="I616" s="95">
        <v>45367.0</v>
      </c>
      <c r="J616" s="4">
        <v>262.40459025290403</v>
      </c>
      <c r="K616" s="1"/>
      <c r="L616" s="1"/>
      <c r="M616" s="1" t="str">
        <f>VLOOKUP(B616,Bounties!A:D,3,FALSE)</f>
        <v>Operations</v>
      </c>
      <c r="N616" s="1" t="str">
        <f>VLOOKUP(B616,Bounties!A:D,4,FALSE)</f>
        <v>RPCs and Nodes</v>
      </c>
      <c r="O616" s="1" t="str">
        <f t="shared" ref="O616:P616" si="620">IF(ISBLANK(K616),M616,K616)</f>
        <v>Operations</v>
      </c>
      <c r="P616" s="1" t="str">
        <f t="shared" si="620"/>
        <v>RPCs and Nodes</v>
      </c>
      <c r="Q616" s="61" t="str">
        <f t="shared" si="3"/>
        <v>2024</v>
      </c>
      <c r="R616" s="62">
        <f t="shared" si="4"/>
        <v>3</v>
      </c>
      <c r="S616" s="61" t="str">
        <f t="shared" si="5"/>
        <v>2024-Q1</v>
      </c>
      <c r="T616" s="63" t="str">
        <f t="shared" si="6"/>
        <v>2024-03</v>
      </c>
      <c r="U616" s="64" t="str">
        <f t="shared" si="7"/>
        <v>2024-H1</v>
      </c>
      <c r="V616" s="9" t="str">
        <f>VLOOKUP(B616,Bounties!A:E,2,FALSE)</f>
        <v>System Parachains Collator Bounty</v>
      </c>
    </row>
    <row r="617" hidden="1">
      <c r="A617" s="67">
        <f>HYPERLINK("https://polkadot.subsquare.io/treasury/child-bounties/786", 786)</f>
        <v>786</v>
      </c>
      <c r="B617" s="1">
        <v>32.0</v>
      </c>
      <c r="C617" s="1" t="s">
        <v>2414</v>
      </c>
      <c r="D617" s="1" t="s">
        <v>405</v>
      </c>
      <c r="E617" s="5">
        <v>30.4084681572</v>
      </c>
      <c r="F617" s="4">
        <v>335.5993171499575</v>
      </c>
      <c r="G617" s="1" t="s">
        <v>2442</v>
      </c>
      <c r="H617" s="95">
        <v>45359.0</v>
      </c>
      <c r="I617" s="95">
        <v>45367.0</v>
      </c>
      <c r="J617" s="4">
        <v>266.5107459889214</v>
      </c>
      <c r="K617" s="1"/>
      <c r="L617" s="1"/>
      <c r="M617" s="1" t="str">
        <f>VLOOKUP(B617,Bounties!A:D,3,FALSE)</f>
        <v>Operations</v>
      </c>
      <c r="N617" s="1" t="str">
        <f>VLOOKUP(B617,Bounties!A:D,4,FALSE)</f>
        <v>RPCs and Nodes</v>
      </c>
      <c r="O617" s="1" t="str">
        <f t="shared" ref="O617:P617" si="621">IF(ISBLANK(K617),M617,K617)</f>
        <v>Operations</v>
      </c>
      <c r="P617" s="1" t="str">
        <f t="shared" si="621"/>
        <v>RPCs and Nodes</v>
      </c>
      <c r="Q617" s="61" t="str">
        <f t="shared" si="3"/>
        <v>2024</v>
      </c>
      <c r="R617" s="62">
        <f t="shared" si="4"/>
        <v>3</v>
      </c>
      <c r="S617" s="61" t="str">
        <f t="shared" si="5"/>
        <v>2024-Q1</v>
      </c>
      <c r="T617" s="63" t="str">
        <f t="shared" si="6"/>
        <v>2024-03</v>
      </c>
      <c r="U617" s="64" t="str">
        <f t="shared" si="7"/>
        <v>2024-H1</v>
      </c>
      <c r="V617" s="9" t="str">
        <f>VLOOKUP(B617,Bounties!A:E,2,FALSE)</f>
        <v>System Parachains Collator Bounty</v>
      </c>
    </row>
    <row r="618" hidden="1">
      <c r="A618" s="67">
        <f>HYPERLINK("https://polkadot.subsquare.io/treasury/child-bounties/785", 785)</f>
        <v>785</v>
      </c>
      <c r="B618" s="1">
        <v>32.0</v>
      </c>
      <c r="C618" s="1" t="s">
        <v>2414</v>
      </c>
      <c r="D618" s="1" t="s">
        <v>404</v>
      </c>
      <c r="E618" s="5">
        <v>44.4222864294</v>
      </c>
      <c r="F618" s="4">
        <v>490.26109815454765</v>
      </c>
      <c r="G618" s="1" t="s">
        <v>2546</v>
      </c>
      <c r="H618" s="95">
        <v>45359.0</v>
      </c>
      <c r="I618" s="95">
        <v>45367.0</v>
      </c>
      <c r="J618" s="4">
        <v>389.33288693234414</v>
      </c>
      <c r="K618" s="1"/>
      <c r="L618" s="1"/>
      <c r="M618" s="1" t="str">
        <f>VLOOKUP(B618,Bounties!A:D,3,FALSE)</f>
        <v>Operations</v>
      </c>
      <c r="N618" s="1" t="str">
        <f>VLOOKUP(B618,Bounties!A:D,4,FALSE)</f>
        <v>RPCs and Nodes</v>
      </c>
      <c r="O618" s="1" t="str">
        <f t="shared" ref="O618:P618" si="622">IF(ISBLANK(K618),M618,K618)</f>
        <v>Operations</v>
      </c>
      <c r="P618" s="1" t="str">
        <f t="shared" si="622"/>
        <v>RPCs and Nodes</v>
      </c>
      <c r="Q618" s="61" t="str">
        <f t="shared" si="3"/>
        <v>2024</v>
      </c>
      <c r="R618" s="62">
        <f t="shared" si="4"/>
        <v>3</v>
      </c>
      <c r="S618" s="61" t="str">
        <f t="shared" si="5"/>
        <v>2024-Q1</v>
      </c>
      <c r="T618" s="63" t="str">
        <f t="shared" si="6"/>
        <v>2024-03</v>
      </c>
      <c r="U618" s="64" t="str">
        <f t="shared" si="7"/>
        <v>2024-H1</v>
      </c>
      <c r="V618" s="9" t="str">
        <f>VLOOKUP(B618,Bounties!A:E,2,FALSE)</f>
        <v>System Parachains Collator Bounty</v>
      </c>
    </row>
    <row r="619" hidden="1">
      <c r="A619" s="67">
        <f>HYPERLINK("https://polkadot.subsquare.io/treasury/child-bounties/784", 784)</f>
        <v>784</v>
      </c>
      <c r="B619" s="1">
        <v>32.0</v>
      </c>
      <c r="C619" s="1" t="s">
        <v>2414</v>
      </c>
      <c r="D619" s="1" t="s">
        <v>296</v>
      </c>
      <c r="E619" s="5">
        <v>2.5365632916</v>
      </c>
      <c r="F619" s="4">
        <v>27.994468651557128</v>
      </c>
      <c r="G619" s="1" t="s">
        <v>2619</v>
      </c>
      <c r="H619" s="95">
        <v>45359.0</v>
      </c>
      <c r="I619" s="95">
        <v>45424.0</v>
      </c>
      <c r="J619" s="4">
        <v>17.6633077389534</v>
      </c>
      <c r="K619" s="1"/>
      <c r="L619" s="1"/>
      <c r="M619" s="1" t="str">
        <f>VLOOKUP(B619,Bounties!A:D,3,FALSE)</f>
        <v>Operations</v>
      </c>
      <c r="N619" s="1" t="str">
        <f>VLOOKUP(B619,Bounties!A:D,4,FALSE)</f>
        <v>RPCs and Nodes</v>
      </c>
      <c r="O619" s="1" t="str">
        <f t="shared" ref="O619:P619" si="623">IF(ISBLANK(K619),M619,K619)</f>
        <v>Operations</v>
      </c>
      <c r="P619" s="1" t="str">
        <f t="shared" si="623"/>
        <v>RPCs and Nodes</v>
      </c>
      <c r="Q619" s="61" t="str">
        <f t="shared" si="3"/>
        <v>2024</v>
      </c>
      <c r="R619" s="62">
        <f t="shared" si="4"/>
        <v>5</v>
      </c>
      <c r="S619" s="61" t="str">
        <f t="shared" si="5"/>
        <v>2024-Q2</v>
      </c>
      <c r="T619" s="63" t="str">
        <f t="shared" si="6"/>
        <v>2024-05</v>
      </c>
      <c r="U619" s="64" t="str">
        <f t="shared" si="7"/>
        <v>2024-H1</v>
      </c>
      <c r="V619" s="9" t="str">
        <f>VLOOKUP(B619,Bounties!A:E,2,FALSE)</f>
        <v>System Parachains Collator Bounty</v>
      </c>
    </row>
    <row r="620" hidden="1">
      <c r="A620" s="67">
        <f>HYPERLINK("https://polkadot.subsquare.io/treasury/child-bounties/783", 783)</f>
        <v>783</v>
      </c>
      <c r="B620" s="1">
        <v>19.0</v>
      </c>
      <c r="C620" s="1" t="s">
        <v>2414</v>
      </c>
      <c r="D620" s="1" t="s">
        <v>403</v>
      </c>
      <c r="E620" s="5">
        <v>19520.0</v>
      </c>
      <c r="F620" s="4">
        <v>200642.43682861328</v>
      </c>
      <c r="G620" s="1" t="s">
        <v>2646</v>
      </c>
      <c r="H620" s="95">
        <v>45359.0</v>
      </c>
      <c r="I620" s="95">
        <v>45367.0</v>
      </c>
      <c r="J620" s="4">
        <v>193392.41333007812</v>
      </c>
      <c r="K620" s="1"/>
      <c r="L620" s="1"/>
      <c r="M620" s="1" t="str">
        <f>VLOOKUP(B620,Bounties!A:D,3,FALSE)</f>
        <v>Development</v>
      </c>
      <c r="N620" s="1" t="str">
        <f>VLOOKUP(B620,Bounties!A:D,4,FALSE)</f>
        <v>Smart Contracts</v>
      </c>
      <c r="O620" s="1" t="str">
        <f t="shared" ref="O620:P620" si="624">IF(ISBLANK(K620),M620,K620)</f>
        <v>Development</v>
      </c>
      <c r="P620" s="1" t="str">
        <f t="shared" si="624"/>
        <v>Smart Contracts</v>
      </c>
      <c r="Q620" s="61" t="str">
        <f t="shared" si="3"/>
        <v>2024</v>
      </c>
      <c r="R620" s="62">
        <f t="shared" si="4"/>
        <v>3</v>
      </c>
      <c r="S620" s="61" t="str">
        <f t="shared" si="5"/>
        <v>2024-Q1</v>
      </c>
      <c r="T620" s="63" t="str">
        <f t="shared" si="6"/>
        <v>2024-03</v>
      </c>
      <c r="U620" s="64" t="str">
        <f t="shared" si="7"/>
        <v>2024-H1</v>
      </c>
      <c r="V620" s="9" t="str">
        <f>VLOOKUP(B620,Bounties!A:E,2,FALSE)</f>
        <v>Wasm Smart Contracts Bounty</v>
      </c>
    </row>
    <row r="621" hidden="1">
      <c r="A621" s="67">
        <f>HYPERLINK("https://polkadot.subsquare.io/treasury/child-bounties/782", 782)</f>
        <v>782</v>
      </c>
      <c r="B621" s="1">
        <v>33.0</v>
      </c>
      <c r="C621" s="1" t="s">
        <v>2414</v>
      </c>
      <c r="D621" s="1" t="s">
        <v>402</v>
      </c>
      <c r="E621" s="5">
        <v>10534.174</v>
      </c>
      <c r="F621" s="4">
        <v>112348.35167977716</v>
      </c>
      <c r="G621" s="1" t="s">
        <v>2577</v>
      </c>
      <c r="H621" s="95">
        <v>45357.0</v>
      </c>
      <c r="I621" s="95">
        <v>45367.0</v>
      </c>
      <c r="J621" s="4">
        <v>92325.28769958306</v>
      </c>
      <c r="K621" s="1" t="s">
        <v>81</v>
      </c>
      <c r="L621" s="1" t="s">
        <v>84</v>
      </c>
      <c r="M621" s="1" t="str">
        <f>VLOOKUP(B621,Bounties!A:D,3,FALSE)</f>
        <v>Outreach</v>
      </c>
      <c r="N621" s="1" t="str">
        <f>VLOOKUP(B621,Bounties!A:D,4,FALSE)</f>
        <v>Advertising</v>
      </c>
      <c r="O621" s="1" t="str">
        <f t="shared" ref="O621:P621" si="625">IF(ISBLANK(K621),M621,K621)</f>
        <v>Outreach</v>
      </c>
      <c r="P621" s="1" t="str">
        <f t="shared" si="625"/>
        <v>Advertising/Influencers</v>
      </c>
      <c r="Q621" s="61" t="str">
        <f t="shared" si="3"/>
        <v>2024</v>
      </c>
      <c r="R621" s="62">
        <f t="shared" si="4"/>
        <v>3</v>
      </c>
      <c r="S621" s="61" t="str">
        <f t="shared" si="5"/>
        <v>2024-Q1</v>
      </c>
      <c r="T621" s="63" t="str">
        <f t="shared" si="6"/>
        <v>2024-03</v>
      </c>
      <c r="U621" s="64" t="str">
        <f t="shared" si="7"/>
        <v>2024-H1</v>
      </c>
      <c r="V621" s="9" t="str">
        <f>VLOOKUP(B621,Bounties!A:E,2,FALSE)</f>
        <v>Marketing Bounty</v>
      </c>
    </row>
    <row r="622" hidden="1">
      <c r="A622" s="67">
        <f>HYPERLINK("https://polkadot.subsquare.io/treasury/child-bounties/781", 781)</f>
        <v>781</v>
      </c>
      <c r="B622" s="1">
        <v>33.0</v>
      </c>
      <c r="C622" s="1" t="s">
        <v>2414</v>
      </c>
      <c r="D622" s="1" t="s">
        <v>401</v>
      </c>
      <c r="E622" s="5">
        <v>37059.8</v>
      </c>
      <c r="F622" s="4">
        <v>395247.64291744237</v>
      </c>
      <c r="G622" s="1" t="s">
        <v>2554</v>
      </c>
      <c r="H622" s="95">
        <v>45356.0</v>
      </c>
      <c r="I622" s="95">
        <v>45365.0</v>
      </c>
      <c r="J622" s="4">
        <v>359363.0323265076</v>
      </c>
      <c r="K622" s="1" t="s">
        <v>81</v>
      </c>
      <c r="L622" s="1" t="s">
        <v>84</v>
      </c>
      <c r="M622" s="1" t="str">
        <f>VLOOKUP(B622,Bounties!A:D,3,FALSE)</f>
        <v>Outreach</v>
      </c>
      <c r="N622" s="1" t="str">
        <f>VLOOKUP(B622,Bounties!A:D,4,FALSE)</f>
        <v>Advertising</v>
      </c>
      <c r="O622" s="1" t="str">
        <f t="shared" ref="O622:P622" si="626">IF(ISBLANK(K622),M622,K622)</f>
        <v>Outreach</v>
      </c>
      <c r="P622" s="1" t="str">
        <f t="shared" si="626"/>
        <v>Advertising/Influencers</v>
      </c>
      <c r="Q622" s="61" t="str">
        <f t="shared" si="3"/>
        <v>2024</v>
      </c>
      <c r="R622" s="62">
        <f t="shared" si="4"/>
        <v>3</v>
      </c>
      <c r="S622" s="61" t="str">
        <f t="shared" si="5"/>
        <v>2024-Q1</v>
      </c>
      <c r="T622" s="63" t="str">
        <f t="shared" si="6"/>
        <v>2024-03</v>
      </c>
      <c r="U622" s="64" t="str">
        <f t="shared" si="7"/>
        <v>2024-H1</v>
      </c>
      <c r="V622" s="9" t="str">
        <f>VLOOKUP(B622,Bounties!A:E,2,FALSE)</f>
        <v>Marketing Bounty</v>
      </c>
    </row>
    <row r="623" hidden="1">
      <c r="A623" s="67">
        <f>HYPERLINK("https://polkadot.subsquare.io/treasury/child-bounties/780", 780)</f>
        <v>780</v>
      </c>
      <c r="B623" s="1">
        <v>11.0</v>
      </c>
      <c r="C623" s="1" t="s">
        <v>2414</v>
      </c>
      <c r="D623" s="1" t="s">
        <v>400</v>
      </c>
      <c r="E623" s="5">
        <v>288.7153342734</v>
      </c>
      <c r="F623" s="4">
        <v>3009.0101924604005</v>
      </c>
      <c r="G623" s="1" t="s">
        <v>2496</v>
      </c>
      <c r="H623" s="95">
        <v>45355.0</v>
      </c>
      <c r="I623" s="95">
        <v>45365.0</v>
      </c>
      <c r="J623" s="4">
        <v>2920.531482608738</v>
      </c>
      <c r="K623" s="1"/>
      <c r="L623" s="1"/>
      <c r="M623" s="1" t="str">
        <f>VLOOKUP(B623,Bounties!A:D,3,FALSE)</f>
        <v>Research</v>
      </c>
      <c r="N623" s="1" t="str">
        <f>VLOOKUP(B623,Bounties!A:D,4,FALSE)</f>
        <v>Anti-Scam</v>
      </c>
      <c r="O623" s="1" t="str">
        <f t="shared" ref="O623:P623" si="627">IF(ISBLANK(K623),M623,K623)</f>
        <v>Research</v>
      </c>
      <c r="P623" s="1" t="str">
        <f t="shared" si="627"/>
        <v>Anti-Scam</v>
      </c>
      <c r="Q623" s="61" t="str">
        <f t="shared" si="3"/>
        <v>2024</v>
      </c>
      <c r="R623" s="62">
        <f t="shared" si="4"/>
        <v>3</v>
      </c>
      <c r="S623" s="61" t="str">
        <f t="shared" si="5"/>
        <v>2024-Q1</v>
      </c>
      <c r="T623" s="63" t="str">
        <f t="shared" si="6"/>
        <v>2024-03</v>
      </c>
      <c r="U623" s="64" t="str">
        <f t="shared" si="7"/>
        <v>2024-H1</v>
      </c>
      <c r="V623" s="9" t="str">
        <f>VLOOKUP(B623,Bounties!A:E,2,FALSE)</f>
        <v>Anti-Scam Bounty</v>
      </c>
    </row>
    <row r="624" hidden="1">
      <c r="A624" s="67">
        <f>HYPERLINK("https://polkadot.subsquare.io/treasury/child-bounties/779", 779)</f>
        <v>779</v>
      </c>
      <c r="B624" s="1">
        <v>11.0</v>
      </c>
      <c r="C624" s="1" t="s">
        <v>2414</v>
      </c>
      <c r="D624" s="1" t="s">
        <v>399</v>
      </c>
      <c r="E624" s="5">
        <v>289.2576924468</v>
      </c>
      <c r="F624" s="4">
        <v>3014.6626849954155</v>
      </c>
      <c r="G624" s="1" t="s">
        <v>2495</v>
      </c>
      <c r="H624" s="95">
        <v>45355.0</v>
      </c>
      <c r="I624" s="95">
        <v>45365.0</v>
      </c>
      <c r="J624" s="4">
        <v>2926.017765920468</v>
      </c>
      <c r="K624" s="1"/>
      <c r="L624" s="1"/>
      <c r="M624" s="1" t="str">
        <f>VLOOKUP(B624,Bounties!A:D,3,FALSE)</f>
        <v>Research</v>
      </c>
      <c r="N624" s="1" t="str">
        <f>VLOOKUP(B624,Bounties!A:D,4,FALSE)</f>
        <v>Anti-Scam</v>
      </c>
      <c r="O624" s="1" t="str">
        <f t="shared" ref="O624:P624" si="628">IF(ISBLANK(K624),M624,K624)</f>
        <v>Research</v>
      </c>
      <c r="P624" s="1" t="str">
        <f t="shared" si="628"/>
        <v>Anti-Scam</v>
      </c>
      <c r="Q624" s="61" t="str">
        <f t="shared" si="3"/>
        <v>2024</v>
      </c>
      <c r="R624" s="62">
        <f t="shared" si="4"/>
        <v>3</v>
      </c>
      <c r="S624" s="61" t="str">
        <f t="shared" si="5"/>
        <v>2024-Q1</v>
      </c>
      <c r="T624" s="63" t="str">
        <f t="shared" si="6"/>
        <v>2024-03</v>
      </c>
      <c r="U624" s="64" t="str">
        <f t="shared" si="7"/>
        <v>2024-H1</v>
      </c>
      <c r="V624" s="9" t="str">
        <f>VLOOKUP(B624,Bounties!A:E,2,FALSE)</f>
        <v>Anti-Scam Bounty</v>
      </c>
    </row>
    <row r="625" hidden="1">
      <c r="A625" s="67">
        <f>HYPERLINK("https://polkadot.subsquare.io/treasury/child-bounties/778", 778)</f>
        <v>778</v>
      </c>
      <c r="B625" s="1">
        <v>11.0</v>
      </c>
      <c r="C625" s="1" t="s">
        <v>2414</v>
      </c>
      <c r="D625" s="1" t="s">
        <v>398</v>
      </c>
      <c r="E625" s="5">
        <v>289.2576924468</v>
      </c>
      <c r="F625" s="4">
        <v>3014.6626849954155</v>
      </c>
      <c r="G625" s="1" t="s">
        <v>2497</v>
      </c>
      <c r="H625" s="95">
        <v>45355.0</v>
      </c>
      <c r="I625" s="95">
        <v>45366.0</v>
      </c>
      <c r="J625" s="4">
        <v>2865.791148390172</v>
      </c>
      <c r="K625" s="1"/>
      <c r="L625" s="1"/>
      <c r="M625" s="1" t="str">
        <f>VLOOKUP(B625,Bounties!A:D,3,FALSE)</f>
        <v>Research</v>
      </c>
      <c r="N625" s="1" t="str">
        <f>VLOOKUP(B625,Bounties!A:D,4,FALSE)</f>
        <v>Anti-Scam</v>
      </c>
      <c r="O625" s="1" t="str">
        <f t="shared" ref="O625:P625" si="629">IF(ISBLANK(K625),M625,K625)</f>
        <v>Research</v>
      </c>
      <c r="P625" s="1" t="str">
        <f t="shared" si="629"/>
        <v>Anti-Scam</v>
      </c>
      <c r="Q625" s="61" t="str">
        <f t="shared" si="3"/>
        <v>2024</v>
      </c>
      <c r="R625" s="62">
        <f t="shared" si="4"/>
        <v>3</v>
      </c>
      <c r="S625" s="61" t="str">
        <f t="shared" si="5"/>
        <v>2024-Q1</v>
      </c>
      <c r="T625" s="63" t="str">
        <f t="shared" si="6"/>
        <v>2024-03</v>
      </c>
      <c r="U625" s="64" t="str">
        <f t="shared" si="7"/>
        <v>2024-H1</v>
      </c>
      <c r="V625" s="9" t="str">
        <f>VLOOKUP(B625,Bounties!A:E,2,FALSE)</f>
        <v>Anti-Scam Bounty</v>
      </c>
    </row>
    <row r="626" hidden="1">
      <c r="A626" s="67">
        <f>HYPERLINK("https://polkadot.subsquare.io/treasury/child-bounties/777", 777)</f>
        <v>777</v>
      </c>
      <c r="B626" s="1">
        <v>11.0</v>
      </c>
      <c r="C626" s="1" t="s">
        <v>2508</v>
      </c>
      <c r="D626" s="1" t="s">
        <v>400</v>
      </c>
      <c r="E626" s="5">
        <v>883.0675778284</v>
      </c>
      <c r="F626" s="4">
        <v>9203.38834445408</v>
      </c>
      <c r="G626" s="1"/>
      <c r="H626" s="95">
        <v>45355.0</v>
      </c>
      <c r="I626" s="95">
        <v>45355.0</v>
      </c>
      <c r="J626" s="4">
        <v>9203.38834445408</v>
      </c>
      <c r="K626" s="1"/>
      <c r="L626" s="1"/>
      <c r="M626" s="1" t="str">
        <f>VLOOKUP(B626,Bounties!A:D,3,FALSE)</f>
        <v>Research</v>
      </c>
      <c r="N626" s="1" t="str">
        <f>VLOOKUP(B626,Bounties!A:D,4,FALSE)</f>
        <v>Anti-Scam</v>
      </c>
      <c r="O626" s="1" t="str">
        <f t="shared" ref="O626:P626" si="630">IF(ISBLANK(K626),M626,K626)</f>
        <v>Research</v>
      </c>
      <c r="P626" s="1" t="str">
        <f t="shared" si="630"/>
        <v>Anti-Scam</v>
      </c>
      <c r="Q626" s="61" t="str">
        <f t="shared" si="3"/>
        <v>2024</v>
      </c>
      <c r="R626" s="62">
        <f t="shared" si="4"/>
        <v>3</v>
      </c>
      <c r="S626" s="61" t="str">
        <f t="shared" si="5"/>
        <v>2024-Q1</v>
      </c>
      <c r="T626" s="63" t="str">
        <f t="shared" si="6"/>
        <v>2024-03</v>
      </c>
      <c r="U626" s="64" t="str">
        <f t="shared" si="7"/>
        <v>2024-H1</v>
      </c>
      <c r="V626" s="9" t="str">
        <f>VLOOKUP(B626,Bounties!A:E,2,FALSE)</f>
        <v>Anti-Scam Bounty</v>
      </c>
    </row>
    <row r="627" hidden="1">
      <c r="A627" s="67">
        <f>HYPERLINK("https://polkadot.subsquare.io/treasury/child-bounties/776", 776)</f>
        <v>776</v>
      </c>
      <c r="B627" s="1">
        <v>11.0</v>
      </c>
      <c r="C627" s="1" t="s">
        <v>2508</v>
      </c>
      <c r="D627" s="1" t="s">
        <v>399</v>
      </c>
      <c r="E627" s="5">
        <v>883.6099360018</v>
      </c>
      <c r="F627" s="4">
        <v>9209.040836989096</v>
      </c>
      <c r="G627" s="1"/>
      <c r="H627" s="95">
        <v>45355.0</v>
      </c>
      <c r="I627" s="95">
        <v>45355.0</v>
      </c>
      <c r="J627" s="4">
        <v>9209.040836989096</v>
      </c>
      <c r="K627" s="1"/>
      <c r="L627" s="1"/>
      <c r="M627" s="1" t="str">
        <f>VLOOKUP(B627,Bounties!A:D,3,FALSE)</f>
        <v>Research</v>
      </c>
      <c r="N627" s="1" t="str">
        <f>VLOOKUP(B627,Bounties!A:D,4,FALSE)</f>
        <v>Anti-Scam</v>
      </c>
      <c r="O627" s="1" t="str">
        <f t="shared" ref="O627:P627" si="631">IF(ISBLANK(K627),M627,K627)</f>
        <v>Research</v>
      </c>
      <c r="P627" s="1" t="str">
        <f t="shared" si="631"/>
        <v>Anti-Scam</v>
      </c>
      <c r="Q627" s="61" t="str">
        <f t="shared" si="3"/>
        <v>2024</v>
      </c>
      <c r="R627" s="62">
        <f t="shared" si="4"/>
        <v>3</v>
      </c>
      <c r="S627" s="61" t="str">
        <f t="shared" si="5"/>
        <v>2024-Q1</v>
      </c>
      <c r="T627" s="63" t="str">
        <f t="shared" si="6"/>
        <v>2024-03</v>
      </c>
      <c r="U627" s="64" t="str">
        <f t="shared" si="7"/>
        <v>2024-H1</v>
      </c>
      <c r="V627" s="9" t="str">
        <f>VLOOKUP(B627,Bounties!A:E,2,FALSE)</f>
        <v>Anti-Scam Bounty</v>
      </c>
    </row>
    <row r="628" hidden="1">
      <c r="A628" s="67">
        <f>HYPERLINK("https://polkadot.subsquare.io/treasury/child-bounties/775", 775)</f>
        <v>775</v>
      </c>
      <c r="B628" s="1">
        <v>11.0</v>
      </c>
      <c r="C628" s="1" t="s">
        <v>2508</v>
      </c>
      <c r="D628" s="1" t="s">
        <v>398</v>
      </c>
      <c r="E628" s="5">
        <v>883.6099360018</v>
      </c>
      <c r="F628" s="4">
        <v>9209.040836989096</v>
      </c>
      <c r="G628" s="1"/>
      <c r="H628" s="95">
        <v>45355.0</v>
      </c>
      <c r="I628" s="95">
        <v>45355.0</v>
      </c>
      <c r="J628" s="4">
        <v>9209.040836989096</v>
      </c>
      <c r="K628" s="1"/>
      <c r="L628" s="1"/>
      <c r="M628" s="1" t="str">
        <f>VLOOKUP(B628,Bounties!A:D,3,FALSE)</f>
        <v>Research</v>
      </c>
      <c r="N628" s="1" t="str">
        <f>VLOOKUP(B628,Bounties!A:D,4,FALSE)</f>
        <v>Anti-Scam</v>
      </c>
      <c r="O628" s="1" t="str">
        <f t="shared" ref="O628:P628" si="632">IF(ISBLANK(K628),M628,K628)</f>
        <v>Research</v>
      </c>
      <c r="P628" s="1" t="str">
        <f t="shared" si="632"/>
        <v>Anti-Scam</v>
      </c>
      <c r="Q628" s="61" t="str">
        <f t="shared" si="3"/>
        <v>2024</v>
      </c>
      <c r="R628" s="62">
        <f t="shared" si="4"/>
        <v>3</v>
      </c>
      <c r="S628" s="61" t="str">
        <f t="shared" si="5"/>
        <v>2024-Q1</v>
      </c>
      <c r="T628" s="63" t="str">
        <f t="shared" si="6"/>
        <v>2024-03</v>
      </c>
      <c r="U628" s="64" t="str">
        <f t="shared" si="7"/>
        <v>2024-H1</v>
      </c>
      <c r="V628" s="9" t="str">
        <f>VLOOKUP(B628,Bounties!A:E,2,FALSE)</f>
        <v>Anti-Scam Bounty</v>
      </c>
    </row>
    <row r="629" hidden="1">
      <c r="A629" s="67">
        <f>HYPERLINK("https://polkadot.subsquare.io/treasury/child-bounties/774", 774)</f>
        <v>774</v>
      </c>
      <c r="B629" s="1">
        <v>11.0</v>
      </c>
      <c r="C629" s="1" t="s">
        <v>2414</v>
      </c>
      <c r="D629" s="1" t="s">
        <v>397</v>
      </c>
      <c r="E629" s="5">
        <v>312.6046667411</v>
      </c>
      <c r="F629" s="4">
        <v>3286.796400320013</v>
      </c>
      <c r="G629" s="1" t="s">
        <v>2534</v>
      </c>
      <c r="H629" s="95">
        <v>45354.0</v>
      </c>
      <c r="I629" s="95">
        <v>45364.0</v>
      </c>
      <c r="J629" s="4">
        <v>3031.278122372464</v>
      </c>
      <c r="K629" s="1"/>
      <c r="L629" s="1"/>
      <c r="M629" s="1" t="str">
        <f>VLOOKUP(B629,Bounties!A:D,3,FALSE)</f>
        <v>Research</v>
      </c>
      <c r="N629" s="1" t="str">
        <f>VLOOKUP(B629,Bounties!A:D,4,FALSE)</f>
        <v>Anti-Scam</v>
      </c>
      <c r="O629" s="1" t="str">
        <f t="shared" ref="O629:P629" si="633">IF(ISBLANK(K629),M629,K629)</f>
        <v>Research</v>
      </c>
      <c r="P629" s="1" t="str">
        <f t="shared" si="633"/>
        <v>Anti-Scam</v>
      </c>
      <c r="Q629" s="61" t="str">
        <f t="shared" si="3"/>
        <v>2024</v>
      </c>
      <c r="R629" s="62">
        <f t="shared" si="4"/>
        <v>3</v>
      </c>
      <c r="S629" s="61" t="str">
        <f t="shared" si="5"/>
        <v>2024-Q1</v>
      </c>
      <c r="T629" s="63" t="str">
        <f t="shared" si="6"/>
        <v>2024-03</v>
      </c>
      <c r="U629" s="64" t="str">
        <f t="shared" si="7"/>
        <v>2024-H1</v>
      </c>
      <c r="V629" s="9" t="str">
        <f>VLOOKUP(B629,Bounties!A:E,2,FALSE)</f>
        <v>Anti-Scam Bounty</v>
      </c>
    </row>
    <row r="630" hidden="1">
      <c r="A630" s="67">
        <f>HYPERLINK("https://polkadot.subsquare.io/treasury/child-bounties/773", 773)</f>
        <v>773</v>
      </c>
      <c r="B630" s="1">
        <v>11.0</v>
      </c>
      <c r="C630" s="1" t="s">
        <v>2414</v>
      </c>
      <c r="D630" s="1" t="s">
        <v>396</v>
      </c>
      <c r="E630" s="5">
        <v>28.94</v>
      </c>
      <c r="F630" s="4">
        <v>270.02143072128297</v>
      </c>
      <c r="G630" s="1" t="s">
        <v>2433</v>
      </c>
      <c r="H630" s="95">
        <v>45354.0</v>
      </c>
      <c r="I630" s="95">
        <v>45379.0</v>
      </c>
      <c r="J630" s="4">
        <v>279.05759090423584</v>
      </c>
      <c r="K630" s="1"/>
      <c r="L630" s="1"/>
      <c r="M630" s="1" t="str">
        <f>VLOOKUP(B630,Bounties!A:D,3,FALSE)</f>
        <v>Research</v>
      </c>
      <c r="N630" s="1" t="str">
        <f>VLOOKUP(B630,Bounties!A:D,4,FALSE)</f>
        <v>Anti-Scam</v>
      </c>
      <c r="O630" s="1" t="str">
        <f t="shared" ref="O630:P630" si="634">IF(ISBLANK(K630),M630,K630)</f>
        <v>Research</v>
      </c>
      <c r="P630" s="1" t="str">
        <f t="shared" si="634"/>
        <v>Anti-Scam</v>
      </c>
      <c r="Q630" s="61" t="str">
        <f t="shared" si="3"/>
        <v>2024</v>
      </c>
      <c r="R630" s="62">
        <f t="shared" si="4"/>
        <v>3</v>
      </c>
      <c r="S630" s="61" t="str">
        <f t="shared" si="5"/>
        <v>2024-Q1</v>
      </c>
      <c r="T630" s="63" t="str">
        <f t="shared" si="6"/>
        <v>2024-03</v>
      </c>
      <c r="U630" s="64" t="str">
        <f t="shared" si="7"/>
        <v>2024-H1</v>
      </c>
      <c r="V630" s="9" t="str">
        <f>VLOOKUP(B630,Bounties!A:E,2,FALSE)</f>
        <v>Anti-Scam Bounty</v>
      </c>
    </row>
    <row r="631" hidden="1">
      <c r="A631" s="67">
        <f>HYPERLINK("https://polkadot.subsquare.io/treasury/child-bounties/772", 772)</f>
        <v>772</v>
      </c>
      <c r="B631" s="1">
        <v>11.0</v>
      </c>
      <c r="C631" s="1" t="s">
        <v>2414</v>
      </c>
      <c r="D631" s="1" t="s">
        <v>395</v>
      </c>
      <c r="E631" s="5">
        <v>57.88</v>
      </c>
      <c r="F631" s="4">
        <v>540.0428614425659</v>
      </c>
      <c r="G631" s="1" t="s">
        <v>2433</v>
      </c>
      <c r="H631" s="95">
        <v>45354.0</v>
      </c>
      <c r="I631" s="95">
        <v>45379.0</v>
      </c>
      <c r="J631" s="4">
        <v>558.1151818084717</v>
      </c>
      <c r="K631" s="1"/>
      <c r="L631" s="1"/>
      <c r="M631" s="1" t="str">
        <f>VLOOKUP(B631,Bounties!A:D,3,FALSE)</f>
        <v>Research</v>
      </c>
      <c r="N631" s="1" t="str">
        <f>VLOOKUP(B631,Bounties!A:D,4,FALSE)</f>
        <v>Anti-Scam</v>
      </c>
      <c r="O631" s="1" t="str">
        <f t="shared" ref="O631:P631" si="635">IF(ISBLANK(K631),M631,K631)</f>
        <v>Research</v>
      </c>
      <c r="P631" s="1" t="str">
        <f t="shared" si="635"/>
        <v>Anti-Scam</v>
      </c>
      <c r="Q631" s="61" t="str">
        <f t="shared" si="3"/>
        <v>2024</v>
      </c>
      <c r="R631" s="62">
        <f t="shared" si="4"/>
        <v>3</v>
      </c>
      <c r="S631" s="61" t="str">
        <f t="shared" si="5"/>
        <v>2024-Q1</v>
      </c>
      <c r="T631" s="63" t="str">
        <f t="shared" si="6"/>
        <v>2024-03</v>
      </c>
      <c r="U631" s="64" t="str">
        <f t="shared" si="7"/>
        <v>2024-H1</v>
      </c>
      <c r="V631" s="9" t="str">
        <f>VLOOKUP(B631,Bounties!A:E,2,FALSE)</f>
        <v>Anti-Scam Bounty</v>
      </c>
    </row>
    <row r="632" hidden="1">
      <c r="A632" s="67">
        <f>HYPERLINK("https://polkadot.subsquare.io/treasury/child-bounties/771", 771)</f>
        <v>771</v>
      </c>
      <c r="B632" s="1">
        <v>11.0</v>
      </c>
      <c r="C632" s="1" t="s">
        <v>2414</v>
      </c>
      <c r="D632" s="1" t="s">
        <v>394</v>
      </c>
      <c r="E632" s="5">
        <v>28.941</v>
      </c>
      <c r="F632" s="4">
        <v>270.0307611093521</v>
      </c>
      <c r="G632" s="1" t="s">
        <v>2524</v>
      </c>
      <c r="H632" s="95">
        <v>45354.0</v>
      </c>
      <c r="I632" s="95">
        <v>45364.0</v>
      </c>
      <c r="J632" s="4">
        <v>280.63630992507933</v>
      </c>
      <c r="K632" s="1"/>
      <c r="L632" s="1"/>
      <c r="M632" s="1" t="str">
        <f>VLOOKUP(B632,Bounties!A:D,3,FALSE)</f>
        <v>Research</v>
      </c>
      <c r="N632" s="1" t="str">
        <f>VLOOKUP(B632,Bounties!A:D,4,FALSE)</f>
        <v>Anti-Scam</v>
      </c>
      <c r="O632" s="1" t="str">
        <f t="shared" ref="O632:P632" si="636">IF(ISBLANK(K632),M632,K632)</f>
        <v>Research</v>
      </c>
      <c r="P632" s="1" t="str">
        <f t="shared" si="636"/>
        <v>Anti-Scam</v>
      </c>
      <c r="Q632" s="61" t="str">
        <f t="shared" si="3"/>
        <v>2024</v>
      </c>
      <c r="R632" s="62">
        <f t="shared" si="4"/>
        <v>3</v>
      </c>
      <c r="S632" s="61" t="str">
        <f t="shared" si="5"/>
        <v>2024-Q1</v>
      </c>
      <c r="T632" s="63" t="str">
        <f t="shared" si="6"/>
        <v>2024-03</v>
      </c>
      <c r="U632" s="64" t="str">
        <f t="shared" si="7"/>
        <v>2024-H1</v>
      </c>
      <c r="V632" s="9" t="str">
        <f>VLOOKUP(B632,Bounties!A:E,2,FALSE)</f>
        <v>Anti-Scam Bounty</v>
      </c>
    </row>
    <row r="633" hidden="1">
      <c r="A633" s="67">
        <f>HYPERLINK("https://polkadot.subsquare.io/treasury/child-bounties/770", 770)</f>
        <v>770</v>
      </c>
      <c r="B633" s="1">
        <v>11.0</v>
      </c>
      <c r="C633" s="1" t="s">
        <v>2414</v>
      </c>
      <c r="D633" s="1" t="s">
        <v>393</v>
      </c>
      <c r="E633" s="5">
        <v>28.941</v>
      </c>
      <c r="F633" s="4">
        <v>270.0307611093521</v>
      </c>
      <c r="G633" s="1" t="s">
        <v>2525</v>
      </c>
      <c r="H633" s="95">
        <v>45354.0</v>
      </c>
      <c r="I633" s="95">
        <v>45363.0</v>
      </c>
      <c r="J633" s="4">
        <v>334.0631265735626</v>
      </c>
      <c r="K633" s="1"/>
      <c r="L633" s="1"/>
      <c r="M633" s="1" t="str">
        <f>VLOOKUP(B633,Bounties!A:D,3,FALSE)</f>
        <v>Research</v>
      </c>
      <c r="N633" s="1" t="str">
        <f>VLOOKUP(B633,Bounties!A:D,4,FALSE)</f>
        <v>Anti-Scam</v>
      </c>
      <c r="O633" s="1" t="str">
        <f t="shared" ref="O633:P633" si="637">IF(ISBLANK(K633),M633,K633)</f>
        <v>Research</v>
      </c>
      <c r="P633" s="1" t="str">
        <f t="shared" si="637"/>
        <v>Anti-Scam</v>
      </c>
      <c r="Q633" s="61" t="str">
        <f t="shared" si="3"/>
        <v>2024</v>
      </c>
      <c r="R633" s="62">
        <f t="shared" si="4"/>
        <v>3</v>
      </c>
      <c r="S633" s="61" t="str">
        <f t="shared" si="5"/>
        <v>2024-Q1</v>
      </c>
      <c r="T633" s="63" t="str">
        <f t="shared" si="6"/>
        <v>2024-03</v>
      </c>
      <c r="U633" s="64" t="str">
        <f t="shared" si="7"/>
        <v>2024-H1</v>
      </c>
      <c r="V633" s="9" t="str">
        <f>VLOOKUP(B633,Bounties!A:E,2,FALSE)</f>
        <v>Anti-Scam Bounty</v>
      </c>
    </row>
    <row r="634" hidden="1">
      <c r="A634" s="67">
        <f>HYPERLINK("https://polkadot.subsquare.io/treasury/child-bounties/769", 769)</f>
        <v>769</v>
      </c>
      <c r="B634" s="1">
        <v>11.0</v>
      </c>
      <c r="C634" s="1" t="s">
        <v>2414</v>
      </c>
      <c r="D634" s="1" t="s">
        <v>392</v>
      </c>
      <c r="E634" s="5">
        <v>57.883</v>
      </c>
      <c r="F634" s="4">
        <v>540.0708526067734</v>
      </c>
      <c r="G634" s="1" t="s">
        <v>2526</v>
      </c>
      <c r="H634" s="95">
        <v>45354.0</v>
      </c>
      <c r="I634" s="95">
        <v>45367.0</v>
      </c>
      <c r="J634" s="4">
        <v>507.3074194440842</v>
      </c>
      <c r="K634" s="1"/>
      <c r="L634" s="1"/>
      <c r="M634" s="1" t="str">
        <f>VLOOKUP(B634,Bounties!A:D,3,FALSE)</f>
        <v>Research</v>
      </c>
      <c r="N634" s="1" t="str">
        <f>VLOOKUP(B634,Bounties!A:D,4,FALSE)</f>
        <v>Anti-Scam</v>
      </c>
      <c r="O634" s="1" t="str">
        <f t="shared" ref="O634:P634" si="638">IF(ISBLANK(K634),M634,K634)</f>
        <v>Research</v>
      </c>
      <c r="P634" s="1" t="str">
        <f t="shared" si="638"/>
        <v>Anti-Scam</v>
      </c>
      <c r="Q634" s="61" t="str">
        <f t="shared" si="3"/>
        <v>2024</v>
      </c>
      <c r="R634" s="62">
        <f t="shared" si="4"/>
        <v>3</v>
      </c>
      <c r="S634" s="61" t="str">
        <f t="shared" si="5"/>
        <v>2024-Q1</v>
      </c>
      <c r="T634" s="63" t="str">
        <f t="shared" si="6"/>
        <v>2024-03</v>
      </c>
      <c r="U634" s="64" t="str">
        <f t="shared" si="7"/>
        <v>2024-H1</v>
      </c>
      <c r="V634" s="9" t="str">
        <f>VLOOKUP(B634,Bounties!A:E,2,FALSE)</f>
        <v>Anti-Scam Bounty</v>
      </c>
    </row>
    <row r="635" hidden="1">
      <c r="A635" s="67">
        <f>HYPERLINK("https://polkadot.subsquare.io/treasury/child-bounties/768", 768)</f>
        <v>768</v>
      </c>
      <c r="B635" s="1">
        <v>11.0</v>
      </c>
      <c r="C635" s="1" t="s">
        <v>2414</v>
      </c>
      <c r="D635" s="1" t="s">
        <v>391</v>
      </c>
      <c r="E635" s="5">
        <v>86.825</v>
      </c>
      <c r="F635" s="4">
        <v>810.1109441041947</v>
      </c>
      <c r="G635" s="1" t="s">
        <v>2524</v>
      </c>
      <c r="H635" s="95">
        <v>45354.0</v>
      </c>
      <c r="I635" s="95">
        <v>45364.0</v>
      </c>
      <c r="J635" s="4">
        <v>841.9283234596253</v>
      </c>
      <c r="K635" s="1"/>
      <c r="L635" s="1"/>
      <c r="M635" s="1" t="str">
        <f>VLOOKUP(B635,Bounties!A:D,3,FALSE)</f>
        <v>Research</v>
      </c>
      <c r="N635" s="1" t="str">
        <f>VLOOKUP(B635,Bounties!A:D,4,FALSE)</f>
        <v>Anti-Scam</v>
      </c>
      <c r="O635" s="1" t="str">
        <f t="shared" ref="O635:P635" si="639">IF(ISBLANK(K635),M635,K635)</f>
        <v>Research</v>
      </c>
      <c r="P635" s="1" t="str">
        <f t="shared" si="639"/>
        <v>Anti-Scam</v>
      </c>
      <c r="Q635" s="61" t="str">
        <f t="shared" si="3"/>
        <v>2024</v>
      </c>
      <c r="R635" s="62">
        <f t="shared" si="4"/>
        <v>3</v>
      </c>
      <c r="S635" s="61" t="str">
        <f t="shared" si="5"/>
        <v>2024-Q1</v>
      </c>
      <c r="T635" s="63" t="str">
        <f t="shared" si="6"/>
        <v>2024-03</v>
      </c>
      <c r="U635" s="64" t="str">
        <f t="shared" si="7"/>
        <v>2024-H1</v>
      </c>
      <c r="V635" s="9" t="str">
        <f>VLOOKUP(B635,Bounties!A:E,2,FALSE)</f>
        <v>Anti-Scam Bounty</v>
      </c>
    </row>
    <row r="636" hidden="1">
      <c r="A636" s="67">
        <f>HYPERLINK("https://polkadot.subsquare.io/treasury/child-bounties/767", 767)</f>
        <v>767</v>
      </c>
      <c r="B636" s="1">
        <v>11.0</v>
      </c>
      <c r="C636" s="1" t="s">
        <v>2414</v>
      </c>
      <c r="D636" s="1" t="s">
        <v>390</v>
      </c>
      <c r="E636" s="5">
        <v>86.825</v>
      </c>
      <c r="F636" s="4">
        <v>810.1109441041947</v>
      </c>
      <c r="G636" s="1" t="s">
        <v>2525</v>
      </c>
      <c r="H636" s="95">
        <v>45354.0</v>
      </c>
      <c r="I636" s="95">
        <v>45363.0</v>
      </c>
      <c r="J636" s="4">
        <v>1002.2124655246735</v>
      </c>
      <c r="K636" s="1"/>
      <c r="L636" s="1"/>
      <c r="M636" s="1" t="str">
        <f>VLOOKUP(B636,Bounties!A:D,3,FALSE)</f>
        <v>Research</v>
      </c>
      <c r="N636" s="1" t="str">
        <f>VLOOKUP(B636,Bounties!A:D,4,FALSE)</f>
        <v>Anti-Scam</v>
      </c>
      <c r="O636" s="1" t="str">
        <f t="shared" ref="O636:P636" si="640">IF(ISBLANK(K636),M636,K636)</f>
        <v>Research</v>
      </c>
      <c r="P636" s="1" t="str">
        <f t="shared" si="640"/>
        <v>Anti-Scam</v>
      </c>
      <c r="Q636" s="61" t="str">
        <f t="shared" si="3"/>
        <v>2024</v>
      </c>
      <c r="R636" s="62">
        <f t="shared" si="4"/>
        <v>3</v>
      </c>
      <c r="S636" s="61" t="str">
        <f t="shared" si="5"/>
        <v>2024-Q1</v>
      </c>
      <c r="T636" s="63" t="str">
        <f t="shared" si="6"/>
        <v>2024-03</v>
      </c>
      <c r="U636" s="64" t="str">
        <f t="shared" si="7"/>
        <v>2024-H1</v>
      </c>
      <c r="V636" s="9" t="str">
        <f>VLOOKUP(B636,Bounties!A:E,2,FALSE)</f>
        <v>Anti-Scam Bounty</v>
      </c>
    </row>
    <row r="637" hidden="1">
      <c r="A637" s="67">
        <f>HYPERLINK("https://polkadot.subsquare.io/treasury/child-bounties/766", 766)</f>
        <v>766</v>
      </c>
      <c r="B637" s="1">
        <v>11.0</v>
      </c>
      <c r="C637" s="1" t="s">
        <v>2414</v>
      </c>
      <c r="D637" s="1" t="s">
        <v>389</v>
      </c>
      <c r="E637" s="5">
        <v>429.164</v>
      </c>
      <c r="F637" s="4">
        <v>4253.517773651123</v>
      </c>
      <c r="G637" s="1" t="s">
        <v>2527</v>
      </c>
      <c r="H637" s="95">
        <v>45352.0</v>
      </c>
      <c r="I637" s="95">
        <v>45361.0</v>
      </c>
      <c r="J637" s="4">
        <v>4603.481481407165</v>
      </c>
      <c r="K637" s="1"/>
      <c r="L637" s="1"/>
      <c r="M637" s="1" t="str">
        <f>VLOOKUP(B637,Bounties!A:D,3,FALSE)</f>
        <v>Research</v>
      </c>
      <c r="N637" s="1" t="str">
        <f>VLOOKUP(B637,Bounties!A:D,4,FALSE)</f>
        <v>Anti-Scam</v>
      </c>
      <c r="O637" s="1" t="str">
        <f t="shared" ref="O637:P637" si="641">IF(ISBLANK(K637),M637,K637)</f>
        <v>Research</v>
      </c>
      <c r="P637" s="1" t="str">
        <f t="shared" si="641"/>
        <v>Anti-Scam</v>
      </c>
      <c r="Q637" s="61" t="str">
        <f t="shared" si="3"/>
        <v>2024</v>
      </c>
      <c r="R637" s="62">
        <f t="shared" si="4"/>
        <v>3</v>
      </c>
      <c r="S637" s="61" t="str">
        <f t="shared" si="5"/>
        <v>2024-Q1</v>
      </c>
      <c r="T637" s="63" t="str">
        <f t="shared" si="6"/>
        <v>2024-03</v>
      </c>
      <c r="U637" s="64" t="str">
        <f t="shared" si="7"/>
        <v>2024-H1</v>
      </c>
      <c r="V637" s="9" t="str">
        <f>VLOOKUP(B637,Bounties!A:E,2,FALSE)</f>
        <v>Anti-Scam Bounty</v>
      </c>
    </row>
    <row r="638" hidden="1">
      <c r="A638" s="67">
        <f>HYPERLINK("https://polkadot.subsquare.io/treasury/child-bounties/765", 765)</f>
        <v>765</v>
      </c>
      <c r="B638" s="1">
        <v>11.0</v>
      </c>
      <c r="C638" s="1" t="s">
        <v>2414</v>
      </c>
      <c r="D638" s="1" t="s">
        <v>388</v>
      </c>
      <c r="E638" s="5">
        <v>290.722</v>
      </c>
      <c r="F638" s="4">
        <v>2881.3954436798094</v>
      </c>
      <c r="G638" s="1" t="s">
        <v>2463</v>
      </c>
      <c r="H638" s="95">
        <v>45352.0</v>
      </c>
      <c r="I638" s="95">
        <v>45367.0</v>
      </c>
      <c r="J638" s="4">
        <v>2547.992115053177</v>
      </c>
      <c r="K638" s="1"/>
      <c r="L638" s="1"/>
      <c r="M638" s="1" t="str">
        <f>VLOOKUP(B638,Bounties!A:D,3,FALSE)</f>
        <v>Research</v>
      </c>
      <c r="N638" s="1" t="str">
        <f>VLOOKUP(B638,Bounties!A:D,4,FALSE)</f>
        <v>Anti-Scam</v>
      </c>
      <c r="O638" s="1" t="str">
        <f t="shared" ref="O638:P638" si="642">IF(ISBLANK(K638),M638,K638)</f>
        <v>Research</v>
      </c>
      <c r="P638" s="1" t="str">
        <f t="shared" si="642"/>
        <v>Anti-Scam</v>
      </c>
      <c r="Q638" s="61" t="str">
        <f t="shared" si="3"/>
        <v>2024</v>
      </c>
      <c r="R638" s="62">
        <f t="shared" si="4"/>
        <v>3</v>
      </c>
      <c r="S638" s="61" t="str">
        <f t="shared" si="5"/>
        <v>2024-Q1</v>
      </c>
      <c r="T638" s="63" t="str">
        <f t="shared" si="6"/>
        <v>2024-03</v>
      </c>
      <c r="U638" s="64" t="str">
        <f t="shared" si="7"/>
        <v>2024-H1</v>
      </c>
      <c r="V638" s="9" t="str">
        <f>VLOOKUP(B638,Bounties!A:E,2,FALSE)</f>
        <v>Anti-Scam Bounty</v>
      </c>
    </row>
    <row r="639" hidden="1">
      <c r="A639" s="67">
        <f>HYPERLINK("https://polkadot.subsquare.io/treasury/child-bounties/764", 764)</f>
        <v>764</v>
      </c>
      <c r="B639" s="1">
        <v>11.0</v>
      </c>
      <c r="C639" s="1" t="s">
        <v>2414</v>
      </c>
      <c r="D639" s="1" t="s">
        <v>387</v>
      </c>
      <c r="E639" s="5">
        <v>788.244</v>
      </c>
      <c r="F639" s="4">
        <v>7812.421041778564</v>
      </c>
      <c r="G639" s="1" t="s">
        <v>2438</v>
      </c>
      <c r="H639" s="95">
        <v>45352.0</v>
      </c>
      <c r="I639" s="95">
        <v>45361.0</v>
      </c>
      <c r="J639" s="4">
        <v>8923.775050792694</v>
      </c>
      <c r="K639" s="1"/>
      <c r="L639" s="1"/>
      <c r="M639" s="1" t="str">
        <f>VLOOKUP(B639,Bounties!A:D,3,FALSE)</f>
        <v>Research</v>
      </c>
      <c r="N639" s="1" t="str">
        <f>VLOOKUP(B639,Bounties!A:D,4,FALSE)</f>
        <v>Anti-Scam</v>
      </c>
      <c r="O639" s="1" t="str">
        <f t="shared" ref="O639:P639" si="643">IF(ISBLANK(K639),M639,K639)</f>
        <v>Research</v>
      </c>
      <c r="P639" s="1" t="str">
        <f t="shared" si="643"/>
        <v>Anti-Scam</v>
      </c>
      <c r="Q639" s="61" t="str">
        <f t="shared" si="3"/>
        <v>2024</v>
      </c>
      <c r="R639" s="62">
        <f t="shared" si="4"/>
        <v>3</v>
      </c>
      <c r="S639" s="61" t="str">
        <f t="shared" si="5"/>
        <v>2024-Q1</v>
      </c>
      <c r="T639" s="63" t="str">
        <f t="shared" si="6"/>
        <v>2024-03</v>
      </c>
      <c r="U639" s="64" t="str">
        <f t="shared" si="7"/>
        <v>2024-H1</v>
      </c>
      <c r="V639" s="9" t="str">
        <f>VLOOKUP(B639,Bounties!A:E,2,FALSE)</f>
        <v>Anti-Scam Bounty</v>
      </c>
    </row>
    <row r="640" hidden="1">
      <c r="A640" s="67">
        <f>HYPERLINK("https://polkadot.subsquare.io/treasury/child-bounties/763", 763)</f>
        <v>763</v>
      </c>
      <c r="B640" s="1">
        <v>11.0</v>
      </c>
      <c r="C640" s="1" t="s">
        <v>2414</v>
      </c>
      <c r="D640" s="1" t="s">
        <v>386</v>
      </c>
      <c r="E640" s="5">
        <v>59.93</v>
      </c>
      <c r="F640" s="4">
        <v>587.160553741455</v>
      </c>
      <c r="G640" s="1" t="s">
        <v>2528</v>
      </c>
      <c r="H640" s="95">
        <v>45352.0</v>
      </c>
      <c r="I640" s="95">
        <v>45361.0</v>
      </c>
      <c r="J640" s="4">
        <v>678.4724511623383</v>
      </c>
      <c r="K640" s="1"/>
      <c r="L640" s="1"/>
      <c r="M640" s="1" t="str">
        <f>VLOOKUP(B640,Bounties!A:D,3,FALSE)</f>
        <v>Research</v>
      </c>
      <c r="N640" s="1" t="str">
        <f>VLOOKUP(B640,Bounties!A:D,4,FALSE)</f>
        <v>Anti-Scam</v>
      </c>
      <c r="O640" s="1" t="str">
        <f t="shared" ref="O640:P640" si="644">IF(ISBLANK(K640),M640,K640)</f>
        <v>Research</v>
      </c>
      <c r="P640" s="1" t="str">
        <f t="shared" si="644"/>
        <v>Anti-Scam</v>
      </c>
      <c r="Q640" s="61" t="str">
        <f t="shared" si="3"/>
        <v>2024</v>
      </c>
      <c r="R640" s="62">
        <f t="shared" si="4"/>
        <v>3</v>
      </c>
      <c r="S640" s="61" t="str">
        <f t="shared" si="5"/>
        <v>2024-Q1</v>
      </c>
      <c r="T640" s="63" t="str">
        <f t="shared" si="6"/>
        <v>2024-03</v>
      </c>
      <c r="U640" s="64" t="str">
        <f t="shared" si="7"/>
        <v>2024-H1</v>
      </c>
      <c r="V640" s="9" t="str">
        <f>VLOOKUP(B640,Bounties!A:E,2,FALSE)</f>
        <v>Anti-Scam Bounty</v>
      </c>
    </row>
    <row r="641" hidden="1">
      <c r="A641" s="67">
        <f>HYPERLINK("https://polkadot.subsquare.io/treasury/child-bounties/762", 762)</f>
        <v>762</v>
      </c>
      <c r="B641" s="1">
        <v>11.0</v>
      </c>
      <c r="C641" s="1" t="s">
        <v>2414</v>
      </c>
      <c r="D641" s="1" t="s">
        <v>385</v>
      </c>
      <c r="E641" s="5">
        <v>71.92</v>
      </c>
      <c r="F641" s="4">
        <v>704.6318542480469</v>
      </c>
      <c r="G641" s="1" t="s">
        <v>2531</v>
      </c>
      <c r="H641" s="95">
        <v>45352.0</v>
      </c>
      <c r="I641" s="95">
        <v>45361.0</v>
      </c>
      <c r="J641" s="4">
        <v>814.2122257232667</v>
      </c>
      <c r="K641" s="1"/>
      <c r="L641" s="1"/>
      <c r="M641" s="1" t="str">
        <f>VLOOKUP(B641,Bounties!A:D,3,FALSE)</f>
        <v>Research</v>
      </c>
      <c r="N641" s="1" t="str">
        <f>VLOOKUP(B641,Bounties!A:D,4,FALSE)</f>
        <v>Anti-Scam</v>
      </c>
      <c r="O641" s="1" t="str">
        <f t="shared" ref="O641:P641" si="645">IF(ISBLANK(K641),M641,K641)</f>
        <v>Research</v>
      </c>
      <c r="P641" s="1" t="str">
        <f t="shared" si="645"/>
        <v>Anti-Scam</v>
      </c>
      <c r="Q641" s="61" t="str">
        <f t="shared" si="3"/>
        <v>2024</v>
      </c>
      <c r="R641" s="62">
        <f t="shared" si="4"/>
        <v>3</v>
      </c>
      <c r="S641" s="61" t="str">
        <f t="shared" si="5"/>
        <v>2024-Q1</v>
      </c>
      <c r="T641" s="63" t="str">
        <f t="shared" si="6"/>
        <v>2024-03</v>
      </c>
      <c r="U641" s="64" t="str">
        <f t="shared" si="7"/>
        <v>2024-H1</v>
      </c>
      <c r="V641" s="9" t="str">
        <f>VLOOKUP(B641,Bounties!A:E,2,FALSE)</f>
        <v>Anti-Scam Bounty</v>
      </c>
    </row>
    <row r="642" hidden="1">
      <c r="A642" s="67">
        <f>HYPERLINK("https://polkadot.subsquare.io/treasury/child-bounties/761", 761)</f>
        <v>761</v>
      </c>
      <c r="B642" s="1">
        <v>11.0</v>
      </c>
      <c r="C642" s="1" t="s">
        <v>2414</v>
      </c>
      <c r="D642" s="1" t="s">
        <v>384</v>
      </c>
      <c r="E642" s="5">
        <v>143.83</v>
      </c>
      <c r="F642" s="4">
        <v>1409.165734100342</v>
      </c>
      <c r="G642" s="1" t="s">
        <v>2524</v>
      </c>
      <c r="H642" s="95">
        <v>45352.0</v>
      </c>
      <c r="I642" s="95">
        <v>45361.0</v>
      </c>
      <c r="J642" s="4">
        <v>1628.3112406253815</v>
      </c>
      <c r="K642" s="1"/>
      <c r="L642" s="1"/>
      <c r="M642" s="1" t="str">
        <f>VLOOKUP(B642,Bounties!A:D,3,FALSE)</f>
        <v>Research</v>
      </c>
      <c r="N642" s="1" t="str">
        <f>VLOOKUP(B642,Bounties!A:D,4,FALSE)</f>
        <v>Anti-Scam</v>
      </c>
      <c r="O642" s="1" t="str">
        <f t="shared" ref="O642:P642" si="646">IF(ISBLANK(K642),M642,K642)</f>
        <v>Research</v>
      </c>
      <c r="P642" s="1" t="str">
        <f t="shared" si="646"/>
        <v>Anti-Scam</v>
      </c>
      <c r="Q642" s="61" t="str">
        <f t="shared" si="3"/>
        <v>2024</v>
      </c>
      <c r="R642" s="62">
        <f t="shared" si="4"/>
        <v>3</v>
      </c>
      <c r="S642" s="61" t="str">
        <f t="shared" si="5"/>
        <v>2024-Q1</v>
      </c>
      <c r="T642" s="63" t="str">
        <f t="shared" si="6"/>
        <v>2024-03</v>
      </c>
      <c r="U642" s="64" t="str">
        <f t="shared" si="7"/>
        <v>2024-H1</v>
      </c>
      <c r="V642" s="9" t="str">
        <f>VLOOKUP(B642,Bounties!A:E,2,FALSE)</f>
        <v>Anti-Scam Bounty</v>
      </c>
    </row>
    <row r="643" hidden="1">
      <c r="A643" s="67">
        <f>HYPERLINK("https://polkadot.subsquare.io/treasury/child-bounties/760", 760)</f>
        <v>760</v>
      </c>
      <c r="B643" s="1">
        <v>11.0</v>
      </c>
      <c r="C643" s="1" t="s">
        <v>2414</v>
      </c>
      <c r="D643" s="1" t="s">
        <v>383</v>
      </c>
      <c r="E643" s="5">
        <v>47.94</v>
      </c>
      <c r="F643" s="4">
        <v>469.68925323486326</v>
      </c>
      <c r="G643" s="1" t="s">
        <v>2437</v>
      </c>
      <c r="H643" s="95">
        <v>45351.0</v>
      </c>
      <c r="I643" s="95">
        <v>45360.0</v>
      </c>
      <c r="J643" s="4">
        <v>514.234423713684</v>
      </c>
      <c r="K643" s="1"/>
      <c r="L643" s="1"/>
      <c r="M643" s="1" t="str">
        <f>VLOOKUP(B643,Bounties!A:D,3,FALSE)</f>
        <v>Research</v>
      </c>
      <c r="N643" s="1" t="str">
        <f>VLOOKUP(B643,Bounties!A:D,4,FALSE)</f>
        <v>Anti-Scam</v>
      </c>
      <c r="O643" s="1" t="str">
        <f t="shared" ref="O643:P643" si="647">IF(ISBLANK(K643),M643,K643)</f>
        <v>Research</v>
      </c>
      <c r="P643" s="1" t="str">
        <f t="shared" si="647"/>
        <v>Anti-Scam</v>
      </c>
      <c r="Q643" s="61" t="str">
        <f t="shared" si="3"/>
        <v>2024</v>
      </c>
      <c r="R643" s="62">
        <f t="shared" si="4"/>
        <v>3</v>
      </c>
      <c r="S643" s="61" t="str">
        <f t="shared" si="5"/>
        <v>2024-Q1</v>
      </c>
      <c r="T643" s="63" t="str">
        <f t="shared" si="6"/>
        <v>2024-03</v>
      </c>
      <c r="U643" s="64" t="str">
        <f t="shared" si="7"/>
        <v>2024-H1</v>
      </c>
      <c r="V643" s="9" t="str">
        <f>VLOOKUP(B643,Bounties!A:E,2,FALSE)</f>
        <v>Anti-Scam Bounty</v>
      </c>
    </row>
    <row r="644" hidden="1">
      <c r="A644" s="67">
        <f>HYPERLINK("https://polkadot.subsquare.io/treasury/child-bounties/759", 759)</f>
        <v>759</v>
      </c>
      <c r="B644" s="1">
        <v>11.0</v>
      </c>
      <c r="C644" s="1" t="s">
        <v>2414</v>
      </c>
      <c r="D644" s="1" t="s">
        <v>382</v>
      </c>
      <c r="E644" s="5">
        <v>47.94</v>
      </c>
      <c r="F644" s="4">
        <v>469.68925323486326</v>
      </c>
      <c r="G644" s="1" t="s">
        <v>2463</v>
      </c>
      <c r="H644" s="95">
        <v>45351.0</v>
      </c>
      <c r="I644" s="95">
        <v>45371.0</v>
      </c>
      <c r="J644" s="4">
        <v>427.5892341613769</v>
      </c>
      <c r="K644" s="1"/>
      <c r="L644" s="1"/>
      <c r="M644" s="1" t="str">
        <f>VLOOKUP(B644,Bounties!A:D,3,FALSE)</f>
        <v>Research</v>
      </c>
      <c r="N644" s="1" t="str">
        <f>VLOOKUP(B644,Bounties!A:D,4,FALSE)</f>
        <v>Anti-Scam</v>
      </c>
      <c r="O644" s="1" t="str">
        <f t="shared" ref="O644:P644" si="648">IF(ISBLANK(K644),M644,K644)</f>
        <v>Research</v>
      </c>
      <c r="P644" s="1" t="str">
        <f t="shared" si="648"/>
        <v>Anti-Scam</v>
      </c>
      <c r="Q644" s="61" t="str">
        <f t="shared" si="3"/>
        <v>2024</v>
      </c>
      <c r="R644" s="62">
        <f t="shared" si="4"/>
        <v>3</v>
      </c>
      <c r="S644" s="61" t="str">
        <f t="shared" si="5"/>
        <v>2024-Q1</v>
      </c>
      <c r="T644" s="63" t="str">
        <f t="shared" si="6"/>
        <v>2024-03</v>
      </c>
      <c r="U644" s="64" t="str">
        <f t="shared" si="7"/>
        <v>2024-H1</v>
      </c>
      <c r="V644" s="9" t="str">
        <f>VLOOKUP(B644,Bounties!A:E,2,FALSE)</f>
        <v>Anti-Scam Bounty</v>
      </c>
    </row>
    <row r="645" hidden="1">
      <c r="A645" s="67">
        <f>HYPERLINK("https://polkadot.subsquare.io/treasury/child-bounties/758", 758)</f>
        <v>758</v>
      </c>
      <c r="B645" s="1">
        <v>11.0</v>
      </c>
      <c r="C645" s="1" t="s">
        <v>2414</v>
      </c>
      <c r="D645" s="1" t="s">
        <v>381</v>
      </c>
      <c r="E645" s="5">
        <v>47.94</v>
      </c>
      <c r="F645" s="4">
        <v>469.68925323486326</v>
      </c>
      <c r="G645" s="1" t="s">
        <v>2438</v>
      </c>
      <c r="H645" s="95">
        <v>45351.0</v>
      </c>
      <c r="I645" s="95">
        <v>45360.0</v>
      </c>
      <c r="J645" s="4">
        <v>514.234423713684</v>
      </c>
      <c r="K645" s="1"/>
      <c r="L645" s="1"/>
      <c r="M645" s="1" t="str">
        <f>VLOOKUP(B645,Bounties!A:D,3,FALSE)</f>
        <v>Research</v>
      </c>
      <c r="N645" s="1" t="str">
        <f>VLOOKUP(B645,Bounties!A:D,4,FALSE)</f>
        <v>Anti-Scam</v>
      </c>
      <c r="O645" s="1" t="str">
        <f t="shared" ref="O645:P645" si="649">IF(ISBLANK(K645),M645,K645)</f>
        <v>Research</v>
      </c>
      <c r="P645" s="1" t="str">
        <f t="shared" si="649"/>
        <v>Anti-Scam</v>
      </c>
      <c r="Q645" s="61" t="str">
        <f t="shared" si="3"/>
        <v>2024</v>
      </c>
      <c r="R645" s="62">
        <f t="shared" si="4"/>
        <v>3</v>
      </c>
      <c r="S645" s="61" t="str">
        <f t="shared" si="5"/>
        <v>2024-Q1</v>
      </c>
      <c r="T645" s="63" t="str">
        <f t="shared" si="6"/>
        <v>2024-03</v>
      </c>
      <c r="U645" s="64" t="str">
        <f t="shared" si="7"/>
        <v>2024-H1</v>
      </c>
      <c r="V645" s="9" t="str">
        <f>VLOOKUP(B645,Bounties!A:E,2,FALSE)</f>
        <v>Anti-Scam Bounty</v>
      </c>
    </row>
    <row r="646" hidden="1">
      <c r="A646" s="67">
        <f>HYPERLINK("https://polkadot.subsquare.io/treasury/child-bounties/757", 757)</f>
        <v>757</v>
      </c>
      <c r="B646" s="1">
        <v>11.0</v>
      </c>
      <c r="C646" s="1" t="s">
        <v>2414</v>
      </c>
      <c r="D646" s="1" t="s">
        <v>380</v>
      </c>
      <c r="E646" s="5">
        <v>59.93</v>
      </c>
      <c r="F646" s="4">
        <v>587.160553741455</v>
      </c>
      <c r="G646" s="1" t="s">
        <v>2534</v>
      </c>
      <c r="H646" s="95">
        <v>45351.0</v>
      </c>
      <c r="I646" s="95">
        <v>45360.0</v>
      </c>
      <c r="J646" s="4">
        <v>642.8466627693176</v>
      </c>
      <c r="K646" s="1"/>
      <c r="L646" s="1"/>
      <c r="M646" s="1" t="str">
        <f>VLOOKUP(B646,Bounties!A:D,3,FALSE)</f>
        <v>Research</v>
      </c>
      <c r="N646" s="1" t="str">
        <f>VLOOKUP(B646,Bounties!A:D,4,FALSE)</f>
        <v>Anti-Scam</v>
      </c>
      <c r="O646" s="1" t="str">
        <f t="shared" ref="O646:P646" si="650">IF(ISBLANK(K646),M646,K646)</f>
        <v>Research</v>
      </c>
      <c r="P646" s="1" t="str">
        <f t="shared" si="650"/>
        <v>Anti-Scam</v>
      </c>
      <c r="Q646" s="61" t="str">
        <f t="shared" si="3"/>
        <v>2024</v>
      </c>
      <c r="R646" s="62">
        <f t="shared" si="4"/>
        <v>3</v>
      </c>
      <c r="S646" s="61" t="str">
        <f t="shared" si="5"/>
        <v>2024-Q1</v>
      </c>
      <c r="T646" s="63" t="str">
        <f t="shared" si="6"/>
        <v>2024-03</v>
      </c>
      <c r="U646" s="64" t="str">
        <f t="shared" si="7"/>
        <v>2024-H1</v>
      </c>
      <c r="V646" s="9" t="str">
        <f>VLOOKUP(B646,Bounties!A:E,2,FALSE)</f>
        <v>Anti-Scam Bounty</v>
      </c>
    </row>
    <row r="647" hidden="1">
      <c r="A647" s="67">
        <f>HYPERLINK("https://polkadot.subsquare.io/treasury/child-bounties/756", 756)</f>
        <v>756</v>
      </c>
      <c r="B647" s="1">
        <v>11.0</v>
      </c>
      <c r="C647" s="1" t="s">
        <v>2414</v>
      </c>
      <c r="D647" s="1" t="s">
        <v>379</v>
      </c>
      <c r="E647" s="5">
        <v>86.3</v>
      </c>
      <c r="F647" s="4">
        <v>845.5190353393555</v>
      </c>
      <c r="G647" s="1" t="s">
        <v>2463</v>
      </c>
      <c r="H647" s="95">
        <v>45351.0</v>
      </c>
      <c r="I647" s="95">
        <v>45371.0</v>
      </c>
      <c r="J647" s="4">
        <v>769.7319755554199</v>
      </c>
      <c r="K647" s="1"/>
      <c r="L647" s="1"/>
      <c r="M647" s="1" t="str">
        <f>VLOOKUP(B647,Bounties!A:D,3,FALSE)</f>
        <v>Research</v>
      </c>
      <c r="N647" s="1" t="str">
        <f>VLOOKUP(B647,Bounties!A:D,4,FALSE)</f>
        <v>Anti-Scam</v>
      </c>
      <c r="O647" s="1" t="str">
        <f t="shared" ref="O647:P647" si="651">IF(ISBLANK(K647),M647,K647)</f>
        <v>Research</v>
      </c>
      <c r="P647" s="1" t="str">
        <f t="shared" si="651"/>
        <v>Anti-Scam</v>
      </c>
      <c r="Q647" s="61" t="str">
        <f t="shared" si="3"/>
        <v>2024</v>
      </c>
      <c r="R647" s="62">
        <f t="shared" si="4"/>
        <v>3</v>
      </c>
      <c r="S647" s="61" t="str">
        <f t="shared" si="5"/>
        <v>2024-Q1</v>
      </c>
      <c r="T647" s="63" t="str">
        <f t="shared" si="6"/>
        <v>2024-03</v>
      </c>
      <c r="U647" s="64" t="str">
        <f t="shared" si="7"/>
        <v>2024-H1</v>
      </c>
      <c r="V647" s="9" t="str">
        <f>VLOOKUP(B647,Bounties!A:E,2,FALSE)</f>
        <v>Anti-Scam Bounty</v>
      </c>
    </row>
    <row r="648" hidden="1">
      <c r="A648" s="67">
        <f>HYPERLINK("https://polkadot.subsquare.io/treasury/child-bounties/755", 755)</f>
        <v>755</v>
      </c>
      <c r="B648" s="1">
        <v>11.0</v>
      </c>
      <c r="C648" s="1" t="s">
        <v>2414</v>
      </c>
      <c r="D648" s="1" t="s">
        <v>378</v>
      </c>
      <c r="E648" s="5">
        <v>172.6</v>
      </c>
      <c r="F648" s="4">
        <v>1691.038070678711</v>
      </c>
      <c r="G648" s="1" t="s">
        <v>2534</v>
      </c>
      <c r="H648" s="95">
        <v>45351.0</v>
      </c>
      <c r="I648" s="95">
        <v>45360.0</v>
      </c>
      <c r="J648" s="4">
        <v>1851.4155513763428</v>
      </c>
      <c r="K648" s="1"/>
      <c r="L648" s="1"/>
      <c r="M648" s="1" t="str">
        <f>VLOOKUP(B648,Bounties!A:D,3,FALSE)</f>
        <v>Research</v>
      </c>
      <c r="N648" s="1" t="str">
        <f>VLOOKUP(B648,Bounties!A:D,4,FALSE)</f>
        <v>Anti-Scam</v>
      </c>
      <c r="O648" s="1" t="str">
        <f t="shared" ref="O648:P648" si="652">IF(ISBLANK(K648),M648,K648)</f>
        <v>Research</v>
      </c>
      <c r="P648" s="1" t="str">
        <f t="shared" si="652"/>
        <v>Anti-Scam</v>
      </c>
      <c r="Q648" s="61" t="str">
        <f t="shared" si="3"/>
        <v>2024</v>
      </c>
      <c r="R648" s="62">
        <f t="shared" si="4"/>
        <v>3</v>
      </c>
      <c r="S648" s="61" t="str">
        <f t="shared" si="5"/>
        <v>2024-Q1</v>
      </c>
      <c r="T648" s="63" t="str">
        <f t="shared" si="6"/>
        <v>2024-03</v>
      </c>
      <c r="U648" s="64" t="str">
        <f t="shared" si="7"/>
        <v>2024-H1</v>
      </c>
      <c r="V648" s="9" t="str">
        <f>VLOOKUP(B648,Bounties!A:E,2,FALSE)</f>
        <v>Anti-Scam Bounty</v>
      </c>
    </row>
    <row r="649" hidden="1">
      <c r="A649" s="67">
        <f>HYPERLINK("https://polkadot.subsquare.io/treasury/child-bounties/754", 754)</f>
        <v>754</v>
      </c>
      <c r="B649" s="1">
        <v>11.0</v>
      </c>
      <c r="C649" s="1" t="s">
        <v>2414</v>
      </c>
      <c r="D649" s="1" t="s">
        <v>377</v>
      </c>
      <c r="E649" s="5">
        <v>95.888</v>
      </c>
      <c r="F649" s="4">
        <v>939.4568859863282</v>
      </c>
      <c r="G649" s="1" t="s">
        <v>2525</v>
      </c>
      <c r="H649" s="95">
        <v>45351.0</v>
      </c>
      <c r="I649" s="95">
        <v>45360.0</v>
      </c>
      <c r="J649" s="4">
        <v>1028.5546604309084</v>
      </c>
      <c r="K649" s="1"/>
      <c r="L649" s="1"/>
      <c r="M649" s="1" t="str">
        <f>VLOOKUP(B649,Bounties!A:D,3,FALSE)</f>
        <v>Research</v>
      </c>
      <c r="N649" s="1" t="str">
        <f>VLOOKUP(B649,Bounties!A:D,4,FALSE)</f>
        <v>Anti-Scam</v>
      </c>
      <c r="O649" s="1" t="str">
        <f t="shared" ref="O649:P649" si="653">IF(ISBLANK(K649),M649,K649)</f>
        <v>Research</v>
      </c>
      <c r="P649" s="1" t="str">
        <f t="shared" si="653"/>
        <v>Anti-Scam</v>
      </c>
      <c r="Q649" s="61" t="str">
        <f t="shared" si="3"/>
        <v>2024</v>
      </c>
      <c r="R649" s="62">
        <f t="shared" si="4"/>
        <v>3</v>
      </c>
      <c r="S649" s="61" t="str">
        <f t="shared" si="5"/>
        <v>2024-Q1</v>
      </c>
      <c r="T649" s="63" t="str">
        <f t="shared" si="6"/>
        <v>2024-03</v>
      </c>
      <c r="U649" s="64" t="str">
        <f t="shared" si="7"/>
        <v>2024-H1</v>
      </c>
      <c r="V649" s="9" t="str">
        <f>VLOOKUP(B649,Bounties!A:E,2,FALSE)</f>
        <v>Anti-Scam Bounty</v>
      </c>
    </row>
    <row r="650" hidden="1">
      <c r="A650" s="67">
        <f>HYPERLINK("https://polkadot.subsquare.io/treasury/child-bounties/753", 753)</f>
        <v>753</v>
      </c>
      <c r="B650" s="1">
        <v>11.0</v>
      </c>
      <c r="C650" s="1" t="s">
        <v>2414</v>
      </c>
      <c r="D650" s="1" t="s">
        <v>376</v>
      </c>
      <c r="E650" s="5">
        <v>59.93</v>
      </c>
      <c r="F650" s="4">
        <v>587.160553741455</v>
      </c>
      <c r="G650" s="1" t="s">
        <v>2526</v>
      </c>
      <c r="H650" s="95">
        <v>45351.0</v>
      </c>
      <c r="I650" s="95">
        <v>45362.0</v>
      </c>
      <c r="J650" s="4">
        <v>691.7661164283752</v>
      </c>
      <c r="K650" s="1"/>
      <c r="L650" s="1"/>
      <c r="M650" s="1" t="str">
        <f>VLOOKUP(B650,Bounties!A:D,3,FALSE)</f>
        <v>Research</v>
      </c>
      <c r="N650" s="1" t="str">
        <f>VLOOKUP(B650,Bounties!A:D,4,FALSE)</f>
        <v>Anti-Scam</v>
      </c>
      <c r="O650" s="1" t="str">
        <f t="shared" ref="O650:P650" si="654">IF(ISBLANK(K650),M650,K650)</f>
        <v>Research</v>
      </c>
      <c r="P650" s="1" t="str">
        <f t="shared" si="654"/>
        <v>Anti-Scam</v>
      </c>
      <c r="Q650" s="61" t="str">
        <f t="shared" si="3"/>
        <v>2024</v>
      </c>
      <c r="R650" s="62">
        <f t="shared" si="4"/>
        <v>3</v>
      </c>
      <c r="S650" s="61" t="str">
        <f t="shared" si="5"/>
        <v>2024-Q1</v>
      </c>
      <c r="T650" s="63" t="str">
        <f t="shared" si="6"/>
        <v>2024-03</v>
      </c>
      <c r="U650" s="64" t="str">
        <f t="shared" si="7"/>
        <v>2024-H1</v>
      </c>
      <c r="V650" s="9" t="str">
        <f>VLOOKUP(B650,Bounties!A:E,2,FALSE)</f>
        <v>Anti-Scam Bounty</v>
      </c>
    </row>
    <row r="651" hidden="1">
      <c r="A651" s="67">
        <f>HYPERLINK("https://polkadot.subsquare.io/treasury/child-bounties/752", 752)</f>
        <v>752</v>
      </c>
      <c r="B651" s="1">
        <v>11.0</v>
      </c>
      <c r="C651" s="1" t="s">
        <v>2414</v>
      </c>
      <c r="D651" s="1" t="s">
        <v>375</v>
      </c>
      <c r="E651" s="5">
        <v>86.299</v>
      </c>
      <c r="F651" s="4">
        <v>845.5092378997804</v>
      </c>
      <c r="G651" s="1" t="s">
        <v>2535</v>
      </c>
      <c r="H651" s="95">
        <v>45351.0</v>
      </c>
      <c r="I651" s="95">
        <v>45361.0</v>
      </c>
      <c r="J651" s="4">
        <v>976.9980654573442</v>
      </c>
      <c r="K651" s="1"/>
      <c r="L651" s="1"/>
      <c r="M651" s="1" t="str">
        <f>VLOOKUP(B651,Bounties!A:D,3,FALSE)</f>
        <v>Research</v>
      </c>
      <c r="N651" s="1" t="str">
        <f>VLOOKUP(B651,Bounties!A:D,4,FALSE)</f>
        <v>Anti-Scam</v>
      </c>
      <c r="O651" s="1" t="str">
        <f t="shared" ref="O651:P651" si="655">IF(ISBLANK(K651),M651,K651)</f>
        <v>Research</v>
      </c>
      <c r="P651" s="1" t="str">
        <f t="shared" si="655"/>
        <v>Anti-Scam</v>
      </c>
      <c r="Q651" s="61" t="str">
        <f t="shared" si="3"/>
        <v>2024</v>
      </c>
      <c r="R651" s="62">
        <f t="shared" si="4"/>
        <v>3</v>
      </c>
      <c r="S651" s="61" t="str">
        <f t="shared" si="5"/>
        <v>2024-Q1</v>
      </c>
      <c r="T651" s="63" t="str">
        <f t="shared" si="6"/>
        <v>2024-03</v>
      </c>
      <c r="U651" s="64" t="str">
        <f t="shared" si="7"/>
        <v>2024-H1</v>
      </c>
      <c r="V651" s="9" t="str">
        <f>VLOOKUP(B651,Bounties!A:E,2,FALSE)</f>
        <v>Anti-Scam Bounty</v>
      </c>
    </row>
    <row r="652" hidden="1">
      <c r="A652" s="67">
        <f>HYPERLINK("https://polkadot.subsquare.io/treasury/child-bounties/751", 751)</f>
        <v>751</v>
      </c>
      <c r="B652" s="1">
        <v>11.0</v>
      </c>
      <c r="C652" s="1" t="s">
        <v>2414</v>
      </c>
      <c r="D652" s="1" t="s">
        <v>374</v>
      </c>
      <c r="E652" s="5">
        <v>201.366</v>
      </c>
      <c r="F652" s="4">
        <v>1972.8712174987795</v>
      </c>
      <c r="G652" s="1" t="s">
        <v>2527</v>
      </c>
      <c r="H652" s="95">
        <v>45351.0</v>
      </c>
      <c r="I652" s="95">
        <v>45360.0</v>
      </c>
      <c r="J652" s="4">
        <v>2159.977658855438</v>
      </c>
      <c r="K652" s="1"/>
      <c r="L652" s="1"/>
      <c r="M652" s="1" t="str">
        <f>VLOOKUP(B652,Bounties!A:D,3,FALSE)</f>
        <v>Research</v>
      </c>
      <c r="N652" s="1" t="str">
        <f>VLOOKUP(B652,Bounties!A:D,4,FALSE)</f>
        <v>Anti-Scam</v>
      </c>
      <c r="O652" s="1" t="str">
        <f t="shared" ref="O652:P652" si="656">IF(ISBLANK(K652),M652,K652)</f>
        <v>Research</v>
      </c>
      <c r="P652" s="1" t="str">
        <f t="shared" si="656"/>
        <v>Anti-Scam</v>
      </c>
      <c r="Q652" s="61" t="str">
        <f t="shared" si="3"/>
        <v>2024</v>
      </c>
      <c r="R652" s="62">
        <f t="shared" si="4"/>
        <v>3</v>
      </c>
      <c r="S652" s="61" t="str">
        <f t="shared" si="5"/>
        <v>2024-Q1</v>
      </c>
      <c r="T652" s="63" t="str">
        <f t="shared" si="6"/>
        <v>2024-03</v>
      </c>
      <c r="U652" s="64" t="str">
        <f t="shared" si="7"/>
        <v>2024-H1</v>
      </c>
      <c r="V652" s="9" t="str">
        <f>VLOOKUP(B652,Bounties!A:E,2,FALSE)</f>
        <v>Anti-Scam Bounty</v>
      </c>
    </row>
    <row r="653" hidden="1">
      <c r="A653" s="67">
        <f>HYPERLINK("https://polkadot.subsquare.io/treasury/child-bounties/750", 750)</f>
        <v>750</v>
      </c>
      <c r="B653" s="1">
        <v>11.0</v>
      </c>
      <c r="C653" s="1" t="s">
        <v>2414</v>
      </c>
      <c r="D653" s="1" t="s">
        <v>373</v>
      </c>
      <c r="E653" s="5">
        <v>59.93</v>
      </c>
      <c r="F653" s="4">
        <v>587.160553741455</v>
      </c>
      <c r="G653" s="1" t="s">
        <v>2433</v>
      </c>
      <c r="H653" s="95">
        <v>45351.0</v>
      </c>
      <c r="I653" s="95">
        <v>45361.0</v>
      </c>
      <c r="J653" s="4">
        <v>678.4724511623383</v>
      </c>
      <c r="K653" s="1"/>
      <c r="L653" s="1"/>
      <c r="M653" s="1" t="str">
        <f>VLOOKUP(B653,Bounties!A:D,3,FALSE)</f>
        <v>Research</v>
      </c>
      <c r="N653" s="1" t="str">
        <f>VLOOKUP(B653,Bounties!A:D,4,FALSE)</f>
        <v>Anti-Scam</v>
      </c>
      <c r="O653" s="1" t="str">
        <f t="shared" ref="O653:P653" si="657">IF(ISBLANK(K653),M653,K653)</f>
        <v>Research</v>
      </c>
      <c r="P653" s="1" t="str">
        <f t="shared" si="657"/>
        <v>Anti-Scam</v>
      </c>
      <c r="Q653" s="61" t="str">
        <f t="shared" si="3"/>
        <v>2024</v>
      </c>
      <c r="R653" s="62">
        <f t="shared" si="4"/>
        <v>3</v>
      </c>
      <c r="S653" s="61" t="str">
        <f t="shared" si="5"/>
        <v>2024-Q1</v>
      </c>
      <c r="T653" s="63" t="str">
        <f t="shared" si="6"/>
        <v>2024-03</v>
      </c>
      <c r="U653" s="64" t="str">
        <f t="shared" si="7"/>
        <v>2024-H1</v>
      </c>
      <c r="V653" s="9" t="str">
        <f>VLOOKUP(B653,Bounties!A:E,2,FALSE)</f>
        <v>Anti-Scam Bounty</v>
      </c>
    </row>
    <row r="654" hidden="1">
      <c r="A654" s="67">
        <f>HYPERLINK("https://polkadot.subsquare.io/treasury/child-bounties/749", 749)</f>
        <v>749</v>
      </c>
      <c r="B654" s="1">
        <v>11.0</v>
      </c>
      <c r="C654" s="1" t="s">
        <v>2414</v>
      </c>
      <c r="D654" s="1" t="s">
        <v>372</v>
      </c>
      <c r="E654" s="5">
        <v>143.833</v>
      </c>
      <c r="F654" s="4">
        <v>1409.1951264190673</v>
      </c>
      <c r="G654" s="1" t="s">
        <v>2433</v>
      </c>
      <c r="H654" s="95">
        <v>45351.0</v>
      </c>
      <c r="I654" s="95">
        <v>45361.0</v>
      </c>
      <c r="J654" s="4">
        <v>1628.3452038717269</v>
      </c>
      <c r="K654" s="1"/>
      <c r="L654" s="1"/>
      <c r="M654" s="1" t="str">
        <f>VLOOKUP(B654,Bounties!A:D,3,FALSE)</f>
        <v>Research</v>
      </c>
      <c r="N654" s="1" t="str">
        <f>VLOOKUP(B654,Bounties!A:D,4,FALSE)</f>
        <v>Anti-Scam</v>
      </c>
      <c r="O654" s="1" t="str">
        <f t="shared" ref="O654:P654" si="658">IF(ISBLANK(K654),M654,K654)</f>
        <v>Research</v>
      </c>
      <c r="P654" s="1" t="str">
        <f t="shared" si="658"/>
        <v>Anti-Scam</v>
      </c>
      <c r="Q654" s="61" t="str">
        <f t="shared" si="3"/>
        <v>2024</v>
      </c>
      <c r="R654" s="62">
        <f t="shared" si="4"/>
        <v>3</v>
      </c>
      <c r="S654" s="61" t="str">
        <f t="shared" si="5"/>
        <v>2024-Q1</v>
      </c>
      <c r="T654" s="63" t="str">
        <f t="shared" si="6"/>
        <v>2024-03</v>
      </c>
      <c r="U654" s="64" t="str">
        <f t="shared" si="7"/>
        <v>2024-H1</v>
      </c>
      <c r="V654" s="9" t="str">
        <f>VLOOKUP(B654,Bounties!A:E,2,FALSE)</f>
        <v>Anti-Scam Bounty</v>
      </c>
    </row>
    <row r="655" hidden="1">
      <c r="A655" s="67">
        <f>HYPERLINK("https://polkadot.subsquare.io/treasury/child-bounties/748", 748)</f>
        <v>748</v>
      </c>
      <c r="B655" s="1">
        <v>11.0</v>
      </c>
      <c r="C655" s="1" t="s">
        <v>2414</v>
      </c>
      <c r="D655" s="1" t="s">
        <v>371</v>
      </c>
      <c r="E655" s="5">
        <v>172.599</v>
      </c>
      <c r="F655" s="4">
        <v>1691.0282732391356</v>
      </c>
      <c r="G655" s="1" t="s">
        <v>2438</v>
      </c>
      <c r="H655" s="95">
        <v>45351.0</v>
      </c>
      <c r="I655" s="95">
        <v>45360.0</v>
      </c>
      <c r="J655" s="4">
        <v>1851.4048247509002</v>
      </c>
      <c r="K655" s="1"/>
      <c r="L655" s="1"/>
      <c r="M655" s="1" t="str">
        <f>VLOOKUP(B655,Bounties!A:D,3,FALSE)</f>
        <v>Research</v>
      </c>
      <c r="N655" s="1" t="str">
        <f>VLOOKUP(B655,Bounties!A:D,4,FALSE)</f>
        <v>Anti-Scam</v>
      </c>
      <c r="O655" s="1" t="str">
        <f t="shared" ref="O655:P655" si="659">IF(ISBLANK(K655),M655,K655)</f>
        <v>Research</v>
      </c>
      <c r="P655" s="1" t="str">
        <f t="shared" si="659"/>
        <v>Anti-Scam</v>
      </c>
      <c r="Q655" s="61" t="str">
        <f t="shared" si="3"/>
        <v>2024</v>
      </c>
      <c r="R655" s="62">
        <f t="shared" si="4"/>
        <v>3</v>
      </c>
      <c r="S655" s="61" t="str">
        <f t="shared" si="5"/>
        <v>2024-Q1</v>
      </c>
      <c r="T655" s="63" t="str">
        <f t="shared" si="6"/>
        <v>2024-03</v>
      </c>
      <c r="U655" s="64" t="str">
        <f t="shared" si="7"/>
        <v>2024-H1</v>
      </c>
      <c r="V655" s="9" t="str">
        <f>VLOOKUP(B655,Bounties!A:E,2,FALSE)</f>
        <v>Anti-Scam Bounty</v>
      </c>
    </row>
    <row r="656" hidden="1">
      <c r="A656" s="67">
        <f>HYPERLINK("https://polkadot.subsquare.io/treasury/child-bounties/747", 747)</f>
        <v>747</v>
      </c>
      <c r="B656" s="1">
        <v>27.0</v>
      </c>
      <c r="C656" s="1" t="s">
        <v>2414</v>
      </c>
      <c r="D656" s="1" t="s">
        <v>370</v>
      </c>
      <c r="E656" s="5">
        <v>3373.2</v>
      </c>
      <c r="F656" s="4">
        <v>31829.855757522582</v>
      </c>
      <c r="G656" s="1" t="s">
        <v>2647</v>
      </c>
      <c r="H656" s="95">
        <v>45350.0</v>
      </c>
      <c r="I656" s="95">
        <v>45370.0</v>
      </c>
      <c r="J656" s="4">
        <v>30086.441482543945</v>
      </c>
      <c r="K656" s="1"/>
      <c r="L656" s="1"/>
      <c r="M656" s="1" t="str">
        <f>VLOOKUP(B656,Bounties!A:D,3,FALSE)</f>
        <v>Development</v>
      </c>
      <c r="N656" s="1" t="str">
        <f>VLOOKUP(B656,Bounties!A:D,4,FALSE)</f>
        <v>Protocol Subsidies</v>
      </c>
      <c r="O656" s="1" t="str">
        <f t="shared" ref="O656:P656" si="660">IF(ISBLANK(K656),M656,K656)</f>
        <v>Development</v>
      </c>
      <c r="P656" s="1" t="str">
        <f t="shared" si="660"/>
        <v>Protocol Subsidies</v>
      </c>
      <c r="Q656" s="61" t="str">
        <f t="shared" si="3"/>
        <v>2024</v>
      </c>
      <c r="R656" s="62">
        <f t="shared" si="4"/>
        <v>3</v>
      </c>
      <c r="S656" s="61" t="str">
        <f t="shared" si="5"/>
        <v>2024-Q1</v>
      </c>
      <c r="T656" s="63" t="str">
        <f t="shared" si="6"/>
        <v>2024-03</v>
      </c>
      <c r="U656" s="64" t="str">
        <f t="shared" si="7"/>
        <v>2024-H1</v>
      </c>
      <c r="V656" s="9" t="str">
        <f>VLOOKUP(B656,Bounties!A:E,2,FALSE)</f>
        <v>Polkadot Parachain Assets Onramp Bounty</v>
      </c>
    </row>
    <row r="657" hidden="1">
      <c r="A657" s="67">
        <f>HYPERLINK("https://polkadot.subsquare.io/treasury/child-bounties/746", 746)</f>
        <v>746</v>
      </c>
      <c r="B657" s="1">
        <v>27.0</v>
      </c>
      <c r="C657" s="1" t="s">
        <v>2414</v>
      </c>
      <c r="D657" s="1" t="s">
        <v>369</v>
      </c>
      <c r="E657" s="5">
        <v>5944.5</v>
      </c>
      <c r="F657" s="4">
        <v>51563.9579873085</v>
      </c>
      <c r="G657" s="1" t="s">
        <v>2648</v>
      </c>
      <c r="H657" s="95">
        <v>45350.0</v>
      </c>
      <c r="I657" s="95">
        <v>45358.0</v>
      </c>
      <c r="J657" s="4">
        <v>62551.2565870285</v>
      </c>
      <c r="K657" s="1"/>
      <c r="L657" s="1"/>
      <c r="M657" s="1" t="str">
        <f>VLOOKUP(B657,Bounties!A:D,3,FALSE)</f>
        <v>Development</v>
      </c>
      <c r="N657" s="1" t="str">
        <f>VLOOKUP(B657,Bounties!A:D,4,FALSE)</f>
        <v>Protocol Subsidies</v>
      </c>
      <c r="O657" s="1" t="str">
        <f t="shared" ref="O657:P657" si="661">IF(ISBLANK(K657),M657,K657)</f>
        <v>Development</v>
      </c>
      <c r="P657" s="1" t="str">
        <f t="shared" si="661"/>
        <v>Protocol Subsidies</v>
      </c>
      <c r="Q657" s="61" t="str">
        <f t="shared" si="3"/>
        <v>2024</v>
      </c>
      <c r="R657" s="62">
        <f t="shared" si="4"/>
        <v>3</v>
      </c>
      <c r="S657" s="61" t="str">
        <f t="shared" si="5"/>
        <v>2024-Q1</v>
      </c>
      <c r="T657" s="63" t="str">
        <f t="shared" si="6"/>
        <v>2024-03</v>
      </c>
      <c r="U657" s="64" t="str">
        <f t="shared" si="7"/>
        <v>2024-H1</v>
      </c>
      <c r="V657" s="9" t="str">
        <f>VLOOKUP(B657,Bounties!A:E,2,FALSE)</f>
        <v>Polkadot Parachain Assets Onramp Bounty</v>
      </c>
    </row>
    <row r="658" hidden="1">
      <c r="A658" s="67">
        <f>HYPERLINK("https://polkadot.subsquare.io/treasury/child-bounties/745", 745)</f>
        <v>745</v>
      </c>
      <c r="B658" s="1">
        <v>27.0</v>
      </c>
      <c r="C658" s="1" t="s">
        <v>2414</v>
      </c>
      <c r="D658" s="1" t="s">
        <v>368</v>
      </c>
      <c r="E658" s="5">
        <v>5548.2</v>
      </c>
      <c r="F658" s="4">
        <v>48126.3607881546</v>
      </c>
      <c r="G658" s="1" t="s">
        <v>2648</v>
      </c>
      <c r="H658" s="95">
        <v>45350.0</v>
      </c>
      <c r="I658" s="95">
        <v>45358.0</v>
      </c>
      <c r="J658" s="4">
        <v>58381.17281455993</v>
      </c>
      <c r="K658" s="1"/>
      <c r="L658" s="1"/>
      <c r="M658" s="1" t="str">
        <f>VLOOKUP(B658,Bounties!A:D,3,FALSE)</f>
        <v>Development</v>
      </c>
      <c r="N658" s="1" t="str">
        <f>VLOOKUP(B658,Bounties!A:D,4,FALSE)</f>
        <v>Protocol Subsidies</v>
      </c>
      <c r="O658" s="1" t="str">
        <f t="shared" ref="O658:P658" si="662">IF(ISBLANK(K658),M658,K658)</f>
        <v>Development</v>
      </c>
      <c r="P658" s="1" t="str">
        <f t="shared" si="662"/>
        <v>Protocol Subsidies</v>
      </c>
      <c r="Q658" s="61" t="str">
        <f t="shared" si="3"/>
        <v>2024</v>
      </c>
      <c r="R658" s="62">
        <f t="shared" si="4"/>
        <v>3</v>
      </c>
      <c r="S658" s="61" t="str">
        <f t="shared" si="5"/>
        <v>2024-Q1</v>
      </c>
      <c r="T658" s="63" t="str">
        <f t="shared" si="6"/>
        <v>2024-03</v>
      </c>
      <c r="U658" s="64" t="str">
        <f t="shared" si="7"/>
        <v>2024-H1</v>
      </c>
      <c r="V658" s="9" t="str">
        <f>VLOOKUP(B658,Bounties!A:E,2,FALSE)</f>
        <v>Polkadot Parachain Assets Onramp Bounty</v>
      </c>
    </row>
    <row r="659" hidden="1">
      <c r="A659" s="67">
        <f>HYPERLINK("https://polkadot.subsquare.io/treasury/child-bounties/744", 744)</f>
        <v>744</v>
      </c>
      <c r="B659" s="1">
        <v>24.0</v>
      </c>
      <c r="C659" s="1" t="s">
        <v>2414</v>
      </c>
      <c r="D659" s="1" t="s">
        <v>367</v>
      </c>
      <c r="E659" s="5">
        <v>179.53</v>
      </c>
      <c r="F659" s="4">
        <v>1497.750378704071</v>
      </c>
      <c r="G659" s="1" t="s">
        <v>2437</v>
      </c>
      <c r="H659" s="95">
        <v>45347.0</v>
      </c>
      <c r="I659" s="95">
        <v>45356.0</v>
      </c>
      <c r="J659" s="4">
        <v>1871.0734613800048</v>
      </c>
      <c r="K659" s="1"/>
      <c r="L659" s="1"/>
      <c r="M659" s="1" t="str">
        <f>VLOOKUP(B659,Bounties!A:D,3,FALSE)</f>
        <v>Outreach</v>
      </c>
      <c r="N659" s="1" t="str">
        <f>VLOOKUP(B659,Bounties!A:D,4,FALSE)</f>
        <v>Community Building</v>
      </c>
      <c r="O659" s="1" t="str">
        <f t="shared" ref="O659:P659" si="663">IF(ISBLANK(K659),M659,K659)</f>
        <v>Outreach</v>
      </c>
      <c r="P659" s="1" t="str">
        <f t="shared" si="663"/>
        <v>Community Building</v>
      </c>
      <c r="Q659" s="61" t="str">
        <f t="shared" si="3"/>
        <v>2024</v>
      </c>
      <c r="R659" s="62">
        <f t="shared" si="4"/>
        <v>3</v>
      </c>
      <c r="S659" s="61" t="str">
        <f t="shared" si="5"/>
        <v>2024-Q1</v>
      </c>
      <c r="T659" s="63" t="str">
        <f t="shared" si="6"/>
        <v>2024-03</v>
      </c>
      <c r="U659" s="64" t="str">
        <f t="shared" si="7"/>
        <v>2024-H1</v>
      </c>
      <c r="V659" s="9" t="str">
        <f>VLOOKUP(B659,Bounties!A:E,2,FALSE)</f>
        <v>Moderation Team Bounty</v>
      </c>
    </row>
    <row r="660" hidden="1">
      <c r="A660" s="67">
        <f>HYPERLINK("https://polkadot.subsquare.io/treasury/child-bounties/743", 743)</f>
        <v>743</v>
      </c>
      <c r="B660" s="1">
        <v>24.0</v>
      </c>
      <c r="C660" s="1" t="s">
        <v>2414</v>
      </c>
      <c r="D660" s="1" t="s">
        <v>366</v>
      </c>
      <c r="E660" s="5">
        <v>179.53</v>
      </c>
      <c r="F660" s="4">
        <v>1497.750378704071</v>
      </c>
      <c r="G660" s="1" t="s">
        <v>2463</v>
      </c>
      <c r="H660" s="95">
        <v>45347.0</v>
      </c>
      <c r="I660" s="95">
        <v>45357.0</v>
      </c>
      <c r="J660" s="4">
        <v>1914.7110705661773</v>
      </c>
      <c r="K660" s="1"/>
      <c r="L660" s="1"/>
      <c r="M660" s="1" t="str">
        <f>VLOOKUP(B660,Bounties!A:D,3,FALSE)</f>
        <v>Outreach</v>
      </c>
      <c r="N660" s="1" t="str">
        <f>VLOOKUP(B660,Bounties!A:D,4,FALSE)</f>
        <v>Community Building</v>
      </c>
      <c r="O660" s="1" t="str">
        <f t="shared" ref="O660:P660" si="664">IF(ISBLANK(K660),M660,K660)</f>
        <v>Outreach</v>
      </c>
      <c r="P660" s="1" t="str">
        <f t="shared" si="664"/>
        <v>Community Building</v>
      </c>
      <c r="Q660" s="61" t="str">
        <f t="shared" si="3"/>
        <v>2024</v>
      </c>
      <c r="R660" s="62">
        <f t="shared" si="4"/>
        <v>3</v>
      </c>
      <c r="S660" s="61" t="str">
        <f t="shared" si="5"/>
        <v>2024-Q1</v>
      </c>
      <c r="T660" s="63" t="str">
        <f t="shared" si="6"/>
        <v>2024-03</v>
      </c>
      <c r="U660" s="64" t="str">
        <f t="shared" si="7"/>
        <v>2024-H1</v>
      </c>
      <c r="V660" s="9" t="str">
        <f>VLOOKUP(B660,Bounties!A:E,2,FALSE)</f>
        <v>Moderation Team Bounty</v>
      </c>
    </row>
    <row r="661" hidden="1">
      <c r="A661" s="67">
        <f>HYPERLINK("https://polkadot.subsquare.io/treasury/child-bounties/742", 742)</f>
        <v>742</v>
      </c>
      <c r="B661" s="1">
        <v>24.0</v>
      </c>
      <c r="C661" s="1" t="s">
        <v>2414</v>
      </c>
      <c r="D661" s="1" t="s">
        <v>365</v>
      </c>
      <c r="E661" s="5">
        <v>211.59</v>
      </c>
      <c r="F661" s="4">
        <v>1765.2147419929504</v>
      </c>
      <c r="G661" s="1" t="s">
        <v>2549</v>
      </c>
      <c r="H661" s="95">
        <v>45347.0</v>
      </c>
      <c r="I661" s="95">
        <v>45356.0</v>
      </c>
      <c r="J661" s="4">
        <v>2205.2048888397217</v>
      </c>
      <c r="K661" s="1"/>
      <c r="L661" s="1"/>
      <c r="M661" s="1" t="str">
        <f>VLOOKUP(B661,Bounties!A:D,3,FALSE)</f>
        <v>Outreach</v>
      </c>
      <c r="N661" s="1" t="str">
        <f>VLOOKUP(B661,Bounties!A:D,4,FALSE)</f>
        <v>Community Building</v>
      </c>
      <c r="O661" s="1" t="str">
        <f t="shared" ref="O661:P661" si="665">IF(ISBLANK(K661),M661,K661)</f>
        <v>Outreach</v>
      </c>
      <c r="P661" s="1" t="str">
        <f t="shared" si="665"/>
        <v>Community Building</v>
      </c>
      <c r="Q661" s="61" t="str">
        <f t="shared" si="3"/>
        <v>2024</v>
      </c>
      <c r="R661" s="62">
        <f t="shared" si="4"/>
        <v>3</v>
      </c>
      <c r="S661" s="61" t="str">
        <f t="shared" si="5"/>
        <v>2024-Q1</v>
      </c>
      <c r="T661" s="63" t="str">
        <f t="shared" si="6"/>
        <v>2024-03</v>
      </c>
      <c r="U661" s="64" t="str">
        <f t="shared" si="7"/>
        <v>2024-H1</v>
      </c>
      <c r="V661" s="9" t="str">
        <f>VLOOKUP(B661,Bounties!A:E,2,FALSE)</f>
        <v>Moderation Team Bounty</v>
      </c>
    </row>
    <row r="662" hidden="1">
      <c r="A662" s="67">
        <f>HYPERLINK("https://polkadot.subsquare.io/treasury/child-bounties/741", 741)</f>
        <v>741</v>
      </c>
      <c r="B662" s="1">
        <v>24.0</v>
      </c>
      <c r="C662" s="1" t="s">
        <v>2414</v>
      </c>
      <c r="D662" s="1" t="s">
        <v>364</v>
      </c>
      <c r="E662" s="5">
        <v>179.53</v>
      </c>
      <c r="F662" s="4">
        <v>1497.750378704071</v>
      </c>
      <c r="G662" s="1" t="s">
        <v>2497</v>
      </c>
      <c r="H662" s="95">
        <v>45347.0</v>
      </c>
      <c r="I662" s="95">
        <v>45356.0</v>
      </c>
      <c r="J662" s="4">
        <v>1871.0734613800048</v>
      </c>
      <c r="K662" s="1"/>
      <c r="L662" s="1"/>
      <c r="M662" s="1" t="str">
        <f>VLOOKUP(B662,Bounties!A:D,3,FALSE)</f>
        <v>Outreach</v>
      </c>
      <c r="N662" s="1" t="str">
        <f>VLOOKUP(B662,Bounties!A:D,4,FALSE)</f>
        <v>Community Building</v>
      </c>
      <c r="O662" s="1" t="str">
        <f t="shared" ref="O662:P662" si="666">IF(ISBLANK(K662),M662,K662)</f>
        <v>Outreach</v>
      </c>
      <c r="P662" s="1" t="str">
        <f t="shared" si="666"/>
        <v>Community Building</v>
      </c>
      <c r="Q662" s="61" t="str">
        <f t="shared" si="3"/>
        <v>2024</v>
      </c>
      <c r="R662" s="62">
        <f t="shared" si="4"/>
        <v>3</v>
      </c>
      <c r="S662" s="61" t="str">
        <f t="shared" si="5"/>
        <v>2024-Q1</v>
      </c>
      <c r="T662" s="63" t="str">
        <f t="shared" si="6"/>
        <v>2024-03</v>
      </c>
      <c r="U662" s="64" t="str">
        <f t="shared" si="7"/>
        <v>2024-H1</v>
      </c>
      <c r="V662" s="9" t="str">
        <f>VLOOKUP(B662,Bounties!A:E,2,FALSE)</f>
        <v>Moderation Team Bounty</v>
      </c>
    </row>
    <row r="663" hidden="1">
      <c r="A663" s="67">
        <f>HYPERLINK("https://polkadot.subsquare.io/treasury/child-bounties/740", 740)</f>
        <v>740</v>
      </c>
      <c r="B663" s="1">
        <v>24.0</v>
      </c>
      <c r="C663" s="1" t="s">
        <v>2414</v>
      </c>
      <c r="D663" s="1" t="s">
        <v>363</v>
      </c>
      <c r="E663" s="5">
        <v>196.85</v>
      </c>
      <c r="F663" s="4">
        <v>1642.244538784027</v>
      </c>
      <c r="G663" s="1" t="s">
        <v>2433</v>
      </c>
      <c r="H663" s="95">
        <v>45347.0</v>
      </c>
      <c r="I663" s="95">
        <v>45356.0</v>
      </c>
      <c r="J663" s="4">
        <v>2099.431149339676</v>
      </c>
      <c r="K663" s="1"/>
      <c r="L663" s="1"/>
      <c r="M663" s="1" t="str">
        <f>VLOOKUP(B663,Bounties!A:D,3,FALSE)</f>
        <v>Outreach</v>
      </c>
      <c r="N663" s="1" t="str">
        <f>VLOOKUP(B663,Bounties!A:D,4,FALSE)</f>
        <v>Community Building</v>
      </c>
      <c r="O663" s="1" t="str">
        <f t="shared" ref="O663:P663" si="667">IF(ISBLANK(K663),M663,K663)</f>
        <v>Outreach</v>
      </c>
      <c r="P663" s="1" t="str">
        <f t="shared" si="667"/>
        <v>Community Building</v>
      </c>
      <c r="Q663" s="61" t="str">
        <f t="shared" si="3"/>
        <v>2024</v>
      </c>
      <c r="R663" s="62">
        <f t="shared" si="4"/>
        <v>3</v>
      </c>
      <c r="S663" s="61" t="str">
        <f t="shared" si="5"/>
        <v>2024-Q1</v>
      </c>
      <c r="T663" s="63" t="str">
        <f t="shared" si="6"/>
        <v>2024-03</v>
      </c>
      <c r="U663" s="64" t="str">
        <f t="shared" si="7"/>
        <v>2024-H1</v>
      </c>
      <c r="V663" s="9" t="str">
        <f>VLOOKUP(B663,Bounties!A:E,2,FALSE)</f>
        <v>Moderation Team Bounty</v>
      </c>
    </row>
    <row r="664" hidden="1">
      <c r="A664" s="67">
        <f>HYPERLINK("https://polkadot.subsquare.io/treasury/child-bounties/739", 739)</f>
        <v>739</v>
      </c>
      <c r="B664" s="1">
        <v>24.0</v>
      </c>
      <c r="C664" s="1" t="s">
        <v>2414</v>
      </c>
      <c r="D664" s="1" t="s">
        <v>362</v>
      </c>
      <c r="E664" s="5">
        <v>179.53</v>
      </c>
      <c r="F664" s="4">
        <v>1497.750378704071</v>
      </c>
      <c r="G664" s="1" t="s">
        <v>2438</v>
      </c>
      <c r="H664" s="95">
        <v>45347.0</v>
      </c>
      <c r="I664" s="95">
        <v>45357.0</v>
      </c>
      <c r="J664" s="4">
        <v>1889.112136440277</v>
      </c>
      <c r="K664" s="1"/>
      <c r="L664" s="1"/>
      <c r="M664" s="1" t="str">
        <f>VLOOKUP(B664,Bounties!A:D,3,FALSE)</f>
        <v>Outreach</v>
      </c>
      <c r="N664" s="1" t="str">
        <f>VLOOKUP(B664,Bounties!A:D,4,FALSE)</f>
        <v>Community Building</v>
      </c>
      <c r="O664" s="1" t="str">
        <f t="shared" ref="O664:P664" si="668">IF(ISBLANK(K664),M664,K664)</f>
        <v>Outreach</v>
      </c>
      <c r="P664" s="1" t="str">
        <f t="shared" si="668"/>
        <v>Community Building</v>
      </c>
      <c r="Q664" s="61" t="str">
        <f t="shared" si="3"/>
        <v>2024</v>
      </c>
      <c r="R664" s="62">
        <f t="shared" si="4"/>
        <v>3</v>
      </c>
      <c r="S664" s="61" t="str">
        <f t="shared" si="5"/>
        <v>2024-Q1</v>
      </c>
      <c r="T664" s="63" t="str">
        <f t="shared" si="6"/>
        <v>2024-03</v>
      </c>
      <c r="U664" s="64" t="str">
        <f t="shared" si="7"/>
        <v>2024-H1</v>
      </c>
      <c r="V664" s="9" t="str">
        <f>VLOOKUP(B664,Bounties!A:E,2,FALSE)</f>
        <v>Moderation Team Bounty</v>
      </c>
    </row>
    <row r="665" hidden="1">
      <c r="A665" s="67">
        <f>HYPERLINK("https://polkadot.subsquare.io/treasury/child-bounties/738", 738)</f>
        <v>738</v>
      </c>
      <c r="B665" s="1">
        <v>24.0</v>
      </c>
      <c r="C665" s="1" t="s">
        <v>2414</v>
      </c>
      <c r="D665" s="1" t="s">
        <v>361</v>
      </c>
      <c r="E665" s="5">
        <v>179.53</v>
      </c>
      <c r="F665" s="4">
        <v>1497.750378704071</v>
      </c>
      <c r="G665" s="1" t="s">
        <v>2528</v>
      </c>
      <c r="H665" s="95">
        <v>45347.0</v>
      </c>
      <c r="I665" s="95">
        <v>45356.0</v>
      </c>
      <c r="J665" s="4">
        <v>1914.7110705661773</v>
      </c>
      <c r="K665" s="1"/>
      <c r="L665" s="1"/>
      <c r="M665" s="1" t="str">
        <f>VLOOKUP(B665,Bounties!A:D,3,FALSE)</f>
        <v>Outreach</v>
      </c>
      <c r="N665" s="1" t="str">
        <f>VLOOKUP(B665,Bounties!A:D,4,FALSE)</f>
        <v>Community Building</v>
      </c>
      <c r="O665" s="1" t="str">
        <f t="shared" ref="O665:P665" si="669">IF(ISBLANK(K665),M665,K665)</f>
        <v>Outreach</v>
      </c>
      <c r="P665" s="1" t="str">
        <f t="shared" si="669"/>
        <v>Community Building</v>
      </c>
      <c r="Q665" s="61" t="str">
        <f t="shared" si="3"/>
        <v>2024</v>
      </c>
      <c r="R665" s="62">
        <f t="shared" si="4"/>
        <v>3</v>
      </c>
      <c r="S665" s="61" t="str">
        <f t="shared" si="5"/>
        <v>2024-Q1</v>
      </c>
      <c r="T665" s="63" t="str">
        <f t="shared" si="6"/>
        <v>2024-03</v>
      </c>
      <c r="U665" s="64" t="str">
        <f t="shared" si="7"/>
        <v>2024-H1</v>
      </c>
      <c r="V665" s="9" t="str">
        <f>VLOOKUP(B665,Bounties!A:E,2,FALSE)</f>
        <v>Moderation Team Bounty</v>
      </c>
    </row>
    <row r="666" hidden="1">
      <c r="A666" s="67">
        <f>HYPERLINK("https://polkadot.subsquare.io/treasury/child-bounties/737", 737)</f>
        <v>737</v>
      </c>
      <c r="B666" s="1">
        <v>24.0</v>
      </c>
      <c r="C666" s="1" t="s">
        <v>2414</v>
      </c>
      <c r="D666" s="1" t="s">
        <v>360</v>
      </c>
      <c r="E666" s="5">
        <v>179.53</v>
      </c>
      <c r="F666" s="4">
        <v>1497.750378704071</v>
      </c>
      <c r="G666" s="1" t="s">
        <v>2535</v>
      </c>
      <c r="H666" s="95">
        <v>45347.0</v>
      </c>
      <c r="I666" s="95">
        <v>45358.0</v>
      </c>
      <c r="J666" s="4">
        <v>1889.112136440277</v>
      </c>
      <c r="K666" s="1"/>
      <c r="L666" s="1"/>
      <c r="M666" s="1" t="str">
        <f>VLOOKUP(B666,Bounties!A:D,3,FALSE)</f>
        <v>Outreach</v>
      </c>
      <c r="N666" s="1" t="str">
        <f>VLOOKUP(B666,Bounties!A:D,4,FALSE)</f>
        <v>Community Building</v>
      </c>
      <c r="O666" s="1" t="str">
        <f t="shared" ref="O666:P666" si="670">IF(ISBLANK(K666),M666,K666)</f>
        <v>Outreach</v>
      </c>
      <c r="P666" s="1" t="str">
        <f t="shared" si="670"/>
        <v>Community Building</v>
      </c>
      <c r="Q666" s="61" t="str">
        <f t="shared" si="3"/>
        <v>2024</v>
      </c>
      <c r="R666" s="62">
        <f t="shared" si="4"/>
        <v>3</v>
      </c>
      <c r="S666" s="61" t="str">
        <f t="shared" si="5"/>
        <v>2024-Q1</v>
      </c>
      <c r="T666" s="63" t="str">
        <f t="shared" si="6"/>
        <v>2024-03</v>
      </c>
      <c r="U666" s="64" t="str">
        <f t="shared" si="7"/>
        <v>2024-H1</v>
      </c>
      <c r="V666" s="9" t="str">
        <f>VLOOKUP(B666,Bounties!A:E,2,FALSE)</f>
        <v>Moderation Team Bounty</v>
      </c>
    </row>
    <row r="667" hidden="1">
      <c r="A667" s="67">
        <f>HYPERLINK("https://polkadot.subsquare.io/treasury/child-bounties/736", 736)</f>
        <v>736</v>
      </c>
      <c r="B667" s="1">
        <v>24.0</v>
      </c>
      <c r="C667" s="1" t="s">
        <v>2414</v>
      </c>
      <c r="D667" s="1" t="s">
        <v>359</v>
      </c>
      <c r="E667" s="5">
        <v>179.53</v>
      </c>
      <c r="F667" s="4">
        <v>1497.750378704071</v>
      </c>
      <c r="G667" s="1" t="s">
        <v>2548</v>
      </c>
      <c r="H667" s="95">
        <v>45347.0</v>
      </c>
      <c r="I667" s="95">
        <v>45357.0</v>
      </c>
      <c r="J667" s="4">
        <v>1914.7110705661773</v>
      </c>
      <c r="K667" s="1"/>
      <c r="L667" s="1"/>
      <c r="M667" s="1" t="str">
        <f>VLOOKUP(B667,Bounties!A:D,3,FALSE)</f>
        <v>Outreach</v>
      </c>
      <c r="N667" s="1" t="str">
        <f>VLOOKUP(B667,Bounties!A:D,4,FALSE)</f>
        <v>Community Building</v>
      </c>
      <c r="O667" s="1" t="str">
        <f t="shared" ref="O667:P667" si="671">IF(ISBLANK(K667),M667,K667)</f>
        <v>Outreach</v>
      </c>
      <c r="P667" s="1" t="str">
        <f t="shared" si="671"/>
        <v>Community Building</v>
      </c>
      <c r="Q667" s="61" t="str">
        <f t="shared" si="3"/>
        <v>2024</v>
      </c>
      <c r="R667" s="62">
        <f t="shared" si="4"/>
        <v>3</v>
      </c>
      <c r="S667" s="61" t="str">
        <f t="shared" si="5"/>
        <v>2024-Q1</v>
      </c>
      <c r="T667" s="63" t="str">
        <f t="shared" si="6"/>
        <v>2024-03</v>
      </c>
      <c r="U667" s="64" t="str">
        <f t="shared" si="7"/>
        <v>2024-H1</v>
      </c>
      <c r="V667" s="9" t="str">
        <f>VLOOKUP(B667,Bounties!A:E,2,FALSE)</f>
        <v>Moderation Team Bounty</v>
      </c>
    </row>
    <row r="668" hidden="1">
      <c r="A668" s="67">
        <f>HYPERLINK("https://polkadot.subsquare.io/treasury/child-bounties/735", 735)</f>
        <v>735</v>
      </c>
      <c r="B668" s="1">
        <v>24.0</v>
      </c>
      <c r="C668" s="1" t="s">
        <v>2414</v>
      </c>
      <c r="D668" s="1" t="s">
        <v>358</v>
      </c>
      <c r="E668" s="5">
        <v>179.53</v>
      </c>
      <c r="F668" s="4">
        <v>1497.750378704071</v>
      </c>
      <c r="G668" s="1" t="s">
        <v>2550</v>
      </c>
      <c r="H668" s="95">
        <v>45347.0</v>
      </c>
      <c r="I668" s="95">
        <v>45356.0</v>
      </c>
      <c r="J668" s="4">
        <v>1871.0734613800048</v>
      </c>
      <c r="K668" s="1"/>
      <c r="L668" s="1"/>
      <c r="M668" s="1" t="str">
        <f>VLOOKUP(B668,Bounties!A:D,3,FALSE)</f>
        <v>Outreach</v>
      </c>
      <c r="N668" s="1" t="str">
        <f>VLOOKUP(B668,Bounties!A:D,4,FALSE)</f>
        <v>Community Building</v>
      </c>
      <c r="O668" s="1" t="str">
        <f t="shared" ref="O668:P668" si="672">IF(ISBLANK(K668),M668,K668)</f>
        <v>Outreach</v>
      </c>
      <c r="P668" s="1" t="str">
        <f t="shared" si="672"/>
        <v>Community Building</v>
      </c>
      <c r="Q668" s="61" t="str">
        <f t="shared" si="3"/>
        <v>2024</v>
      </c>
      <c r="R668" s="62">
        <f t="shared" si="4"/>
        <v>3</v>
      </c>
      <c r="S668" s="61" t="str">
        <f t="shared" si="5"/>
        <v>2024-Q1</v>
      </c>
      <c r="T668" s="63" t="str">
        <f t="shared" si="6"/>
        <v>2024-03</v>
      </c>
      <c r="U668" s="64" t="str">
        <f t="shared" si="7"/>
        <v>2024-H1</v>
      </c>
      <c r="V668" s="9" t="str">
        <f>VLOOKUP(B668,Bounties!A:E,2,FALSE)</f>
        <v>Moderation Team Bounty</v>
      </c>
    </row>
    <row r="669" hidden="1">
      <c r="A669" s="67">
        <f>HYPERLINK("https://polkadot.subsquare.io/treasury/child-bounties/734", 734)</f>
        <v>734</v>
      </c>
      <c r="B669" s="1">
        <v>24.0</v>
      </c>
      <c r="C669" s="1" t="s">
        <v>2414</v>
      </c>
      <c r="D669" s="1" t="s">
        <v>357</v>
      </c>
      <c r="E669" s="5">
        <v>179.53</v>
      </c>
      <c r="F669" s="4">
        <v>1497.750378704071</v>
      </c>
      <c r="G669" s="1" t="s">
        <v>2524</v>
      </c>
      <c r="H669" s="95">
        <v>45347.0</v>
      </c>
      <c r="I669" s="95">
        <v>45356.0</v>
      </c>
      <c r="J669" s="4">
        <v>1871.0734613800048</v>
      </c>
      <c r="K669" s="1"/>
      <c r="L669" s="1"/>
      <c r="M669" s="1" t="str">
        <f>VLOOKUP(B669,Bounties!A:D,3,FALSE)</f>
        <v>Outreach</v>
      </c>
      <c r="N669" s="1" t="str">
        <f>VLOOKUP(B669,Bounties!A:D,4,FALSE)</f>
        <v>Community Building</v>
      </c>
      <c r="O669" s="1" t="str">
        <f t="shared" ref="O669:P669" si="673">IF(ISBLANK(K669),M669,K669)</f>
        <v>Outreach</v>
      </c>
      <c r="P669" s="1" t="str">
        <f t="shared" si="673"/>
        <v>Community Building</v>
      </c>
      <c r="Q669" s="61" t="str">
        <f t="shared" si="3"/>
        <v>2024</v>
      </c>
      <c r="R669" s="62">
        <f t="shared" si="4"/>
        <v>3</v>
      </c>
      <c r="S669" s="61" t="str">
        <f t="shared" si="5"/>
        <v>2024-Q1</v>
      </c>
      <c r="T669" s="63" t="str">
        <f t="shared" si="6"/>
        <v>2024-03</v>
      </c>
      <c r="U669" s="64" t="str">
        <f t="shared" si="7"/>
        <v>2024-H1</v>
      </c>
      <c r="V669" s="9" t="str">
        <f>VLOOKUP(B669,Bounties!A:E,2,FALSE)</f>
        <v>Moderation Team Bounty</v>
      </c>
    </row>
    <row r="670" hidden="1">
      <c r="A670" s="67">
        <f>HYPERLINK("https://polkadot.subsquare.io/treasury/child-bounties/733", 733)</f>
        <v>733</v>
      </c>
      <c r="B670" s="1">
        <v>24.0</v>
      </c>
      <c r="C670" s="1" t="s">
        <v>2414</v>
      </c>
      <c r="D670" s="1" t="s">
        <v>356</v>
      </c>
      <c r="E670" s="5">
        <v>179.53</v>
      </c>
      <c r="F670" s="4">
        <v>1497.750378704071</v>
      </c>
      <c r="G670" s="1" t="s">
        <v>2551</v>
      </c>
      <c r="H670" s="95">
        <v>45347.0</v>
      </c>
      <c r="I670" s="95">
        <v>45356.0</v>
      </c>
      <c r="J670" s="4">
        <v>1871.0734613800048</v>
      </c>
      <c r="K670" s="1"/>
      <c r="L670" s="1"/>
      <c r="M670" s="1" t="str">
        <f>VLOOKUP(B670,Bounties!A:D,3,FALSE)</f>
        <v>Outreach</v>
      </c>
      <c r="N670" s="1" t="str">
        <f>VLOOKUP(B670,Bounties!A:D,4,FALSE)</f>
        <v>Community Building</v>
      </c>
      <c r="O670" s="1" t="str">
        <f t="shared" ref="O670:P670" si="674">IF(ISBLANK(K670),M670,K670)</f>
        <v>Outreach</v>
      </c>
      <c r="P670" s="1" t="str">
        <f t="shared" si="674"/>
        <v>Community Building</v>
      </c>
      <c r="Q670" s="61" t="str">
        <f t="shared" si="3"/>
        <v>2024</v>
      </c>
      <c r="R670" s="62">
        <f t="shared" si="4"/>
        <v>3</v>
      </c>
      <c r="S670" s="61" t="str">
        <f t="shared" si="5"/>
        <v>2024-Q1</v>
      </c>
      <c r="T670" s="63" t="str">
        <f t="shared" si="6"/>
        <v>2024-03</v>
      </c>
      <c r="U670" s="64" t="str">
        <f t="shared" si="7"/>
        <v>2024-H1</v>
      </c>
      <c r="V670" s="9" t="str">
        <f>VLOOKUP(B670,Bounties!A:E,2,FALSE)</f>
        <v>Moderation Team Bounty</v>
      </c>
    </row>
    <row r="671" hidden="1">
      <c r="A671" s="67">
        <f>HYPERLINK("https://polkadot.subsquare.io/treasury/child-bounties/732", 732)</f>
        <v>732</v>
      </c>
      <c r="B671" s="1">
        <v>24.0</v>
      </c>
      <c r="C671" s="1" t="s">
        <v>2414</v>
      </c>
      <c r="D671" s="1" t="s">
        <v>355</v>
      </c>
      <c r="E671" s="5">
        <v>196.85</v>
      </c>
      <c r="F671" s="4">
        <v>1642.244538784027</v>
      </c>
      <c r="G671" s="1" t="s">
        <v>2534</v>
      </c>
      <c r="H671" s="95">
        <v>45347.0</v>
      </c>
      <c r="I671" s="95">
        <v>45356.0</v>
      </c>
      <c r="J671" s="4">
        <v>2051.5836399078366</v>
      </c>
      <c r="K671" s="1"/>
      <c r="L671" s="1"/>
      <c r="M671" s="1" t="str">
        <f>VLOOKUP(B671,Bounties!A:D,3,FALSE)</f>
        <v>Outreach</v>
      </c>
      <c r="N671" s="1" t="str">
        <f>VLOOKUP(B671,Bounties!A:D,4,FALSE)</f>
        <v>Community Building</v>
      </c>
      <c r="O671" s="1" t="str">
        <f t="shared" ref="O671:P671" si="675">IF(ISBLANK(K671),M671,K671)</f>
        <v>Outreach</v>
      </c>
      <c r="P671" s="1" t="str">
        <f t="shared" si="675"/>
        <v>Community Building</v>
      </c>
      <c r="Q671" s="61" t="str">
        <f t="shared" si="3"/>
        <v>2024</v>
      </c>
      <c r="R671" s="62">
        <f t="shared" si="4"/>
        <v>3</v>
      </c>
      <c r="S671" s="61" t="str">
        <f t="shared" si="5"/>
        <v>2024-Q1</v>
      </c>
      <c r="T671" s="63" t="str">
        <f t="shared" si="6"/>
        <v>2024-03</v>
      </c>
      <c r="U671" s="64" t="str">
        <f t="shared" si="7"/>
        <v>2024-H1</v>
      </c>
      <c r="V671" s="9" t="str">
        <f>VLOOKUP(B671,Bounties!A:E,2,FALSE)</f>
        <v>Moderation Team Bounty</v>
      </c>
    </row>
    <row r="672" hidden="1">
      <c r="A672" s="67">
        <f>HYPERLINK("https://polkadot.subsquare.io/treasury/child-bounties/731", 731)</f>
        <v>731</v>
      </c>
      <c r="B672" s="1">
        <v>17.0</v>
      </c>
      <c r="C672" s="1" t="s">
        <v>2414</v>
      </c>
      <c r="D672" s="1" t="s">
        <v>354</v>
      </c>
      <c r="E672" s="5">
        <v>39.6</v>
      </c>
      <c r="F672" s="4">
        <v>330.3677101135254</v>
      </c>
      <c r="G672" s="1" t="s">
        <v>2642</v>
      </c>
      <c r="H672" s="95">
        <v>45347.0</v>
      </c>
      <c r="I672" s="95">
        <v>45388.0</v>
      </c>
      <c r="J672" s="4">
        <v>358.1681053161621</v>
      </c>
      <c r="K672" s="1"/>
      <c r="L672" s="1" t="s">
        <v>86</v>
      </c>
      <c r="M672" s="1" t="str">
        <f>VLOOKUP(B672,Bounties!A:D,3,FALSE)</f>
        <v>Outreach</v>
      </c>
      <c r="N672" s="1" t="str">
        <f>VLOOKUP(B672,Bounties!A:D,4,FALSE)</f>
        <v>Events/Meetups</v>
      </c>
      <c r="O672" s="1" t="str">
        <f t="shared" ref="O672:P672" si="676">IF(ISBLANK(K672),M672,K672)</f>
        <v>Outreach</v>
      </c>
      <c r="P672" s="1" t="str">
        <f t="shared" si="676"/>
        <v>Events/Conference Attendance &amp; Side Events</v>
      </c>
      <c r="Q672" s="61" t="str">
        <f t="shared" si="3"/>
        <v>2024</v>
      </c>
      <c r="R672" s="62">
        <f t="shared" si="4"/>
        <v>4</v>
      </c>
      <c r="S672" s="61" t="str">
        <f t="shared" si="5"/>
        <v>2024-Q2</v>
      </c>
      <c r="T672" s="63" t="str">
        <f t="shared" si="6"/>
        <v>2024-04</v>
      </c>
      <c r="U672" s="64" t="str">
        <f t="shared" si="7"/>
        <v>2024-H1</v>
      </c>
      <c r="V672" s="9" t="str">
        <f>VLOOKUP(B672,Bounties!A:E,2,FALSE)</f>
        <v>Events Bounty</v>
      </c>
    </row>
    <row r="673" hidden="1">
      <c r="A673" s="67">
        <f>HYPERLINK("https://polkadot.subsquare.io/treasury/child-bounties/730", 730)</f>
        <v>730</v>
      </c>
      <c r="B673" s="1">
        <v>17.0</v>
      </c>
      <c r="C673" s="1" t="s">
        <v>2414</v>
      </c>
      <c r="D673" s="1" t="s">
        <v>353</v>
      </c>
      <c r="E673" s="5">
        <v>1145.9</v>
      </c>
      <c r="F673" s="4">
        <v>9559.807045936584</v>
      </c>
      <c r="G673" s="1" t="s">
        <v>2649</v>
      </c>
      <c r="H673" s="95">
        <v>45347.0</v>
      </c>
      <c r="I673" s="95">
        <v>45370.0</v>
      </c>
      <c r="J673" s="4">
        <v>10220.577877044678</v>
      </c>
      <c r="K673" s="1"/>
      <c r="L673" s="1" t="s">
        <v>86</v>
      </c>
      <c r="M673" s="1" t="str">
        <f>VLOOKUP(B673,Bounties!A:D,3,FALSE)</f>
        <v>Outreach</v>
      </c>
      <c r="N673" s="1" t="str">
        <f>VLOOKUP(B673,Bounties!A:D,4,FALSE)</f>
        <v>Events/Meetups</v>
      </c>
      <c r="O673" s="1" t="str">
        <f t="shared" ref="O673:P673" si="677">IF(ISBLANK(K673),M673,K673)</f>
        <v>Outreach</v>
      </c>
      <c r="P673" s="1" t="str">
        <f t="shared" si="677"/>
        <v>Events/Conference Attendance &amp; Side Events</v>
      </c>
      <c r="Q673" s="61" t="str">
        <f t="shared" si="3"/>
        <v>2024</v>
      </c>
      <c r="R673" s="62">
        <f t="shared" si="4"/>
        <v>3</v>
      </c>
      <c r="S673" s="61" t="str">
        <f t="shared" si="5"/>
        <v>2024-Q1</v>
      </c>
      <c r="T673" s="63" t="str">
        <f t="shared" si="6"/>
        <v>2024-03</v>
      </c>
      <c r="U673" s="64" t="str">
        <f t="shared" si="7"/>
        <v>2024-H1</v>
      </c>
      <c r="V673" s="9" t="str">
        <f>VLOOKUP(B673,Bounties!A:E,2,FALSE)</f>
        <v>Events Bounty</v>
      </c>
    </row>
    <row r="674" hidden="1">
      <c r="A674" s="67">
        <f>HYPERLINK("https://polkadot.subsquare.io/treasury/child-bounties/729", 729)</f>
        <v>729</v>
      </c>
      <c r="B674" s="1">
        <v>17.0</v>
      </c>
      <c r="C674" s="1" t="s">
        <v>2414</v>
      </c>
      <c r="D674" s="1" t="s">
        <v>352</v>
      </c>
      <c r="E674" s="5">
        <v>7384.4</v>
      </c>
      <c r="F674" s="4">
        <v>61605.235317230225</v>
      </c>
      <c r="G674" s="1" t="s">
        <v>2650</v>
      </c>
      <c r="H674" s="95">
        <v>45347.0</v>
      </c>
      <c r="I674" s="95">
        <v>45372.0</v>
      </c>
      <c r="J674" s="4">
        <v>69186.7285205841</v>
      </c>
      <c r="K674" s="1"/>
      <c r="L674" s="1" t="s">
        <v>86</v>
      </c>
      <c r="M674" s="1" t="str">
        <f>VLOOKUP(B674,Bounties!A:D,3,FALSE)</f>
        <v>Outreach</v>
      </c>
      <c r="N674" s="1" t="str">
        <f>VLOOKUP(B674,Bounties!A:D,4,FALSE)</f>
        <v>Events/Meetups</v>
      </c>
      <c r="O674" s="1" t="str">
        <f t="shared" ref="O674:P674" si="678">IF(ISBLANK(K674),M674,K674)</f>
        <v>Outreach</v>
      </c>
      <c r="P674" s="1" t="str">
        <f t="shared" si="678"/>
        <v>Events/Conference Attendance &amp; Side Events</v>
      </c>
      <c r="Q674" s="61" t="str">
        <f t="shared" si="3"/>
        <v>2024</v>
      </c>
      <c r="R674" s="62">
        <f t="shared" si="4"/>
        <v>3</v>
      </c>
      <c r="S674" s="61" t="str">
        <f t="shared" si="5"/>
        <v>2024-Q1</v>
      </c>
      <c r="T674" s="63" t="str">
        <f t="shared" si="6"/>
        <v>2024-03</v>
      </c>
      <c r="U674" s="64" t="str">
        <f t="shared" si="7"/>
        <v>2024-H1</v>
      </c>
      <c r="V674" s="9" t="str">
        <f>VLOOKUP(B674,Bounties!A:E,2,FALSE)</f>
        <v>Events Bounty</v>
      </c>
    </row>
    <row r="675" hidden="1">
      <c r="A675" s="67">
        <f>HYPERLINK("https://polkadot.subsquare.io/treasury/child-bounties/728", 728)</f>
        <v>728</v>
      </c>
      <c r="B675" s="1">
        <v>17.0</v>
      </c>
      <c r="C675" s="1" t="s">
        <v>2508</v>
      </c>
      <c r="D675" s="1" t="s">
        <v>2651</v>
      </c>
      <c r="E675" s="5">
        <v>1188.9</v>
      </c>
      <c r="F675" s="4">
        <v>9918.539660453796</v>
      </c>
      <c r="G675" s="1"/>
      <c r="H675" s="95">
        <v>45347.0</v>
      </c>
      <c r="I675" s="95">
        <v>45362.0</v>
      </c>
      <c r="J675" s="4">
        <v>13723.356179237368</v>
      </c>
      <c r="K675" s="1"/>
      <c r="L675" s="1"/>
      <c r="M675" s="1" t="str">
        <f>VLOOKUP(B675,Bounties!A:D,3,FALSE)</f>
        <v>Outreach</v>
      </c>
      <c r="N675" s="1" t="str">
        <f>VLOOKUP(B675,Bounties!A:D,4,FALSE)</f>
        <v>Events/Meetups</v>
      </c>
      <c r="O675" s="1" t="str">
        <f t="shared" ref="O675:P675" si="679">IF(ISBLANK(K675),M675,K675)</f>
        <v>Outreach</v>
      </c>
      <c r="P675" s="1" t="str">
        <f t="shared" si="679"/>
        <v>Events/Meetups</v>
      </c>
      <c r="Q675" s="61" t="str">
        <f t="shared" si="3"/>
        <v>2024</v>
      </c>
      <c r="R675" s="62">
        <f t="shared" si="4"/>
        <v>3</v>
      </c>
      <c r="S675" s="61" t="str">
        <f t="shared" si="5"/>
        <v>2024-Q1</v>
      </c>
      <c r="T675" s="63" t="str">
        <f t="shared" si="6"/>
        <v>2024-03</v>
      </c>
      <c r="U675" s="64" t="str">
        <f t="shared" si="7"/>
        <v>2024-H1</v>
      </c>
      <c r="V675" s="9" t="str">
        <f>VLOOKUP(B675,Bounties!A:E,2,FALSE)</f>
        <v>Events Bounty</v>
      </c>
    </row>
    <row r="676" hidden="1">
      <c r="A676" s="67">
        <f>HYPERLINK("https://polkadot.subsquare.io/treasury/child-bounties/727", 727)</f>
        <v>727</v>
      </c>
      <c r="B676" s="1">
        <v>22.0</v>
      </c>
      <c r="C676" s="1" t="s">
        <v>2414</v>
      </c>
      <c r="D676" s="1" t="s">
        <v>351</v>
      </c>
      <c r="E676" s="5">
        <v>18360.0</v>
      </c>
      <c r="F676" s="4">
        <v>143380.55047988892</v>
      </c>
      <c r="G676" s="1" t="s">
        <v>2652</v>
      </c>
      <c r="H676" s="95">
        <v>45343.0</v>
      </c>
      <c r="I676" s="95">
        <v>45369.0</v>
      </c>
      <c r="J676" s="4">
        <v>174270.53924560547</v>
      </c>
      <c r="K676" s="1"/>
      <c r="L676" s="1"/>
      <c r="M676" s="1" t="str">
        <f>VLOOKUP(B676,Bounties!A:D,3,FALSE)</f>
        <v>Development</v>
      </c>
      <c r="N676" s="1" t="str">
        <f>VLOOKUP(B676,Bounties!A:D,4,FALSE)</f>
        <v>Ecosystem Services</v>
      </c>
      <c r="O676" s="1" t="str">
        <f t="shared" ref="O676:P676" si="680">IF(ISBLANK(K676),M676,K676)</f>
        <v>Development</v>
      </c>
      <c r="P676" s="1" t="str">
        <f t="shared" si="680"/>
        <v>Ecosystem Services</v>
      </c>
      <c r="Q676" s="61" t="str">
        <f t="shared" si="3"/>
        <v>2024</v>
      </c>
      <c r="R676" s="62">
        <f t="shared" si="4"/>
        <v>3</v>
      </c>
      <c r="S676" s="61" t="str">
        <f t="shared" si="5"/>
        <v>2024-Q1</v>
      </c>
      <c r="T676" s="63" t="str">
        <f t="shared" si="6"/>
        <v>2024-03</v>
      </c>
      <c r="U676" s="64" t="str">
        <f t="shared" si="7"/>
        <v>2024-H1</v>
      </c>
      <c r="V676" s="9" t="str">
        <f>VLOOKUP(B676,Bounties!A:E,2,FALSE)</f>
        <v>Polkadot Assurance Legion Bounty</v>
      </c>
    </row>
    <row r="677" hidden="1">
      <c r="A677" s="67">
        <f>HYPERLINK("https://polkadot.subsquare.io/treasury/child-bounties/726", 726)</f>
        <v>726</v>
      </c>
      <c r="B677" s="1">
        <v>33.0</v>
      </c>
      <c r="C677" s="1" t="s">
        <v>2414</v>
      </c>
      <c r="D677" s="1" t="s">
        <v>350</v>
      </c>
      <c r="E677" s="5">
        <v>23297.22</v>
      </c>
      <c r="F677" s="4">
        <v>174330.55979118348</v>
      </c>
      <c r="G677" s="1" t="s">
        <v>2641</v>
      </c>
      <c r="H677" s="95">
        <v>45341.0</v>
      </c>
      <c r="I677" s="95">
        <v>45349.0</v>
      </c>
      <c r="J677" s="4">
        <v>202085.4358316231</v>
      </c>
      <c r="K677" s="1" t="s">
        <v>81</v>
      </c>
      <c r="L677" s="1" t="s">
        <v>92</v>
      </c>
      <c r="M677" s="1" t="str">
        <f>VLOOKUP(B677,Bounties!A:D,3,FALSE)</f>
        <v>Outreach</v>
      </c>
      <c r="N677" s="1" t="str">
        <f>VLOOKUP(B677,Bounties!A:D,4,FALSE)</f>
        <v>Advertising</v>
      </c>
      <c r="O677" s="1" t="str">
        <f t="shared" ref="O677:P677" si="681">IF(ISBLANK(K677),M677,K677)</f>
        <v>Outreach</v>
      </c>
      <c r="P677" s="1" t="str">
        <f t="shared" si="681"/>
        <v>Advertising/Physical Ads</v>
      </c>
      <c r="Q677" s="61" t="str">
        <f t="shared" si="3"/>
        <v>2024</v>
      </c>
      <c r="R677" s="62">
        <f t="shared" si="4"/>
        <v>2</v>
      </c>
      <c r="S677" s="61" t="str">
        <f t="shared" si="5"/>
        <v>2024-Q1</v>
      </c>
      <c r="T677" s="63" t="str">
        <f t="shared" si="6"/>
        <v>2024-02</v>
      </c>
      <c r="U677" s="64" t="str">
        <f t="shared" si="7"/>
        <v>2024-H1</v>
      </c>
      <c r="V677" s="9" t="str">
        <f>VLOOKUP(B677,Bounties!A:E,2,FALSE)</f>
        <v>Marketing Bounty</v>
      </c>
    </row>
    <row r="678" hidden="1">
      <c r="A678" s="67">
        <f>HYPERLINK("https://polkadot.subsquare.io/treasury/child-bounties/725", 725)</f>
        <v>725</v>
      </c>
      <c r="B678" s="1">
        <v>19.0</v>
      </c>
      <c r="C678" s="1" t="s">
        <v>2414</v>
      </c>
      <c r="D678" s="1" t="s">
        <v>349</v>
      </c>
      <c r="E678" s="5">
        <v>6678.0</v>
      </c>
      <c r="F678" s="4">
        <v>51642.34830093384</v>
      </c>
      <c r="G678" s="1" t="s">
        <v>2653</v>
      </c>
      <c r="H678" s="95">
        <v>45340.0</v>
      </c>
      <c r="I678" s="95">
        <v>45348.0</v>
      </c>
      <c r="J678" s="4">
        <v>55127.05634880066</v>
      </c>
      <c r="K678" s="1"/>
      <c r="L678" s="1"/>
      <c r="M678" s="1" t="str">
        <f>VLOOKUP(B678,Bounties!A:D,3,FALSE)</f>
        <v>Development</v>
      </c>
      <c r="N678" s="1" t="str">
        <f>VLOOKUP(B678,Bounties!A:D,4,FALSE)</f>
        <v>Smart Contracts</v>
      </c>
      <c r="O678" s="1" t="str">
        <f t="shared" ref="O678:P678" si="682">IF(ISBLANK(K678),M678,K678)</f>
        <v>Development</v>
      </c>
      <c r="P678" s="1" t="str">
        <f t="shared" si="682"/>
        <v>Smart Contracts</v>
      </c>
      <c r="Q678" s="61" t="str">
        <f t="shared" si="3"/>
        <v>2024</v>
      </c>
      <c r="R678" s="62">
        <f t="shared" si="4"/>
        <v>2</v>
      </c>
      <c r="S678" s="61" t="str">
        <f t="shared" si="5"/>
        <v>2024-Q1</v>
      </c>
      <c r="T678" s="63" t="str">
        <f t="shared" si="6"/>
        <v>2024-02</v>
      </c>
      <c r="U678" s="64" t="str">
        <f t="shared" si="7"/>
        <v>2024-H1</v>
      </c>
      <c r="V678" s="9" t="str">
        <f>VLOOKUP(B678,Bounties!A:E,2,FALSE)</f>
        <v>Wasm Smart Contracts Bounty</v>
      </c>
    </row>
    <row r="679" hidden="1">
      <c r="A679" s="67">
        <f>HYPERLINK("https://polkadot.subsquare.io/treasury/child-bounties/724", 724)</f>
        <v>724</v>
      </c>
      <c r="B679" s="1">
        <v>17.0</v>
      </c>
      <c r="C679" s="1" t="s">
        <v>2414</v>
      </c>
      <c r="D679" s="1" t="s">
        <v>348</v>
      </c>
      <c r="E679" s="5">
        <v>371.0</v>
      </c>
      <c r="F679" s="4">
        <v>2869.01935005188</v>
      </c>
      <c r="G679" s="1" t="s">
        <v>2654</v>
      </c>
      <c r="H679" s="95">
        <v>45339.0</v>
      </c>
      <c r="I679" s="95">
        <v>45350.0</v>
      </c>
      <c r="J679" s="4">
        <v>3500.7934560775757</v>
      </c>
      <c r="K679" s="1"/>
      <c r="L679" s="1" t="s">
        <v>86</v>
      </c>
      <c r="M679" s="1" t="str">
        <f>VLOOKUP(B679,Bounties!A:D,3,FALSE)</f>
        <v>Outreach</v>
      </c>
      <c r="N679" s="1" t="str">
        <f>VLOOKUP(B679,Bounties!A:D,4,FALSE)</f>
        <v>Events/Meetups</v>
      </c>
      <c r="O679" s="1" t="str">
        <f t="shared" ref="O679:P679" si="683">IF(ISBLANK(K679),M679,K679)</f>
        <v>Outreach</v>
      </c>
      <c r="P679" s="1" t="str">
        <f t="shared" si="683"/>
        <v>Events/Conference Attendance &amp; Side Events</v>
      </c>
      <c r="Q679" s="61" t="str">
        <f t="shared" si="3"/>
        <v>2024</v>
      </c>
      <c r="R679" s="62">
        <f t="shared" si="4"/>
        <v>2</v>
      </c>
      <c r="S679" s="61" t="str">
        <f t="shared" si="5"/>
        <v>2024-Q1</v>
      </c>
      <c r="T679" s="63" t="str">
        <f t="shared" si="6"/>
        <v>2024-02</v>
      </c>
      <c r="U679" s="64" t="str">
        <f t="shared" si="7"/>
        <v>2024-H1</v>
      </c>
      <c r="V679" s="9" t="str">
        <f>VLOOKUP(B679,Bounties!A:E,2,FALSE)</f>
        <v>Events Bounty</v>
      </c>
    </row>
    <row r="680" hidden="1">
      <c r="A680" s="67">
        <f>HYPERLINK("https://polkadot.subsquare.io/treasury/child-bounties/723", 723)</f>
        <v>723</v>
      </c>
      <c r="B680" s="1">
        <v>17.0</v>
      </c>
      <c r="C680" s="1" t="s">
        <v>2414</v>
      </c>
      <c r="D680" s="1" t="s">
        <v>347</v>
      </c>
      <c r="E680" s="5">
        <v>950.0</v>
      </c>
      <c r="F680" s="4">
        <v>7346.545505523682</v>
      </c>
      <c r="G680" s="1" t="s">
        <v>2655</v>
      </c>
      <c r="H680" s="95">
        <v>45339.0</v>
      </c>
      <c r="I680" s="95">
        <v>45351.0</v>
      </c>
      <c r="J680" s="4">
        <v>9307.567596435547</v>
      </c>
      <c r="K680" s="1"/>
      <c r="L680" s="1"/>
      <c r="M680" s="1" t="str">
        <f>VLOOKUP(B680,Bounties!A:D,3,FALSE)</f>
        <v>Outreach</v>
      </c>
      <c r="N680" s="1" t="str">
        <f>VLOOKUP(B680,Bounties!A:D,4,FALSE)</f>
        <v>Events/Meetups</v>
      </c>
      <c r="O680" s="1" t="str">
        <f t="shared" ref="O680:P680" si="684">IF(ISBLANK(K680),M680,K680)</f>
        <v>Outreach</v>
      </c>
      <c r="P680" s="1" t="str">
        <f t="shared" si="684"/>
        <v>Events/Meetups</v>
      </c>
      <c r="Q680" s="61" t="str">
        <f t="shared" si="3"/>
        <v>2024</v>
      </c>
      <c r="R680" s="62">
        <f t="shared" si="4"/>
        <v>2</v>
      </c>
      <c r="S680" s="61" t="str">
        <f t="shared" si="5"/>
        <v>2024-Q1</v>
      </c>
      <c r="T680" s="63" t="str">
        <f t="shared" si="6"/>
        <v>2024-02</v>
      </c>
      <c r="U680" s="64" t="str">
        <f t="shared" si="7"/>
        <v>2024-H1</v>
      </c>
      <c r="V680" s="9" t="str">
        <f>VLOOKUP(B680,Bounties!A:E,2,FALSE)</f>
        <v>Events Bounty</v>
      </c>
    </row>
    <row r="681" hidden="1">
      <c r="A681" s="67">
        <f>HYPERLINK("https://polkadot.subsquare.io/treasury/child-bounties/722", 722)</f>
        <v>722</v>
      </c>
      <c r="B681" s="1">
        <v>17.0</v>
      </c>
      <c r="C681" s="1" t="s">
        <v>2414</v>
      </c>
      <c r="D681" s="1" t="s">
        <v>346</v>
      </c>
      <c r="E681" s="5">
        <v>796.6</v>
      </c>
      <c r="F681" s="4">
        <v>6160.27173652649</v>
      </c>
      <c r="G681" s="1" t="s">
        <v>2501</v>
      </c>
      <c r="H681" s="95">
        <v>45339.0</v>
      </c>
      <c r="I681" s="95">
        <v>45352.0</v>
      </c>
      <c r="J681" s="4">
        <v>7895.238786315918</v>
      </c>
      <c r="K681" s="1"/>
      <c r="L681" s="1"/>
      <c r="M681" s="1" t="str">
        <f>VLOOKUP(B681,Bounties!A:D,3,FALSE)</f>
        <v>Outreach</v>
      </c>
      <c r="N681" s="1" t="str">
        <f>VLOOKUP(B681,Bounties!A:D,4,FALSE)</f>
        <v>Events/Meetups</v>
      </c>
      <c r="O681" s="1" t="str">
        <f t="shared" ref="O681:P681" si="685">IF(ISBLANK(K681),M681,K681)</f>
        <v>Outreach</v>
      </c>
      <c r="P681" s="1" t="str">
        <f t="shared" si="685"/>
        <v>Events/Meetups</v>
      </c>
      <c r="Q681" s="61" t="str">
        <f t="shared" si="3"/>
        <v>2024</v>
      </c>
      <c r="R681" s="62">
        <f t="shared" si="4"/>
        <v>3</v>
      </c>
      <c r="S681" s="61" t="str">
        <f t="shared" si="5"/>
        <v>2024-Q1</v>
      </c>
      <c r="T681" s="63" t="str">
        <f t="shared" si="6"/>
        <v>2024-03</v>
      </c>
      <c r="U681" s="64" t="str">
        <f t="shared" si="7"/>
        <v>2024-H1</v>
      </c>
      <c r="V681" s="9" t="str">
        <f>VLOOKUP(B681,Bounties!A:E,2,FALSE)</f>
        <v>Events Bounty</v>
      </c>
    </row>
    <row r="682" hidden="1">
      <c r="A682" s="67">
        <f>HYPERLINK("https://polkadot.subsquare.io/treasury/child-bounties/721", 721)</f>
        <v>721</v>
      </c>
      <c r="B682" s="1">
        <v>17.0</v>
      </c>
      <c r="C682" s="1" t="s">
        <v>2460</v>
      </c>
      <c r="D682" s="1" t="s">
        <v>2656</v>
      </c>
      <c r="E682" s="5">
        <v>796.6</v>
      </c>
      <c r="F682" s="4">
        <v>6160.27173652649</v>
      </c>
      <c r="G682" s="1" t="s">
        <v>2503</v>
      </c>
      <c r="H682" s="95">
        <v>45339.0</v>
      </c>
      <c r="I682" s="95">
        <v>45342.0</v>
      </c>
      <c r="J682" s="4">
        <v>6025.017188930512</v>
      </c>
      <c r="K682" s="1"/>
      <c r="L682" s="1"/>
      <c r="M682" s="1" t="str">
        <f>VLOOKUP(B682,Bounties!A:D,3,FALSE)</f>
        <v>Outreach</v>
      </c>
      <c r="N682" s="1" t="str">
        <f>VLOOKUP(B682,Bounties!A:D,4,FALSE)</f>
        <v>Events/Meetups</v>
      </c>
      <c r="O682" s="1" t="str">
        <f t="shared" ref="O682:P682" si="686">IF(ISBLANK(K682),M682,K682)</f>
        <v>Outreach</v>
      </c>
      <c r="P682" s="1" t="str">
        <f t="shared" si="686"/>
        <v>Events/Meetups</v>
      </c>
      <c r="Q682" s="61" t="str">
        <f t="shared" si="3"/>
        <v>2024</v>
      </c>
      <c r="R682" s="62">
        <f t="shared" si="4"/>
        <v>2</v>
      </c>
      <c r="S682" s="61" t="str">
        <f t="shared" si="5"/>
        <v>2024-Q1</v>
      </c>
      <c r="T682" s="63" t="str">
        <f t="shared" si="6"/>
        <v>2024-02</v>
      </c>
      <c r="U682" s="64" t="str">
        <f t="shared" si="7"/>
        <v>2024-H1</v>
      </c>
      <c r="V682" s="9" t="str">
        <f>VLOOKUP(B682,Bounties!A:E,2,FALSE)</f>
        <v>Events Bounty</v>
      </c>
    </row>
    <row r="683" hidden="1">
      <c r="A683" s="67">
        <f>HYPERLINK("https://polkadot.subsquare.io/treasury/child-bounties/720", 720)</f>
        <v>720</v>
      </c>
      <c r="B683" s="1">
        <v>17.0</v>
      </c>
      <c r="C683" s="1" t="s">
        <v>2414</v>
      </c>
      <c r="D683" s="1" t="s">
        <v>345</v>
      </c>
      <c r="E683" s="5">
        <v>768.5</v>
      </c>
      <c r="F683" s="4">
        <v>5942.968653678894</v>
      </c>
      <c r="G683" s="1" t="s">
        <v>2505</v>
      </c>
      <c r="H683" s="95">
        <v>45339.0</v>
      </c>
      <c r="I683" s="95">
        <v>45357.0</v>
      </c>
      <c r="J683" s="4">
        <v>8196.15361070633</v>
      </c>
      <c r="K683" s="1"/>
      <c r="L683" s="1"/>
      <c r="M683" s="1" t="str">
        <f>VLOOKUP(B683,Bounties!A:D,3,FALSE)</f>
        <v>Outreach</v>
      </c>
      <c r="N683" s="1" t="str">
        <f>VLOOKUP(B683,Bounties!A:D,4,FALSE)</f>
        <v>Events/Meetups</v>
      </c>
      <c r="O683" s="1" t="str">
        <f t="shared" ref="O683:P683" si="687">IF(ISBLANK(K683),M683,K683)</f>
        <v>Outreach</v>
      </c>
      <c r="P683" s="1" t="str">
        <f t="shared" si="687"/>
        <v>Events/Meetups</v>
      </c>
      <c r="Q683" s="61" t="str">
        <f t="shared" si="3"/>
        <v>2024</v>
      </c>
      <c r="R683" s="62">
        <f t="shared" si="4"/>
        <v>3</v>
      </c>
      <c r="S683" s="61" t="str">
        <f t="shared" si="5"/>
        <v>2024-Q1</v>
      </c>
      <c r="T683" s="63" t="str">
        <f t="shared" si="6"/>
        <v>2024-03</v>
      </c>
      <c r="U683" s="64" t="str">
        <f t="shared" si="7"/>
        <v>2024-H1</v>
      </c>
      <c r="V683" s="9" t="str">
        <f>VLOOKUP(B683,Bounties!A:E,2,FALSE)</f>
        <v>Events Bounty</v>
      </c>
    </row>
    <row r="684" hidden="1">
      <c r="A684" s="67">
        <f>HYPERLINK("https://polkadot.subsquare.io/treasury/child-bounties/719", 719)</f>
        <v>719</v>
      </c>
      <c r="B684" s="1">
        <v>17.0</v>
      </c>
      <c r="C684" s="1" t="s">
        <v>2414</v>
      </c>
      <c r="D684" s="1" t="s">
        <v>344</v>
      </c>
      <c r="E684" s="5">
        <v>768.5</v>
      </c>
      <c r="F684" s="4">
        <v>5942.968653678894</v>
      </c>
      <c r="G684" s="1" t="s">
        <v>2507</v>
      </c>
      <c r="H684" s="95">
        <v>45339.0</v>
      </c>
      <c r="I684" s="95">
        <v>45374.0</v>
      </c>
      <c r="J684" s="4">
        <v>7483.360508918762</v>
      </c>
      <c r="K684" s="1"/>
      <c r="L684" s="1"/>
      <c r="M684" s="1" t="str">
        <f>VLOOKUP(B684,Bounties!A:D,3,FALSE)</f>
        <v>Outreach</v>
      </c>
      <c r="N684" s="1" t="str">
        <f>VLOOKUP(B684,Bounties!A:D,4,FALSE)</f>
        <v>Events/Meetups</v>
      </c>
      <c r="O684" s="1" t="str">
        <f t="shared" ref="O684:P684" si="688">IF(ISBLANK(K684),M684,K684)</f>
        <v>Outreach</v>
      </c>
      <c r="P684" s="1" t="str">
        <f t="shared" si="688"/>
        <v>Events/Meetups</v>
      </c>
      <c r="Q684" s="61" t="str">
        <f t="shared" si="3"/>
        <v>2024</v>
      </c>
      <c r="R684" s="62">
        <f t="shared" si="4"/>
        <v>3</v>
      </c>
      <c r="S684" s="61" t="str">
        <f t="shared" si="5"/>
        <v>2024-Q1</v>
      </c>
      <c r="T684" s="63" t="str">
        <f t="shared" si="6"/>
        <v>2024-03</v>
      </c>
      <c r="U684" s="64" t="str">
        <f t="shared" si="7"/>
        <v>2024-H1</v>
      </c>
      <c r="V684" s="9" t="str">
        <f>VLOOKUP(B684,Bounties!A:E,2,FALSE)</f>
        <v>Events Bounty</v>
      </c>
    </row>
    <row r="685" hidden="1">
      <c r="A685" s="67">
        <f>HYPERLINK("https://polkadot.subsquare.io/treasury/child-bounties/718", 718)</f>
        <v>718</v>
      </c>
      <c r="B685" s="1">
        <v>17.0</v>
      </c>
      <c r="C685" s="1" t="s">
        <v>2414</v>
      </c>
      <c r="D685" s="1" t="s">
        <v>343</v>
      </c>
      <c r="E685" s="5">
        <v>768.5</v>
      </c>
      <c r="F685" s="4">
        <v>5942.968653678894</v>
      </c>
      <c r="G685" s="1" t="s">
        <v>2506</v>
      </c>
      <c r="H685" s="95">
        <v>45339.0</v>
      </c>
      <c r="I685" s="95">
        <v>45351.0</v>
      </c>
      <c r="J685" s="4">
        <v>7251.643587589264</v>
      </c>
      <c r="K685" s="1"/>
      <c r="L685" s="1"/>
      <c r="M685" s="1" t="str">
        <f>VLOOKUP(B685,Bounties!A:D,3,FALSE)</f>
        <v>Outreach</v>
      </c>
      <c r="N685" s="1" t="str">
        <f>VLOOKUP(B685,Bounties!A:D,4,FALSE)</f>
        <v>Events/Meetups</v>
      </c>
      <c r="O685" s="1" t="str">
        <f t="shared" ref="O685:P685" si="689">IF(ISBLANK(K685),M685,K685)</f>
        <v>Outreach</v>
      </c>
      <c r="P685" s="1" t="str">
        <f t="shared" si="689"/>
        <v>Events/Meetups</v>
      </c>
      <c r="Q685" s="61" t="str">
        <f t="shared" si="3"/>
        <v>2024</v>
      </c>
      <c r="R685" s="62">
        <f t="shared" si="4"/>
        <v>2</v>
      </c>
      <c r="S685" s="61" t="str">
        <f t="shared" si="5"/>
        <v>2024-Q1</v>
      </c>
      <c r="T685" s="63" t="str">
        <f t="shared" si="6"/>
        <v>2024-02</v>
      </c>
      <c r="U685" s="64" t="str">
        <f t="shared" si="7"/>
        <v>2024-H1</v>
      </c>
      <c r="V685" s="9" t="str">
        <f>VLOOKUP(B685,Bounties!A:E,2,FALSE)</f>
        <v>Events Bounty</v>
      </c>
    </row>
    <row r="686" hidden="1">
      <c r="A686" s="67">
        <f>HYPERLINK("https://polkadot.subsquare.io/treasury/child-bounties/717", 717)</f>
        <v>717</v>
      </c>
      <c r="B686" s="1">
        <v>17.0</v>
      </c>
      <c r="C686" s="1" t="s">
        <v>2414</v>
      </c>
      <c r="D686" s="1" t="s">
        <v>342</v>
      </c>
      <c r="E686" s="5">
        <v>233.8</v>
      </c>
      <c r="F686" s="4">
        <v>1808.0235149383545</v>
      </c>
      <c r="G686" s="1" t="s">
        <v>2657</v>
      </c>
      <c r="H686" s="95">
        <v>45339.0</v>
      </c>
      <c r="I686" s="95">
        <v>45350.0</v>
      </c>
      <c r="J686" s="4">
        <v>2206.1604043960574</v>
      </c>
      <c r="K686" s="1"/>
      <c r="L686" s="1" t="s">
        <v>86</v>
      </c>
      <c r="M686" s="1" t="str">
        <f>VLOOKUP(B686,Bounties!A:D,3,FALSE)</f>
        <v>Outreach</v>
      </c>
      <c r="N686" s="1" t="str">
        <f>VLOOKUP(B686,Bounties!A:D,4,FALSE)</f>
        <v>Events/Meetups</v>
      </c>
      <c r="O686" s="1" t="str">
        <f t="shared" ref="O686:P686" si="690">IF(ISBLANK(K686),M686,K686)</f>
        <v>Outreach</v>
      </c>
      <c r="P686" s="1" t="str">
        <f t="shared" si="690"/>
        <v>Events/Conference Attendance &amp; Side Events</v>
      </c>
      <c r="Q686" s="61" t="str">
        <f t="shared" si="3"/>
        <v>2024</v>
      </c>
      <c r="R686" s="62">
        <f t="shared" si="4"/>
        <v>2</v>
      </c>
      <c r="S686" s="61" t="str">
        <f t="shared" si="5"/>
        <v>2024-Q1</v>
      </c>
      <c r="T686" s="63" t="str">
        <f t="shared" si="6"/>
        <v>2024-02</v>
      </c>
      <c r="U686" s="64" t="str">
        <f t="shared" si="7"/>
        <v>2024-H1</v>
      </c>
      <c r="V686" s="9" t="str">
        <f>VLOOKUP(B686,Bounties!A:E,2,FALSE)</f>
        <v>Events Bounty</v>
      </c>
    </row>
    <row r="687" hidden="1">
      <c r="A687" s="67">
        <f>HYPERLINK("https://polkadot.subsquare.io/treasury/child-bounties/716", 716)</f>
        <v>716</v>
      </c>
      <c r="B687" s="1">
        <v>17.0</v>
      </c>
      <c r="C687" s="1" t="s">
        <v>2414</v>
      </c>
      <c r="D687" s="1" t="s">
        <v>341</v>
      </c>
      <c r="E687" s="5">
        <v>193.5</v>
      </c>
      <c r="F687" s="4">
        <v>1496.3753213882446</v>
      </c>
      <c r="G687" s="1" t="s">
        <v>2658</v>
      </c>
      <c r="H687" s="95">
        <v>45339.0</v>
      </c>
      <c r="I687" s="95">
        <v>45363.0</v>
      </c>
      <c r="J687" s="4">
        <v>2233.5515356063843</v>
      </c>
      <c r="K687" s="1"/>
      <c r="L687" s="1"/>
      <c r="M687" s="1" t="str">
        <f>VLOOKUP(B687,Bounties!A:D,3,FALSE)</f>
        <v>Outreach</v>
      </c>
      <c r="N687" s="1" t="str">
        <f>VLOOKUP(B687,Bounties!A:D,4,FALSE)</f>
        <v>Events/Meetups</v>
      </c>
      <c r="O687" s="1" t="str">
        <f t="shared" ref="O687:P687" si="691">IF(ISBLANK(K687),M687,K687)</f>
        <v>Outreach</v>
      </c>
      <c r="P687" s="1" t="str">
        <f t="shared" si="691"/>
        <v>Events/Meetups</v>
      </c>
      <c r="Q687" s="61" t="str">
        <f t="shared" si="3"/>
        <v>2024</v>
      </c>
      <c r="R687" s="62">
        <f t="shared" si="4"/>
        <v>3</v>
      </c>
      <c r="S687" s="61" t="str">
        <f t="shared" si="5"/>
        <v>2024-Q1</v>
      </c>
      <c r="T687" s="63" t="str">
        <f t="shared" si="6"/>
        <v>2024-03</v>
      </c>
      <c r="U687" s="64" t="str">
        <f t="shared" si="7"/>
        <v>2024-H1</v>
      </c>
      <c r="V687" s="9" t="str">
        <f>VLOOKUP(B687,Bounties!A:E,2,FALSE)</f>
        <v>Events Bounty</v>
      </c>
    </row>
    <row r="688" hidden="1">
      <c r="A688" s="67">
        <f>HYPERLINK("https://polkadot.subsquare.io/treasury/child-bounties/715", 715)</f>
        <v>715</v>
      </c>
      <c r="B688" s="1">
        <v>17.0</v>
      </c>
      <c r="C688" s="1" t="s">
        <v>2414</v>
      </c>
      <c r="D688" s="1" t="s">
        <v>340</v>
      </c>
      <c r="E688" s="5">
        <v>91.5</v>
      </c>
      <c r="F688" s="4">
        <v>707.5883302688599</v>
      </c>
      <c r="G688" s="1" t="s">
        <v>2659</v>
      </c>
      <c r="H688" s="95">
        <v>45339.0</v>
      </c>
      <c r="I688" s="95">
        <v>45363.0</v>
      </c>
      <c r="J688" s="4">
        <v>1056.1755323410034</v>
      </c>
      <c r="K688" s="1"/>
      <c r="L688" s="1"/>
      <c r="M688" s="1" t="str">
        <f>VLOOKUP(B688,Bounties!A:D,3,FALSE)</f>
        <v>Outreach</v>
      </c>
      <c r="N688" s="1" t="str">
        <f>VLOOKUP(B688,Bounties!A:D,4,FALSE)</f>
        <v>Events/Meetups</v>
      </c>
      <c r="O688" s="1" t="str">
        <f t="shared" ref="O688:P688" si="692">IF(ISBLANK(K688),M688,K688)</f>
        <v>Outreach</v>
      </c>
      <c r="P688" s="1" t="str">
        <f t="shared" si="692"/>
        <v>Events/Meetups</v>
      </c>
      <c r="Q688" s="61" t="str">
        <f t="shared" si="3"/>
        <v>2024</v>
      </c>
      <c r="R688" s="62">
        <f t="shared" si="4"/>
        <v>3</v>
      </c>
      <c r="S688" s="61" t="str">
        <f t="shared" si="5"/>
        <v>2024-Q1</v>
      </c>
      <c r="T688" s="63" t="str">
        <f t="shared" si="6"/>
        <v>2024-03</v>
      </c>
      <c r="U688" s="64" t="str">
        <f t="shared" si="7"/>
        <v>2024-H1</v>
      </c>
      <c r="V688" s="9" t="str">
        <f>VLOOKUP(B688,Bounties!A:E,2,FALSE)</f>
        <v>Events Bounty</v>
      </c>
    </row>
    <row r="689" hidden="1">
      <c r="A689" s="67">
        <f>HYPERLINK("https://polkadot.subsquare.io/treasury/child-bounties/714", 714)</f>
        <v>714</v>
      </c>
      <c r="B689" s="1">
        <v>17.0</v>
      </c>
      <c r="C689" s="1" t="s">
        <v>2414</v>
      </c>
      <c r="D689" s="1" t="s">
        <v>339</v>
      </c>
      <c r="E689" s="5">
        <v>132.8</v>
      </c>
      <c r="F689" s="4">
        <v>1026.9697296142579</v>
      </c>
      <c r="G689" s="1" t="s">
        <v>2566</v>
      </c>
      <c r="H689" s="95">
        <v>45339.0</v>
      </c>
      <c r="I689" s="95">
        <v>45351.0</v>
      </c>
      <c r="J689" s="4">
        <v>1253.1142074584961</v>
      </c>
      <c r="K689" s="1"/>
      <c r="L689" s="1" t="s">
        <v>86</v>
      </c>
      <c r="M689" s="1" t="str">
        <f>VLOOKUP(B689,Bounties!A:D,3,FALSE)</f>
        <v>Outreach</v>
      </c>
      <c r="N689" s="1" t="str">
        <f>VLOOKUP(B689,Bounties!A:D,4,FALSE)</f>
        <v>Events/Meetups</v>
      </c>
      <c r="O689" s="1" t="str">
        <f t="shared" ref="O689:P689" si="693">IF(ISBLANK(K689),M689,K689)</f>
        <v>Outreach</v>
      </c>
      <c r="P689" s="1" t="str">
        <f t="shared" si="693"/>
        <v>Events/Conference Attendance &amp; Side Events</v>
      </c>
      <c r="Q689" s="61" t="str">
        <f t="shared" si="3"/>
        <v>2024</v>
      </c>
      <c r="R689" s="62">
        <f t="shared" si="4"/>
        <v>2</v>
      </c>
      <c r="S689" s="61" t="str">
        <f t="shared" si="5"/>
        <v>2024-Q1</v>
      </c>
      <c r="T689" s="63" t="str">
        <f t="shared" si="6"/>
        <v>2024-02</v>
      </c>
      <c r="U689" s="64" t="str">
        <f t="shared" si="7"/>
        <v>2024-H1</v>
      </c>
      <c r="V689" s="9" t="str">
        <f>VLOOKUP(B689,Bounties!A:E,2,FALSE)</f>
        <v>Events Bounty</v>
      </c>
    </row>
    <row r="690" hidden="1">
      <c r="A690" s="67">
        <f>HYPERLINK("https://polkadot.subsquare.io/treasury/child-bounties/713", 713)</f>
        <v>713</v>
      </c>
      <c r="B690" s="1">
        <v>17.0</v>
      </c>
      <c r="C690" s="1" t="s">
        <v>2414</v>
      </c>
      <c r="D690" s="1" t="s">
        <v>338</v>
      </c>
      <c r="E690" s="5">
        <v>42.1</v>
      </c>
      <c r="F690" s="4">
        <v>325.56796398162845</v>
      </c>
      <c r="G690" s="1" t="s">
        <v>2642</v>
      </c>
      <c r="H690" s="95">
        <v>45339.0</v>
      </c>
      <c r="I690" s="95">
        <v>45357.0</v>
      </c>
      <c r="J690" s="4">
        <v>449.00203905105593</v>
      </c>
      <c r="K690" s="1"/>
      <c r="L690" s="1" t="s">
        <v>86</v>
      </c>
      <c r="M690" s="1" t="str">
        <f>VLOOKUP(B690,Bounties!A:D,3,FALSE)</f>
        <v>Outreach</v>
      </c>
      <c r="N690" s="1" t="str">
        <f>VLOOKUP(B690,Bounties!A:D,4,FALSE)</f>
        <v>Events/Meetups</v>
      </c>
      <c r="O690" s="1" t="str">
        <f t="shared" ref="O690:P690" si="694">IF(ISBLANK(K690),M690,K690)</f>
        <v>Outreach</v>
      </c>
      <c r="P690" s="1" t="str">
        <f t="shared" si="694"/>
        <v>Events/Conference Attendance &amp; Side Events</v>
      </c>
      <c r="Q690" s="61" t="str">
        <f t="shared" si="3"/>
        <v>2024</v>
      </c>
      <c r="R690" s="62">
        <f t="shared" si="4"/>
        <v>3</v>
      </c>
      <c r="S690" s="61" t="str">
        <f t="shared" si="5"/>
        <v>2024-Q1</v>
      </c>
      <c r="T690" s="63" t="str">
        <f t="shared" si="6"/>
        <v>2024-03</v>
      </c>
      <c r="U690" s="64" t="str">
        <f t="shared" si="7"/>
        <v>2024-H1</v>
      </c>
      <c r="V690" s="9" t="str">
        <f>VLOOKUP(B690,Bounties!A:E,2,FALSE)</f>
        <v>Events Bounty</v>
      </c>
    </row>
    <row r="691" hidden="1">
      <c r="A691" s="67">
        <f>HYPERLINK("https://polkadot.subsquare.io/treasury/child-bounties/712", 712)</f>
        <v>712</v>
      </c>
      <c r="B691" s="1">
        <v>17.0</v>
      </c>
      <c r="C691" s="1" t="s">
        <v>2414</v>
      </c>
      <c r="D691" s="1" t="s">
        <v>337</v>
      </c>
      <c r="E691" s="5">
        <v>6008.0</v>
      </c>
      <c r="F691" s="4">
        <v>46461.10041809082</v>
      </c>
      <c r="G691" s="1" t="s">
        <v>2660</v>
      </c>
      <c r="H691" s="95">
        <v>45339.0</v>
      </c>
      <c r="I691" s="95">
        <v>45357.0</v>
      </c>
      <c r="J691" s="4">
        <v>64076.11046600342</v>
      </c>
      <c r="K691" s="1"/>
      <c r="L691" s="1"/>
      <c r="M691" s="1" t="str">
        <f>VLOOKUP(B691,Bounties!A:D,3,FALSE)</f>
        <v>Outreach</v>
      </c>
      <c r="N691" s="1" t="str">
        <f>VLOOKUP(B691,Bounties!A:D,4,FALSE)</f>
        <v>Events/Meetups</v>
      </c>
      <c r="O691" s="1" t="str">
        <f t="shared" ref="O691:P691" si="695">IF(ISBLANK(K691),M691,K691)</f>
        <v>Outreach</v>
      </c>
      <c r="P691" s="1" t="str">
        <f t="shared" si="695"/>
        <v>Events/Meetups</v>
      </c>
      <c r="Q691" s="61" t="str">
        <f t="shared" si="3"/>
        <v>2024</v>
      </c>
      <c r="R691" s="62">
        <f t="shared" si="4"/>
        <v>3</v>
      </c>
      <c r="S691" s="61" t="str">
        <f t="shared" si="5"/>
        <v>2024-Q1</v>
      </c>
      <c r="T691" s="63" t="str">
        <f t="shared" si="6"/>
        <v>2024-03</v>
      </c>
      <c r="U691" s="64" t="str">
        <f t="shared" si="7"/>
        <v>2024-H1</v>
      </c>
      <c r="V691" s="9" t="str">
        <f>VLOOKUP(B691,Bounties!A:E,2,FALSE)</f>
        <v>Events Bounty</v>
      </c>
    </row>
    <row r="692" hidden="1">
      <c r="A692" s="67">
        <f>HYPERLINK("https://polkadot.subsquare.io/treasury/child-bounties/711", 711)</f>
        <v>711</v>
      </c>
      <c r="B692" s="1">
        <v>17.0</v>
      </c>
      <c r="C692" s="1" t="s">
        <v>2414</v>
      </c>
      <c r="D692" s="1" t="s">
        <v>336</v>
      </c>
      <c r="E692" s="5">
        <v>9085.0</v>
      </c>
      <c r="F692" s="4">
        <v>70256.17465019226</v>
      </c>
      <c r="G692" s="1" t="s">
        <v>2587</v>
      </c>
      <c r="H692" s="95">
        <v>45339.0</v>
      </c>
      <c r="I692" s="95">
        <v>45350.0</v>
      </c>
      <c r="J692" s="4">
        <v>85726.9772195816</v>
      </c>
      <c r="K692" s="1"/>
      <c r="L692" s="1" t="s">
        <v>86</v>
      </c>
      <c r="M692" s="1" t="str">
        <f>VLOOKUP(B692,Bounties!A:D,3,FALSE)</f>
        <v>Outreach</v>
      </c>
      <c r="N692" s="1" t="str">
        <f>VLOOKUP(B692,Bounties!A:D,4,FALSE)</f>
        <v>Events/Meetups</v>
      </c>
      <c r="O692" s="1" t="str">
        <f t="shared" ref="O692:P692" si="696">IF(ISBLANK(K692),M692,K692)</f>
        <v>Outreach</v>
      </c>
      <c r="P692" s="1" t="str">
        <f t="shared" si="696"/>
        <v>Events/Conference Attendance &amp; Side Events</v>
      </c>
      <c r="Q692" s="61" t="str">
        <f t="shared" si="3"/>
        <v>2024</v>
      </c>
      <c r="R692" s="62">
        <f t="shared" si="4"/>
        <v>2</v>
      </c>
      <c r="S692" s="61" t="str">
        <f t="shared" si="5"/>
        <v>2024-Q1</v>
      </c>
      <c r="T692" s="63" t="str">
        <f t="shared" si="6"/>
        <v>2024-02</v>
      </c>
      <c r="U692" s="64" t="str">
        <f t="shared" si="7"/>
        <v>2024-H1</v>
      </c>
      <c r="V692" s="9" t="str">
        <f>VLOOKUP(B692,Bounties!A:E,2,FALSE)</f>
        <v>Events Bounty</v>
      </c>
    </row>
    <row r="693" hidden="1">
      <c r="A693" s="67">
        <f>HYPERLINK("https://polkadot.subsquare.io/treasury/child-bounties/710", 710)</f>
        <v>710</v>
      </c>
      <c r="B693" s="1">
        <v>22.0</v>
      </c>
      <c r="C693" s="1" t="s">
        <v>2414</v>
      </c>
      <c r="D693" s="1" t="s">
        <v>335</v>
      </c>
      <c r="E693" s="5">
        <v>18360.0</v>
      </c>
      <c r="F693" s="4">
        <v>147415.28171539307</v>
      </c>
      <c r="G693" s="1" t="s">
        <v>2661</v>
      </c>
      <c r="H693" s="95">
        <v>45339.0</v>
      </c>
      <c r="I693" s="95">
        <v>45353.0</v>
      </c>
      <c r="J693" s="4">
        <v>171305.924949646</v>
      </c>
      <c r="K693" s="1"/>
      <c r="L693" s="1"/>
      <c r="M693" s="1" t="str">
        <f>VLOOKUP(B693,Bounties!A:D,3,FALSE)</f>
        <v>Development</v>
      </c>
      <c r="N693" s="1" t="str">
        <f>VLOOKUP(B693,Bounties!A:D,4,FALSE)</f>
        <v>Ecosystem Services</v>
      </c>
      <c r="O693" s="1" t="str">
        <f t="shared" ref="O693:P693" si="697">IF(ISBLANK(K693),M693,K693)</f>
        <v>Development</v>
      </c>
      <c r="P693" s="1" t="str">
        <f t="shared" si="697"/>
        <v>Ecosystem Services</v>
      </c>
      <c r="Q693" s="61" t="str">
        <f t="shared" si="3"/>
        <v>2024</v>
      </c>
      <c r="R693" s="62">
        <f t="shared" si="4"/>
        <v>3</v>
      </c>
      <c r="S693" s="61" t="str">
        <f t="shared" si="5"/>
        <v>2024-Q1</v>
      </c>
      <c r="T693" s="63" t="str">
        <f t="shared" si="6"/>
        <v>2024-03</v>
      </c>
      <c r="U693" s="64" t="str">
        <f t="shared" si="7"/>
        <v>2024-H1</v>
      </c>
      <c r="V693" s="9" t="str">
        <f>VLOOKUP(B693,Bounties!A:E,2,FALSE)</f>
        <v>Polkadot Assurance Legion Bounty</v>
      </c>
    </row>
    <row r="694" hidden="1">
      <c r="A694" s="67">
        <f>HYPERLINK("https://polkadot.subsquare.io/treasury/child-bounties/709", 709)</f>
        <v>709</v>
      </c>
      <c r="B694" s="1">
        <v>22.0</v>
      </c>
      <c r="C694" s="1" t="s">
        <v>2414</v>
      </c>
      <c r="D694" s="1" t="s">
        <v>334</v>
      </c>
      <c r="E694" s="5">
        <v>16041.0</v>
      </c>
      <c r="F694" s="4">
        <v>128795.67178630829</v>
      </c>
      <c r="G694" s="1" t="s">
        <v>2662</v>
      </c>
      <c r="H694" s="95">
        <v>45339.0</v>
      </c>
      <c r="I694" s="95">
        <v>45352.0</v>
      </c>
      <c r="J694" s="4">
        <v>157160.728225708</v>
      </c>
      <c r="K694" s="1"/>
      <c r="L694" s="1"/>
      <c r="M694" s="1" t="str">
        <f>VLOOKUP(B694,Bounties!A:D,3,FALSE)</f>
        <v>Development</v>
      </c>
      <c r="N694" s="1" t="str">
        <f>VLOOKUP(B694,Bounties!A:D,4,FALSE)</f>
        <v>Ecosystem Services</v>
      </c>
      <c r="O694" s="1" t="str">
        <f t="shared" ref="O694:P694" si="698">IF(ISBLANK(K694),M694,K694)</f>
        <v>Development</v>
      </c>
      <c r="P694" s="1" t="str">
        <f t="shared" si="698"/>
        <v>Ecosystem Services</v>
      </c>
      <c r="Q694" s="61" t="str">
        <f t="shared" si="3"/>
        <v>2024</v>
      </c>
      <c r="R694" s="62">
        <f t="shared" si="4"/>
        <v>3</v>
      </c>
      <c r="S694" s="61" t="str">
        <f t="shared" si="5"/>
        <v>2024-Q1</v>
      </c>
      <c r="T694" s="63" t="str">
        <f t="shared" si="6"/>
        <v>2024-03</v>
      </c>
      <c r="U694" s="64" t="str">
        <f t="shared" si="7"/>
        <v>2024-H1</v>
      </c>
      <c r="V694" s="9" t="str">
        <f>VLOOKUP(B694,Bounties!A:E,2,FALSE)</f>
        <v>Polkadot Assurance Legion Bounty</v>
      </c>
    </row>
    <row r="695" hidden="1">
      <c r="A695" s="67">
        <f>HYPERLINK("https://polkadot.subsquare.io/treasury/child-bounties/708", 708)</f>
        <v>708</v>
      </c>
      <c r="B695" s="1">
        <v>33.0</v>
      </c>
      <c r="C695" s="1" t="s">
        <v>2414</v>
      </c>
      <c r="D695" s="1" t="s">
        <v>333</v>
      </c>
      <c r="E695" s="5">
        <v>21685.91</v>
      </c>
      <c r="F695" s="4">
        <v>168674.1841666317</v>
      </c>
      <c r="G695" s="1" t="s">
        <v>2554</v>
      </c>
      <c r="H695" s="95">
        <v>45334.0</v>
      </c>
      <c r="I695" s="95">
        <v>45343.0</v>
      </c>
      <c r="J695" s="4">
        <v>169353.9059617281</v>
      </c>
      <c r="K695" s="1" t="s">
        <v>81</v>
      </c>
      <c r="L695" s="1" t="s">
        <v>84</v>
      </c>
      <c r="M695" s="1" t="str">
        <f>VLOOKUP(B695,Bounties!A:D,3,FALSE)</f>
        <v>Outreach</v>
      </c>
      <c r="N695" s="1" t="str">
        <f>VLOOKUP(B695,Bounties!A:D,4,FALSE)</f>
        <v>Advertising</v>
      </c>
      <c r="O695" s="1" t="str">
        <f t="shared" ref="O695:P695" si="699">IF(ISBLANK(K695),M695,K695)</f>
        <v>Outreach</v>
      </c>
      <c r="P695" s="1" t="str">
        <f t="shared" si="699"/>
        <v>Advertising/Influencers</v>
      </c>
      <c r="Q695" s="61" t="str">
        <f t="shared" si="3"/>
        <v>2024</v>
      </c>
      <c r="R695" s="62">
        <f t="shared" si="4"/>
        <v>2</v>
      </c>
      <c r="S695" s="61" t="str">
        <f t="shared" si="5"/>
        <v>2024-Q1</v>
      </c>
      <c r="T695" s="63" t="str">
        <f t="shared" si="6"/>
        <v>2024-02</v>
      </c>
      <c r="U695" s="64" t="str">
        <f t="shared" si="7"/>
        <v>2024-H1</v>
      </c>
      <c r="V695" s="9" t="str">
        <f>VLOOKUP(B695,Bounties!A:E,2,FALSE)</f>
        <v>Marketing Bounty</v>
      </c>
    </row>
    <row r="696" hidden="1">
      <c r="A696" s="67">
        <f>HYPERLINK("https://polkadot.subsquare.io/treasury/child-bounties/707", 707)</f>
        <v>707</v>
      </c>
      <c r="B696" s="1">
        <v>11.0</v>
      </c>
      <c r="C696" s="1" t="s">
        <v>2414</v>
      </c>
      <c r="D696" s="1" t="s">
        <v>332</v>
      </c>
      <c r="E696" s="5">
        <v>32.9</v>
      </c>
      <c r="F696" s="4">
        <v>255.89798440933225</v>
      </c>
      <c r="G696" s="1" t="s">
        <v>2529</v>
      </c>
      <c r="H696" s="95">
        <v>45334.0</v>
      </c>
      <c r="I696" s="95">
        <v>45345.0</v>
      </c>
      <c r="J696" s="4">
        <v>266.6328983306885</v>
      </c>
      <c r="K696" s="1"/>
      <c r="L696" s="1"/>
      <c r="M696" s="1" t="str">
        <f>VLOOKUP(B696,Bounties!A:D,3,FALSE)</f>
        <v>Research</v>
      </c>
      <c r="N696" s="1" t="str">
        <f>VLOOKUP(B696,Bounties!A:D,4,FALSE)</f>
        <v>Anti-Scam</v>
      </c>
      <c r="O696" s="1" t="str">
        <f t="shared" ref="O696:P696" si="700">IF(ISBLANK(K696),M696,K696)</f>
        <v>Research</v>
      </c>
      <c r="P696" s="1" t="str">
        <f t="shared" si="700"/>
        <v>Anti-Scam</v>
      </c>
      <c r="Q696" s="61" t="str">
        <f t="shared" si="3"/>
        <v>2024</v>
      </c>
      <c r="R696" s="62">
        <f t="shared" si="4"/>
        <v>2</v>
      </c>
      <c r="S696" s="61" t="str">
        <f t="shared" si="5"/>
        <v>2024-Q1</v>
      </c>
      <c r="T696" s="63" t="str">
        <f t="shared" si="6"/>
        <v>2024-02</v>
      </c>
      <c r="U696" s="64" t="str">
        <f t="shared" si="7"/>
        <v>2024-H1</v>
      </c>
      <c r="V696" s="9" t="str">
        <f>VLOOKUP(B696,Bounties!A:E,2,FALSE)</f>
        <v>Anti-Scam Bounty</v>
      </c>
    </row>
    <row r="697" hidden="1">
      <c r="A697" s="67">
        <f>HYPERLINK("https://polkadot.subsquare.io/treasury/child-bounties/706", 706)</f>
        <v>706</v>
      </c>
      <c r="B697" s="1">
        <v>11.0</v>
      </c>
      <c r="C697" s="1" t="s">
        <v>2414</v>
      </c>
      <c r="D697" s="1" t="s">
        <v>331</v>
      </c>
      <c r="E697" s="5">
        <v>32.034</v>
      </c>
      <c r="F697" s="4">
        <v>249.16218943977356</v>
      </c>
      <c r="G697" s="1" t="s">
        <v>2530</v>
      </c>
      <c r="H697" s="95">
        <v>45334.0</v>
      </c>
      <c r="I697" s="95">
        <v>45347.0</v>
      </c>
      <c r="J697" s="4">
        <v>267.2474551963806</v>
      </c>
      <c r="K697" s="1"/>
      <c r="L697" s="1"/>
      <c r="M697" s="1" t="str">
        <f>VLOOKUP(B697,Bounties!A:D,3,FALSE)</f>
        <v>Research</v>
      </c>
      <c r="N697" s="1" t="str">
        <f>VLOOKUP(B697,Bounties!A:D,4,FALSE)</f>
        <v>Anti-Scam</v>
      </c>
      <c r="O697" s="1" t="str">
        <f t="shared" ref="O697:P697" si="701">IF(ISBLANK(K697),M697,K697)</f>
        <v>Research</v>
      </c>
      <c r="P697" s="1" t="str">
        <f t="shared" si="701"/>
        <v>Anti-Scam</v>
      </c>
      <c r="Q697" s="61" t="str">
        <f t="shared" si="3"/>
        <v>2024</v>
      </c>
      <c r="R697" s="62">
        <f t="shared" si="4"/>
        <v>2</v>
      </c>
      <c r="S697" s="61" t="str">
        <f t="shared" si="5"/>
        <v>2024-Q1</v>
      </c>
      <c r="T697" s="63" t="str">
        <f t="shared" si="6"/>
        <v>2024-02</v>
      </c>
      <c r="U697" s="64" t="str">
        <f t="shared" si="7"/>
        <v>2024-H1</v>
      </c>
      <c r="V697" s="9" t="str">
        <f>VLOOKUP(B697,Bounties!A:E,2,FALSE)</f>
        <v>Anti-Scam Bounty</v>
      </c>
    </row>
    <row r="698" hidden="1">
      <c r="A698" s="67">
        <f>HYPERLINK("https://polkadot.subsquare.io/treasury/child-bounties/705", 705)</f>
        <v>705</v>
      </c>
      <c r="B698" s="1">
        <v>33.0</v>
      </c>
      <c r="C698" s="1" t="s">
        <v>2414</v>
      </c>
      <c r="D698" s="1" t="s">
        <v>330</v>
      </c>
      <c r="E698" s="5">
        <v>244.89</v>
      </c>
      <c r="F698" s="4">
        <v>1875.433010816574</v>
      </c>
      <c r="G698" s="1" t="s">
        <v>2663</v>
      </c>
      <c r="H698" s="95">
        <v>45333.0</v>
      </c>
      <c r="I698" s="95">
        <v>45343.0</v>
      </c>
      <c r="J698" s="4">
        <v>1852.2049452638626</v>
      </c>
      <c r="K698" s="1" t="s">
        <v>81</v>
      </c>
      <c r="L698" s="1" t="s">
        <v>87</v>
      </c>
      <c r="M698" s="1" t="str">
        <f>VLOOKUP(B698,Bounties!A:D,3,FALSE)</f>
        <v>Outreach</v>
      </c>
      <c r="N698" s="1" t="str">
        <f>VLOOKUP(B698,Bounties!A:D,4,FALSE)</f>
        <v>Advertising</v>
      </c>
      <c r="O698" s="1" t="str">
        <f t="shared" ref="O698:P698" si="702">IF(ISBLANK(K698),M698,K698)</f>
        <v>Outreach</v>
      </c>
      <c r="P698" s="1" t="str">
        <f t="shared" si="702"/>
        <v>Advertising/Digital Ads</v>
      </c>
      <c r="Q698" s="61" t="str">
        <f t="shared" si="3"/>
        <v>2024</v>
      </c>
      <c r="R698" s="62">
        <f t="shared" si="4"/>
        <v>2</v>
      </c>
      <c r="S698" s="61" t="str">
        <f t="shared" si="5"/>
        <v>2024-Q1</v>
      </c>
      <c r="T698" s="63" t="str">
        <f t="shared" si="6"/>
        <v>2024-02</v>
      </c>
      <c r="U698" s="64" t="str">
        <f t="shared" si="7"/>
        <v>2024-H1</v>
      </c>
      <c r="V698" s="9" t="str">
        <f>VLOOKUP(B698,Bounties!A:E,2,FALSE)</f>
        <v>Marketing Bounty</v>
      </c>
    </row>
    <row r="699" hidden="1">
      <c r="A699" s="67">
        <f>HYPERLINK("https://polkadot.subsquare.io/treasury/child-bounties/704", 704)</f>
        <v>704</v>
      </c>
      <c r="B699" s="1">
        <v>32.0</v>
      </c>
      <c r="C699" s="1" t="s">
        <v>2414</v>
      </c>
      <c r="D699" s="1" t="s">
        <v>329</v>
      </c>
      <c r="E699" s="5">
        <v>8.8170462895</v>
      </c>
      <c r="F699" s="4">
        <v>67.52329482308828</v>
      </c>
      <c r="G699" s="1" t="s">
        <v>2535</v>
      </c>
      <c r="H699" s="95">
        <v>45333.0</v>
      </c>
      <c r="I699" s="95">
        <v>45393.0</v>
      </c>
      <c r="J699" s="4">
        <v>56.58760743492509</v>
      </c>
      <c r="K699" s="1"/>
      <c r="L699" s="1"/>
      <c r="M699" s="1" t="str">
        <f>VLOOKUP(B699,Bounties!A:D,3,FALSE)</f>
        <v>Operations</v>
      </c>
      <c r="N699" s="1" t="str">
        <f>VLOOKUP(B699,Bounties!A:D,4,FALSE)</f>
        <v>RPCs and Nodes</v>
      </c>
      <c r="O699" s="1" t="str">
        <f t="shared" ref="O699:P699" si="703">IF(ISBLANK(K699),M699,K699)</f>
        <v>Operations</v>
      </c>
      <c r="P699" s="1" t="str">
        <f t="shared" si="703"/>
        <v>RPCs and Nodes</v>
      </c>
      <c r="Q699" s="61" t="str">
        <f t="shared" si="3"/>
        <v>2024</v>
      </c>
      <c r="R699" s="62">
        <f t="shared" si="4"/>
        <v>4</v>
      </c>
      <c r="S699" s="61" t="str">
        <f t="shared" si="5"/>
        <v>2024-Q2</v>
      </c>
      <c r="T699" s="63" t="str">
        <f t="shared" si="6"/>
        <v>2024-04</v>
      </c>
      <c r="U699" s="64" t="str">
        <f t="shared" si="7"/>
        <v>2024-H1</v>
      </c>
      <c r="V699" s="9" t="str">
        <f>VLOOKUP(B699,Bounties!A:E,2,FALSE)</f>
        <v>System Parachains Collator Bounty</v>
      </c>
    </row>
    <row r="700" hidden="1">
      <c r="A700" s="67">
        <f>HYPERLINK("https://polkadot.subsquare.io/treasury/child-bounties/703", 703)</f>
        <v>703</v>
      </c>
      <c r="B700" s="1">
        <v>32.0</v>
      </c>
      <c r="C700" s="1" t="s">
        <v>2414</v>
      </c>
      <c r="D700" s="1" t="s">
        <v>328</v>
      </c>
      <c r="E700" s="5">
        <v>65.0</v>
      </c>
      <c r="F700" s="4">
        <v>477.4941039085388</v>
      </c>
      <c r="G700" s="1" t="s">
        <v>2438</v>
      </c>
      <c r="H700" s="95">
        <v>45331.0</v>
      </c>
      <c r="I700" s="95">
        <v>45339.0</v>
      </c>
      <c r="J700" s="4">
        <v>502.6583766937256</v>
      </c>
      <c r="K700" s="1"/>
      <c r="L700" s="1"/>
      <c r="M700" s="1" t="str">
        <f>VLOOKUP(B700,Bounties!A:D,3,FALSE)</f>
        <v>Operations</v>
      </c>
      <c r="N700" s="1" t="str">
        <f>VLOOKUP(B700,Bounties!A:D,4,FALSE)</f>
        <v>RPCs and Nodes</v>
      </c>
      <c r="O700" s="1" t="str">
        <f t="shared" ref="O700:P700" si="704">IF(ISBLANK(K700),M700,K700)</f>
        <v>Operations</v>
      </c>
      <c r="P700" s="1" t="str">
        <f t="shared" si="704"/>
        <v>RPCs and Nodes</v>
      </c>
      <c r="Q700" s="61" t="str">
        <f t="shared" si="3"/>
        <v>2024</v>
      </c>
      <c r="R700" s="62">
        <f t="shared" si="4"/>
        <v>2</v>
      </c>
      <c r="S700" s="61" t="str">
        <f t="shared" si="5"/>
        <v>2024-Q1</v>
      </c>
      <c r="T700" s="63" t="str">
        <f t="shared" si="6"/>
        <v>2024-02</v>
      </c>
      <c r="U700" s="64" t="str">
        <f t="shared" si="7"/>
        <v>2024-H1</v>
      </c>
      <c r="V700" s="9" t="str">
        <f>VLOOKUP(B700,Bounties!A:E,2,FALSE)</f>
        <v>System Parachains Collator Bounty</v>
      </c>
    </row>
    <row r="701" hidden="1">
      <c r="A701" s="67">
        <f>HYPERLINK("https://polkadot.subsquare.io/treasury/child-bounties/702", 702)</f>
        <v>702</v>
      </c>
      <c r="B701" s="1">
        <v>32.0</v>
      </c>
      <c r="C701" s="1" t="s">
        <v>2414</v>
      </c>
      <c r="D701" s="1" t="s">
        <v>327</v>
      </c>
      <c r="E701" s="5">
        <v>10.6400337328</v>
      </c>
      <c r="F701" s="4">
        <v>78.16235958153786</v>
      </c>
      <c r="G701" s="1" t="s">
        <v>2437</v>
      </c>
      <c r="H701" s="95">
        <v>45331.0</v>
      </c>
      <c r="I701" s="95">
        <v>45339.0</v>
      </c>
      <c r="J701" s="4">
        <v>82.28157052454968</v>
      </c>
      <c r="K701" s="1"/>
      <c r="L701" s="1"/>
      <c r="M701" s="1" t="str">
        <f>VLOOKUP(B701,Bounties!A:D,3,FALSE)</f>
        <v>Operations</v>
      </c>
      <c r="N701" s="1" t="str">
        <f>VLOOKUP(B701,Bounties!A:D,4,FALSE)</f>
        <v>RPCs and Nodes</v>
      </c>
      <c r="O701" s="1" t="str">
        <f t="shared" ref="O701:P701" si="705">IF(ISBLANK(K701),M701,K701)</f>
        <v>Operations</v>
      </c>
      <c r="P701" s="1" t="str">
        <f t="shared" si="705"/>
        <v>RPCs and Nodes</v>
      </c>
      <c r="Q701" s="61" t="str">
        <f t="shared" si="3"/>
        <v>2024</v>
      </c>
      <c r="R701" s="62">
        <f t="shared" si="4"/>
        <v>2</v>
      </c>
      <c r="S701" s="61" t="str">
        <f t="shared" si="5"/>
        <v>2024-Q1</v>
      </c>
      <c r="T701" s="63" t="str">
        <f t="shared" si="6"/>
        <v>2024-02</v>
      </c>
      <c r="U701" s="64" t="str">
        <f t="shared" si="7"/>
        <v>2024-H1</v>
      </c>
      <c r="V701" s="9" t="str">
        <f>VLOOKUP(B701,Bounties!A:E,2,FALSE)</f>
        <v>System Parachains Collator Bounty</v>
      </c>
    </row>
    <row r="702" hidden="1">
      <c r="A702" s="67">
        <f>HYPERLINK("https://polkadot.subsquare.io/treasury/child-bounties/701", 701)</f>
        <v>701</v>
      </c>
      <c r="B702" s="1">
        <v>32.0</v>
      </c>
      <c r="C702" s="1" t="s">
        <v>2414</v>
      </c>
      <c r="D702" s="1" t="s">
        <v>326</v>
      </c>
      <c r="E702" s="5">
        <v>10.6400337328</v>
      </c>
      <c r="F702" s="4">
        <v>78.16235958153786</v>
      </c>
      <c r="G702" s="1" t="s">
        <v>2463</v>
      </c>
      <c r="H702" s="95">
        <v>45331.0</v>
      </c>
      <c r="I702" s="95">
        <v>45339.0</v>
      </c>
      <c r="J702" s="4">
        <v>82.28157052454968</v>
      </c>
      <c r="K702" s="1"/>
      <c r="L702" s="1"/>
      <c r="M702" s="1" t="str">
        <f>VLOOKUP(B702,Bounties!A:D,3,FALSE)</f>
        <v>Operations</v>
      </c>
      <c r="N702" s="1" t="str">
        <f>VLOOKUP(B702,Bounties!A:D,4,FALSE)</f>
        <v>RPCs and Nodes</v>
      </c>
      <c r="O702" s="1" t="str">
        <f t="shared" ref="O702:P702" si="706">IF(ISBLANK(K702),M702,K702)</f>
        <v>Operations</v>
      </c>
      <c r="P702" s="1" t="str">
        <f t="shared" si="706"/>
        <v>RPCs and Nodes</v>
      </c>
      <c r="Q702" s="61" t="str">
        <f t="shared" si="3"/>
        <v>2024</v>
      </c>
      <c r="R702" s="62">
        <f t="shared" si="4"/>
        <v>2</v>
      </c>
      <c r="S702" s="61" t="str">
        <f t="shared" si="5"/>
        <v>2024-Q1</v>
      </c>
      <c r="T702" s="63" t="str">
        <f t="shared" si="6"/>
        <v>2024-02</v>
      </c>
      <c r="U702" s="64" t="str">
        <f t="shared" si="7"/>
        <v>2024-H1</v>
      </c>
      <c r="V702" s="9" t="str">
        <f>VLOOKUP(B702,Bounties!A:E,2,FALSE)</f>
        <v>System Parachains Collator Bounty</v>
      </c>
    </row>
    <row r="703" hidden="1">
      <c r="A703" s="67">
        <f>HYPERLINK("https://polkadot.subsquare.io/treasury/child-bounties/700", 700)</f>
        <v>700</v>
      </c>
      <c r="B703" s="1">
        <v>32.0</v>
      </c>
      <c r="C703" s="1" t="s">
        <v>2414</v>
      </c>
      <c r="D703" s="1" t="s">
        <v>325</v>
      </c>
      <c r="E703" s="5">
        <v>10.6400337328</v>
      </c>
      <c r="F703" s="4">
        <v>78.16235958153786</v>
      </c>
      <c r="G703" s="1" t="s">
        <v>2438</v>
      </c>
      <c r="H703" s="95">
        <v>45331.0</v>
      </c>
      <c r="I703" s="95">
        <v>45339.0</v>
      </c>
      <c r="J703" s="4">
        <v>82.28157052454968</v>
      </c>
      <c r="K703" s="1"/>
      <c r="L703" s="1"/>
      <c r="M703" s="1" t="str">
        <f>VLOOKUP(B703,Bounties!A:D,3,FALSE)</f>
        <v>Operations</v>
      </c>
      <c r="N703" s="1" t="str">
        <f>VLOOKUP(B703,Bounties!A:D,4,FALSE)</f>
        <v>RPCs and Nodes</v>
      </c>
      <c r="O703" s="1" t="str">
        <f t="shared" ref="O703:P703" si="707">IF(ISBLANK(K703),M703,K703)</f>
        <v>Operations</v>
      </c>
      <c r="P703" s="1" t="str">
        <f t="shared" si="707"/>
        <v>RPCs and Nodes</v>
      </c>
      <c r="Q703" s="61" t="str">
        <f t="shared" si="3"/>
        <v>2024</v>
      </c>
      <c r="R703" s="62">
        <f t="shared" si="4"/>
        <v>2</v>
      </c>
      <c r="S703" s="61" t="str">
        <f t="shared" si="5"/>
        <v>2024-Q1</v>
      </c>
      <c r="T703" s="63" t="str">
        <f t="shared" si="6"/>
        <v>2024-02</v>
      </c>
      <c r="U703" s="64" t="str">
        <f t="shared" si="7"/>
        <v>2024-H1</v>
      </c>
      <c r="V703" s="9" t="str">
        <f>VLOOKUP(B703,Bounties!A:E,2,FALSE)</f>
        <v>System Parachains Collator Bounty</v>
      </c>
    </row>
    <row r="704" hidden="1">
      <c r="A704" s="67">
        <f>HYPERLINK("https://polkadot.subsquare.io/treasury/child-bounties/699", 699)</f>
        <v>699</v>
      </c>
      <c r="B704" s="1">
        <v>32.0</v>
      </c>
      <c r="C704" s="1" t="s">
        <v>2414</v>
      </c>
      <c r="D704" s="1" t="s">
        <v>324</v>
      </c>
      <c r="E704" s="5">
        <v>59.2081051245</v>
      </c>
      <c r="F704" s="4">
        <v>434.94647846993377</v>
      </c>
      <c r="G704" s="1" t="s">
        <v>2439</v>
      </c>
      <c r="H704" s="95">
        <v>45331.0</v>
      </c>
      <c r="I704" s="95">
        <v>45339.0</v>
      </c>
      <c r="J704" s="4">
        <v>457.8684616768096</v>
      </c>
      <c r="K704" s="1"/>
      <c r="L704" s="1"/>
      <c r="M704" s="1" t="str">
        <f>VLOOKUP(B704,Bounties!A:D,3,FALSE)</f>
        <v>Operations</v>
      </c>
      <c r="N704" s="1" t="str">
        <f>VLOOKUP(B704,Bounties!A:D,4,FALSE)</f>
        <v>RPCs and Nodes</v>
      </c>
      <c r="O704" s="1" t="str">
        <f t="shared" ref="O704:P704" si="708">IF(ISBLANK(K704),M704,K704)</f>
        <v>Operations</v>
      </c>
      <c r="P704" s="1" t="str">
        <f t="shared" si="708"/>
        <v>RPCs and Nodes</v>
      </c>
      <c r="Q704" s="61" t="str">
        <f t="shared" si="3"/>
        <v>2024</v>
      </c>
      <c r="R704" s="62">
        <f t="shared" si="4"/>
        <v>2</v>
      </c>
      <c r="S704" s="61" t="str">
        <f t="shared" si="5"/>
        <v>2024-Q1</v>
      </c>
      <c r="T704" s="63" t="str">
        <f t="shared" si="6"/>
        <v>2024-02</v>
      </c>
      <c r="U704" s="64" t="str">
        <f t="shared" si="7"/>
        <v>2024-H1</v>
      </c>
      <c r="V704" s="9" t="str">
        <f>VLOOKUP(B704,Bounties!A:E,2,FALSE)</f>
        <v>System Parachains Collator Bounty</v>
      </c>
    </row>
    <row r="705" hidden="1">
      <c r="A705" s="67">
        <f>HYPERLINK("https://polkadot.subsquare.io/treasury/child-bounties/698", 698)</f>
        <v>698</v>
      </c>
      <c r="B705" s="1">
        <v>32.0</v>
      </c>
      <c r="C705" s="1" t="s">
        <v>2414</v>
      </c>
      <c r="D705" s="1" t="s">
        <v>323</v>
      </c>
      <c r="E705" s="5">
        <v>59.3395701806</v>
      </c>
      <c r="F705" s="4">
        <v>435.91222907236073</v>
      </c>
      <c r="G705" s="1" t="s">
        <v>2579</v>
      </c>
      <c r="H705" s="95">
        <v>45331.0</v>
      </c>
      <c r="I705" s="95">
        <v>45339.0</v>
      </c>
      <c r="J705" s="4">
        <v>458.88510801052</v>
      </c>
      <c r="K705" s="1"/>
      <c r="L705" s="1"/>
      <c r="M705" s="1" t="str">
        <f>VLOOKUP(B705,Bounties!A:D,3,FALSE)</f>
        <v>Operations</v>
      </c>
      <c r="N705" s="1" t="str">
        <f>VLOOKUP(B705,Bounties!A:D,4,FALSE)</f>
        <v>RPCs and Nodes</v>
      </c>
      <c r="O705" s="1" t="str">
        <f t="shared" ref="O705:P705" si="709">IF(ISBLANK(K705),M705,K705)</f>
        <v>Operations</v>
      </c>
      <c r="P705" s="1" t="str">
        <f t="shared" si="709"/>
        <v>RPCs and Nodes</v>
      </c>
      <c r="Q705" s="61" t="str">
        <f t="shared" si="3"/>
        <v>2024</v>
      </c>
      <c r="R705" s="62">
        <f t="shared" si="4"/>
        <v>2</v>
      </c>
      <c r="S705" s="61" t="str">
        <f t="shared" si="5"/>
        <v>2024-Q1</v>
      </c>
      <c r="T705" s="63" t="str">
        <f t="shared" si="6"/>
        <v>2024-02</v>
      </c>
      <c r="U705" s="64" t="str">
        <f t="shared" si="7"/>
        <v>2024-H1</v>
      </c>
      <c r="V705" s="9" t="str">
        <f>VLOOKUP(B705,Bounties!A:E,2,FALSE)</f>
        <v>System Parachains Collator Bounty</v>
      </c>
    </row>
    <row r="706" hidden="1">
      <c r="A706" s="67">
        <f>HYPERLINK("https://polkadot.subsquare.io/treasury/child-bounties/697", 697)</f>
        <v>697</v>
      </c>
      <c r="B706" s="1">
        <v>32.0</v>
      </c>
      <c r="C706" s="1" t="s">
        <v>2414</v>
      </c>
      <c r="D706" s="1" t="s">
        <v>322</v>
      </c>
      <c r="E706" s="5">
        <v>59.2193735579</v>
      </c>
      <c r="F706" s="4">
        <v>435.0292570931458</v>
      </c>
      <c r="G706" s="1" t="s">
        <v>2440</v>
      </c>
      <c r="H706" s="95">
        <v>45331.0</v>
      </c>
      <c r="I706" s="95">
        <v>45339.0</v>
      </c>
      <c r="J706" s="4">
        <v>457.95560279128233</v>
      </c>
      <c r="K706" s="1"/>
      <c r="L706" s="1"/>
      <c r="M706" s="1" t="str">
        <f>VLOOKUP(B706,Bounties!A:D,3,FALSE)</f>
        <v>Operations</v>
      </c>
      <c r="N706" s="1" t="str">
        <f>VLOOKUP(B706,Bounties!A:D,4,FALSE)</f>
        <v>RPCs and Nodes</v>
      </c>
      <c r="O706" s="1" t="str">
        <f t="shared" ref="O706:P706" si="710">IF(ISBLANK(K706),M706,K706)</f>
        <v>Operations</v>
      </c>
      <c r="P706" s="1" t="str">
        <f t="shared" si="710"/>
        <v>RPCs and Nodes</v>
      </c>
      <c r="Q706" s="61" t="str">
        <f t="shared" si="3"/>
        <v>2024</v>
      </c>
      <c r="R706" s="62">
        <f t="shared" si="4"/>
        <v>2</v>
      </c>
      <c r="S706" s="61" t="str">
        <f t="shared" si="5"/>
        <v>2024-Q1</v>
      </c>
      <c r="T706" s="63" t="str">
        <f t="shared" si="6"/>
        <v>2024-02</v>
      </c>
      <c r="U706" s="64" t="str">
        <f t="shared" si="7"/>
        <v>2024-H1</v>
      </c>
      <c r="V706" s="9" t="str">
        <f>VLOOKUP(B706,Bounties!A:E,2,FALSE)</f>
        <v>System Parachains Collator Bounty</v>
      </c>
    </row>
    <row r="707" hidden="1">
      <c r="A707" s="67">
        <f>HYPERLINK("https://polkadot.subsquare.io/treasury/child-bounties/696", 696)</f>
        <v>696</v>
      </c>
      <c r="B707" s="1">
        <v>32.0</v>
      </c>
      <c r="C707" s="1" t="s">
        <v>2414</v>
      </c>
      <c r="D707" s="1" t="s">
        <v>321</v>
      </c>
      <c r="E707" s="5">
        <v>59.1292260909</v>
      </c>
      <c r="F707" s="4">
        <v>434.3670281089183</v>
      </c>
      <c r="G707" s="1" t="s">
        <v>2580</v>
      </c>
      <c r="H707" s="95">
        <v>45331.0</v>
      </c>
      <c r="I707" s="95">
        <v>45339.0</v>
      </c>
      <c r="J707" s="4">
        <v>457.2584738770474</v>
      </c>
      <c r="K707" s="1"/>
      <c r="L707" s="1"/>
      <c r="M707" s="1" t="str">
        <f>VLOOKUP(B707,Bounties!A:D,3,FALSE)</f>
        <v>Operations</v>
      </c>
      <c r="N707" s="1" t="str">
        <f>VLOOKUP(B707,Bounties!A:D,4,FALSE)</f>
        <v>RPCs and Nodes</v>
      </c>
      <c r="O707" s="1" t="str">
        <f t="shared" ref="O707:P707" si="711">IF(ISBLANK(K707),M707,K707)</f>
        <v>Operations</v>
      </c>
      <c r="P707" s="1" t="str">
        <f t="shared" si="711"/>
        <v>RPCs and Nodes</v>
      </c>
      <c r="Q707" s="61" t="str">
        <f t="shared" si="3"/>
        <v>2024</v>
      </c>
      <c r="R707" s="62">
        <f t="shared" si="4"/>
        <v>2</v>
      </c>
      <c r="S707" s="61" t="str">
        <f t="shared" si="5"/>
        <v>2024-Q1</v>
      </c>
      <c r="T707" s="63" t="str">
        <f t="shared" si="6"/>
        <v>2024-02</v>
      </c>
      <c r="U707" s="64" t="str">
        <f t="shared" si="7"/>
        <v>2024-H1</v>
      </c>
      <c r="V707" s="9" t="str">
        <f>VLOOKUP(B707,Bounties!A:E,2,FALSE)</f>
        <v>System Parachains Collator Bounty</v>
      </c>
    </row>
    <row r="708" hidden="1">
      <c r="A708" s="67">
        <f>HYPERLINK("https://polkadot.subsquare.io/treasury/child-bounties/695", 695)</f>
        <v>695</v>
      </c>
      <c r="B708" s="1">
        <v>32.0</v>
      </c>
      <c r="C708" s="1" t="s">
        <v>2414</v>
      </c>
      <c r="D708" s="1" t="s">
        <v>320</v>
      </c>
      <c r="E708" s="5">
        <v>59.2569350025</v>
      </c>
      <c r="F708" s="4">
        <v>435.3051858366964</v>
      </c>
      <c r="G708" s="1" t="s">
        <v>2465</v>
      </c>
      <c r="H708" s="95">
        <v>45331.0</v>
      </c>
      <c r="I708" s="95">
        <v>45339.0</v>
      </c>
      <c r="J708" s="4">
        <v>458.24607317234245</v>
      </c>
      <c r="K708" s="1"/>
      <c r="L708" s="1"/>
      <c r="M708" s="1" t="str">
        <f>VLOOKUP(B708,Bounties!A:D,3,FALSE)</f>
        <v>Operations</v>
      </c>
      <c r="N708" s="1" t="str">
        <f>VLOOKUP(B708,Bounties!A:D,4,FALSE)</f>
        <v>RPCs and Nodes</v>
      </c>
      <c r="O708" s="1" t="str">
        <f t="shared" ref="O708:P708" si="712">IF(ISBLANK(K708),M708,K708)</f>
        <v>Operations</v>
      </c>
      <c r="P708" s="1" t="str">
        <f t="shared" si="712"/>
        <v>RPCs and Nodes</v>
      </c>
      <c r="Q708" s="61" t="str">
        <f t="shared" si="3"/>
        <v>2024</v>
      </c>
      <c r="R708" s="62">
        <f t="shared" si="4"/>
        <v>2</v>
      </c>
      <c r="S708" s="61" t="str">
        <f t="shared" si="5"/>
        <v>2024-Q1</v>
      </c>
      <c r="T708" s="63" t="str">
        <f t="shared" si="6"/>
        <v>2024-02</v>
      </c>
      <c r="U708" s="64" t="str">
        <f t="shared" si="7"/>
        <v>2024-H1</v>
      </c>
      <c r="V708" s="9" t="str">
        <f>VLOOKUP(B708,Bounties!A:E,2,FALSE)</f>
        <v>System Parachains Collator Bounty</v>
      </c>
    </row>
    <row r="709" hidden="1">
      <c r="A709" s="67">
        <f>HYPERLINK("https://polkadot.subsquare.io/treasury/child-bounties/694", 694)</f>
        <v>694</v>
      </c>
      <c r="B709" s="1">
        <v>32.0</v>
      </c>
      <c r="C709" s="1" t="s">
        <v>2414</v>
      </c>
      <c r="D709" s="1" t="s">
        <v>319</v>
      </c>
      <c r="E709" s="5">
        <v>59.3621070474</v>
      </c>
      <c r="F709" s="4">
        <v>436.07778631878494</v>
      </c>
      <c r="G709" s="1" t="s">
        <v>2442</v>
      </c>
      <c r="H709" s="95">
        <v>45331.0</v>
      </c>
      <c r="I709" s="95">
        <v>45339.0</v>
      </c>
      <c r="J709" s="4">
        <v>459.0593902394654</v>
      </c>
      <c r="K709" s="1"/>
      <c r="L709" s="1"/>
      <c r="M709" s="1" t="str">
        <f>VLOOKUP(B709,Bounties!A:D,3,FALSE)</f>
        <v>Operations</v>
      </c>
      <c r="N709" s="1" t="str">
        <f>VLOOKUP(B709,Bounties!A:D,4,FALSE)</f>
        <v>RPCs and Nodes</v>
      </c>
      <c r="O709" s="1" t="str">
        <f t="shared" ref="O709:P709" si="713">IF(ISBLANK(K709),M709,K709)</f>
        <v>Operations</v>
      </c>
      <c r="P709" s="1" t="str">
        <f t="shared" si="713"/>
        <v>RPCs and Nodes</v>
      </c>
      <c r="Q709" s="61" t="str">
        <f t="shared" si="3"/>
        <v>2024</v>
      </c>
      <c r="R709" s="62">
        <f t="shared" si="4"/>
        <v>2</v>
      </c>
      <c r="S709" s="61" t="str">
        <f t="shared" si="5"/>
        <v>2024-Q1</v>
      </c>
      <c r="T709" s="63" t="str">
        <f t="shared" si="6"/>
        <v>2024-02</v>
      </c>
      <c r="U709" s="64" t="str">
        <f t="shared" si="7"/>
        <v>2024-H1</v>
      </c>
      <c r="V709" s="9" t="str">
        <f>VLOOKUP(B709,Bounties!A:E,2,FALSE)</f>
        <v>System Parachains Collator Bounty</v>
      </c>
    </row>
    <row r="710" hidden="1">
      <c r="A710" s="67">
        <f>HYPERLINK("https://polkadot.subsquare.io/treasury/child-bounties/693", 693)</f>
        <v>693</v>
      </c>
      <c r="B710" s="1">
        <v>32.0</v>
      </c>
      <c r="C710" s="1" t="s">
        <v>2414</v>
      </c>
      <c r="D710" s="1" t="s">
        <v>318</v>
      </c>
      <c r="E710" s="5">
        <v>59.1968366912</v>
      </c>
      <c r="F710" s="4">
        <v>434.86369984745625</v>
      </c>
      <c r="G710" s="1" t="s">
        <v>2441</v>
      </c>
      <c r="H710" s="95">
        <v>45331.0</v>
      </c>
      <c r="I710" s="95">
        <v>45339.0</v>
      </c>
      <c r="J710" s="4">
        <v>457.7813205631102</v>
      </c>
      <c r="K710" s="1"/>
      <c r="L710" s="1"/>
      <c r="M710" s="1" t="str">
        <f>VLOOKUP(B710,Bounties!A:D,3,FALSE)</f>
        <v>Operations</v>
      </c>
      <c r="N710" s="1" t="str">
        <f>VLOOKUP(B710,Bounties!A:D,4,FALSE)</f>
        <v>RPCs and Nodes</v>
      </c>
      <c r="O710" s="1" t="str">
        <f t="shared" ref="O710:P710" si="714">IF(ISBLANK(K710),M710,K710)</f>
        <v>Operations</v>
      </c>
      <c r="P710" s="1" t="str">
        <f t="shared" si="714"/>
        <v>RPCs and Nodes</v>
      </c>
      <c r="Q710" s="61" t="str">
        <f t="shared" si="3"/>
        <v>2024</v>
      </c>
      <c r="R710" s="62">
        <f t="shared" si="4"/>
        <v>2</v>
      </c>
      <c r="S710" s="61" t="str">
        <f t="shared" si="5"/>
        <v>2024-Q1</v>
      </c>
      <c r="T710" s="63" t="str">
        <f t="shared" si="6"/>
        <v>2024-02</v>
      </c>
      <c r="U710" s="64" t="str">
        <f t="shared" si="7"/>
        <v>2024-H1</v>
      </c>
      <c r="V710" s="9" t="str">
        <f>VLOOKUP(B710,Bounties!A:E,2,FALSE)</f>
        <v>System Parachains Collator Bounty</v>
      </c>
    </row>
    <row r="711" hidden="1">
      <c r="A711" s="67">
        <f>HYPERLINK("https://polkadot.subsquare.io/treasury/child-bounties/692", 692)</f>
        <v>692</v>
      </c>
      <c r="B711" s="1">
        <v>32.0</v>
      </c>
      <c r="C711" s="1" t="s">
        <v>2414</v>
      </c>
      <c r="D711" s="1" t="s">
        <v>317</v>
      </c>
      <c r="E711" s="5">
        <v>43.9903885046</v>
      </c>
      <c r="F711" s="4">
        <v>323.15617137834556</v>
      </c>
      <c r="G711" s="1" t="s">
        <v>2581</v>
      </c>
      <c r="H711" s="95">
        <v>45331.0</v>
      </c>
      <c r="I711" s="95">
        <v>45339.0</v>
      </c>
      <c r="J711" s="4">
        <v>340.1867273207471</v>
      </c>
      <c r="K711" s="1"/>
      <c r="L711" s="1"/>
      <c r="M711" s="1" t="str">
        <f>VLOOKUP(B711,Bounties!A:D,3,FALSE)</f>
        <v>Operations</v>
      </c>
      <c r="N711" s="1" t="str">
        <f>VLOOKUP(B711,Bounties!A:D,4,FALSE)</f>
        <v>RPCs and Nodes</v>
      </c>
      <c r="O711" s="1" t="str">
        <f t="shared" ref="O711:P711" si="715">IF(ISBLANK(K711),M711,K711)</f>
        <v>Operations</v>
      </c>
      <c r="P711" s="1" t="str">
        <f t="shared" si="715"/>
        <v>RPCs and Nodes</v>
      </c>
      <c r="Q711" s="61" t="str">
        <f t="shared" si="3"/>
        <v>2024</v>
      </c>
      <c r="R711" s="62">
        <f t="shared" si="4"/>
        <v>2</v>
      </c>
      <c r="S711" s="61" t="str">
        <f t="shared" si="5"/>
        <v>2024-Q1</v>
      </c>
      <c r="T711" s="63" t="str">
        <f t="shared" si="6"/>
        <v>2024-02</v>
      </c>
      <c r="U711" s="64" t="str">
        <f t="shared" si="7"/>
        <v>2024-H1</v>
      </c>
      <c r="V711" s="9" t="str">
        <f>VLOOKUP(B711,Bounties!A:E,2,FALSE)</f>
        <v>System Parachains Collator Bounty</v>
      </c>
    </row>
    <row r="712" hidden="1">
      <c r="A712" s="67">
        <f>HYPERLINK("https://polkadot.subsquare.io/treasury/child-bounties/691", 691)</f>
        <v>691</v>
      </c>
      <c r="B712" s="1">
        <v>32.0</v>
      </c>
      <c r="C712" s="1" t="s">
        <v>2414</v>
      </c>
      <c r="D712" s="1" t="s">
        <v>316</v>
      </c>
      <c r="E712" s="5">
        <v>44.0405994743</v>
      </c>
      <c r="F712" s="4">
        <v>323.52502433193456</v>
      </c>
      <c r="G712" s="1" t="s">
        <v>2444</v>
      </c>
      <c r="H712" s="95">
        <v>45331.0</v>
      </c>
      <c r="I712" s="95">
        <v>45339.0</v>
      </c>
      <c r="J712" s="4">
        <v>340.5750190826182</v>
      </c>
      <c r="K712" s="1"/>
      <c r="L712" s="1"/>
      <c r="M712" s="1" t="str">
        <f>VLOOKUP(B712,Bounties!A:D,3,FALSE)</f>
        <v>Operations</v>
      </c>
      <c r="N712" s="1" t="str">
        <f>VLOOKUP(B712,Bounties!A:D,4,FALSE)</f>
        <v>RPCs and Nodes</v>
      </c>
      <c r="O712" s="1" t="str">
        <f t="shared" ref="O712:P712" si="716">IF(ISBLANK(K712),M712,K712)</f>
        <v>Operations</v>
      </c>
      <c r="P712" s="1" t="str">
        <f t="shared" si="716"/>
        <v>RPCs and Nodes</v>
      </c>
      <c r="Q712" s="61" t="str">
        <f t="shared" si="3"/>
        <v>2024</v>
      </c>
      <c r="R712" s="62">
        <f t="shared" si="4"/>
        <v>2</v>
      </c>
      <c r="S712" s="61" t="str">
        <f t="shared" si="5"/>
        <v>2024-Q1</v>
      </c>
      <c r="T712" s="63" t="str">
        <f t="shared" si="6"/>
        <v>2024-02</v>
      </c>
      <c r="U712" s="64" t="str">
        <f t="shared" si="7"/>
        <v>2024-H1</v>
      </c>
      <c r="V712" s="9" t="str">
        <f>VLOOKUP(B712,Bounties!A:E,2,FALSE)</f>
        <v>System Parachains Collator Bounty</v>
      </c>
    </row>
    <row r="713" hidden="1">
      <c r="A713" s="67">
        <f>HYPERLINK("https://polkadot.subsquare.io/treasury/child-bounties/690", 690)</f>
        <v>690</v>
      </c>
      <c r="B713" s="1">
        <v>32.0</v>
      </c>
      <c r="C713" s="1" t="s">
        <v>2414</v>
      </c>
      <c r="D713" s="1" t="s">
        <v>315</v>
      </c>
      <c r="E713" s="5">
        <v>44.0573364643</v>
      </c>
      <c r="F713" s="4">
        <v>323.64797531719876</v>
      </c>
      <c r="G713" s="1" t="s">
        <v>2582</v>
      </c>
      <c r="H713" s="95">
        <v>45331.0</v>
      </c>
      <c r="I713" s="95">
        <v>45339.0</v>
      </c>
      <c r="J713" s="4">
        <v>340.70444967068187</v>
      </c>
      <c r="K713" s="1"/>
      <c r="L713" s="1"/>
      <c r="M713" s="1" t="str">
        <f>VLOOKUP(B713,Bounties!A:D,3,FALSE)</f>
        <v>Operations</v>
      </c>
      <c r="N713" s="1" t="str">
        <f>VLOOKUP(B713,Bounties!A:D,4,FALSE)</f>
        <v>RPCs and Nodes</v>
      </c>
      <c r="O713" s="1" t="str">
        <f t="shared" ref="O713:P713" si="717">IF(ISBLANK(K713),M713,K713)</f>
        <v>Operations</v>
      </c>
      <c r="P713" s="1" t="str">
        <f t="shared" si="717"/>
        <v>RPCs and Nodes</v>
      </c>
      <c r="Q713" s="61" t="str">
        <f t="shared" si="3"/>
        <v>2024</v>
      </c>
      <c r="R713" s="62">
        <f t="shared" si="4"/>
        <v>2</v>
      </c>
      <c r="S713" s="61" t="str">
        <f t="shared" si="5"/>
        <v>2024-Q1</v>
      </c>
      <c r="T713" s="63" t="str">
        <f t="shared" si="6"/>
        <v>2024-02</v>
      </c>
      <c r="U713" s="64" t="str">
        <f t="shared" si="7"/>
        <v>2024-H1</v>
      </c>
      <c r="V713" s="9" t="str">
        <f>VLOOKUP(B713,Bounties!A:E,2,FALSE)</f>
        <v>System Parachains Collator Bounty</v>
      </c>
    </row>
    <row r="714" hidden="1">
      <c r="A714" s="67">
        <f>HYPERLINK("https://polkadot.subsquare.io/treasury/child-bounties/689", 689)</f>
        <v>689</v>
      </c>
      <c r="B714" s="1">
        <v>32.0</v>
      </c>
      <c r="C714" s="1" t="s">
        <v>2414</v>
      </c>
      <c r="D714" s="1" t="s">
        <v>314</v>
      </c>
      <c r="E714" s="5">
        <v>44.0071254945</v>
      </c>
      <c r="F714" s="4">
        <v>323.2791223628753</v>
      </c>
      <c r="G714" s="1" t="s">
        <v>2445</v>
      </c>
      <c r="H714" s="95">
        <v>45331.0</v>
      </c>
      <c r="I714" s="95">
        <v>45339.0</v>
      </c>
      <c r="J714" s="4">
        <v>340.3161579080375</v>
      </c>
      <c r="K714" s="1"/>
      <c r="L714" s="1"/>
      <c r="M714" s="1" t="str">
        <f>VLOOKUP(B714,Bounties!A:D,3,FALSE)</f>
        <v>Operations</v>
      </c>
      <c r="N714" s="1" t="str">
        <f>VLOOKUP(B714,Bounties!A:D,4,FALSE)</f>
        <v>RPCs and Nodes</v>
      </c>
      <c r="O714" s="1" t="str">
        <f t="shared" ref="O714:P714" si="718">IF(ISBLANK(K714),M714,K714)</f>
        <v>Operations</v>
      </c>
      <c r="P714" s="1" t="str">
        <f t="shared" si="718"/>
        <v>RPCs and Nodes</v>
      </c>
      <c r="Q714" s="61" t="str">
        <f t="shared" si="3"/>
        <v>2024</v>
      </c>
      <c r="R714" s="62">
        <f t="shared" si="4"/>
        <v>2</v>
      </c>
      <c r="S714" s="61" t="str">
        <f t="shared" si="5"/>
        <v>2024-Q1</v>
      </c>
      <c r="T714" s="63" t="str">
        <f t="shared" si="6"/>
        <v>2024-02</v>
      </c>
      <c r="U714" s="64" t="str">
        <f t="shared" si="7"/>
        <v>2024-H1</v>
      </c>
      <c r="V714" s="9" t="str">
        <f>VLOOKUP(B714,Bounties!A:E,2,FALSE)</f>
        <v>System Parachains Collator Bounty</v>
      </c>
    </row>
    <row r="715" hidden="1">
      <c r="A715" s="67">
        <f>HYPERLINK("https://polkadot.subsquare.io/treasury/child-bounties/688", 688)</f>
        <v>688</v>
      </c>
      <c r="B715" s="1">
        <v>32.0</v>
      </c>
      <c r="C715" s="1" t="s">
        <v>2414</v>
      </c>
      <c r="D715" s="1" t="s">
        <v>313</v>
      </c>
      <c r="E715" s="5">
        <v>43.9206510466</v>
      </c>
      <c r="F715" s="4">
        <v>322.6438756088599</v>
      </c>
      <c r="G715" s="1" t="s">
        <v>2578</v>
      </c>
      <c r="H715" s="95">
        <v>45331.0</v>
      </c>
      <c r="I715" s="95">
        <v>45339.0</v>
      </c>
      <c r="J715" s="4">
        <v>339.64743320639286</v>
      </c>
      <c r="K715" s="1"/>
      <c r="L715" s="1"/>
      <c r="M715" s="1" t="str">
        <f>VLOOKUP(B715,Bounties!A:D,3,FALSE)</f>
        <v>Operations</v>
      </c>
      <c r="N715" s="1" t="str">
        <f>VLOOKUP(B715,Bounties!A:D,4,FALSE)</f>
        <v>RPCs and Nodes</v>
      </c>
      <c r="O715" s="1" t="str">
        <f t="shared" ref="O715:P715" si="719">IF(ISBLANK(K715),M715,K715)</f>
        <v>Operations</v>
      </c>
      <c r="P715" s="1" t="str">
        <f t="shared" si="719"/>
        <v>RPCs and Nodes</v>
      </c>
      <c r="Q715" s="61" t="str">
        <f t="shared" si="3"/>
        <v>2024</v>
      </c>
      <c r="R715" s="62">
        <f t="shared" si="4"/>
        <v>2</v>
      </c>
      <c r="S715" s="61" t="str">
        <f t="shared" si="5"/>
        <v>2024-Q1</v>
      </c>
      <c r="T715" s="63" t="str">
        <f t="shared" si="6"/>
        <v>2024-02</v>
      </c>
      <c r="U715" s="64" t="str">
        <f t="shared" si="7"/>
        <v>2024-H1</v>
      </c>
      <c r="V715" s="9" t="str">
        <f>VLOOKUP(B715,Bounties!A:E,2,FALSE)</f>
        <v>System Parachains Collator Bounty</v>
      </c>
    </row>
    <row r="716" hidden="1">
      <c r="A716" s="67">
        <f>HYPERLINK("https://polkadot.subsquare.io/treasury/child-bounties/687", 687)</f>
        <v>687</v>
      </c>
      <c r="B716" s="1">
        <v>32.0</v>
      </c>
      <c r="C716" s="1" t="s">
        <v>2414</v>
      </c>
      <c r="D716" s="1" t="s">
        <v>296</v>
      </c>
      <c r="E716" s="5">
        <v>3.6737692873</v>
      </c>
      <c r="F716" s="4">
        <v>26.987741135477304</v>
      </c>
      <c r="G716" s="1" t="s">
        <v>2619</v>
      </c>
      <c r="H716" s="95">
        <v>45331.0</v>
      </c>
      <c r="I716" s="95">
        <v>45339.0</v>
      </c>
      <c r="J716" s="4">
        <v>28.41001394309974</v>
      </c>
      <c r="K716" s="1"/>
      <c r="L716" s="1"/>
      <c r="M716" s="1" t="str">
        <f>VLOOKUP(B716,Bounties!A:D,3,FALSE)</f>
        <v>Operations</v>
      </c>
      <c r="N716" s="1" t="str">
        <f>VLOOKUP(B716,Bounties!A:D,4,FALSE)</f>
        <v>RPCs and Nodes</v>
      </c>
      <c r="O716" s="1" t="str">
        <f t="shared" ref="O716:P716" si="720">IF(ISBLANK(K716),M716,K716)</f>
        <v>Operations</v>
      </c>
      <c r="P716" s="1" t="str">
        <f t="shared" si="720"/>
        <v>RPCs and Nodes</v>
      </c>
      <c r="Q716" s="61" t="str">
        <f t="shared" si="3"/>
        <v>2024</v>
      </c>
      <c r="R716" s="62">
        <f t="shared" si="4"/>
        <v>2</v>
      </c>
      <c r="S716" s="61" t="str">
        <f t="shared" si="5"/>
        <v>2024-Q1</v>
      </c>
      <c r="T716" s="63" t="str">
        <f t="shared" si="6"/>
        <v>2024-02</v>
      </c>
      <c r="U716" s="64" t="str">
        <f t="shared" si="7"/>
        <v>2024-H1</v>
      </c>
      <c r="V716" s="9" t="str">
        <f>VLOOKUP(B716,Bounties!A:E,2,FALSE)</f>
        <v>System Parachains Collator Bounty</v>
      </c>
    </row>
    <row r="717" hidden="1">
      <c r="A717" s="67">
        <f>HYPERLINK("https://polkadot.subsquare.io/treasury/child-bounties/686", 686)</f>
        <v>686</v>
      </c>
      <c r="B717" s="1">
        <v>32.0</v>
      </c>
      <c r="C717" s="1" t="s">
        <v>2414</v>
      </c>
      <c r="D717" s="1" t="s">
        <v>312</v>
      </c>
      <c r="E717" s="5">
        <v>10.6387804937</v>
      </c>
      <c r="F717" s="4">
        <v>78.15315320798345</v>
      </c>
      <c r="G717" s="1" t="s">
        <v>2437</v>
      </c>
      <c r="H717" s="95">
        <v>45331.0</v>
      </c>
      <c r="I717" s="95">
        <v>45339.0</v>
      </c>
      <c r="J717" s="4">
        <v>82.27187896867869</v>
      </c>
      <c r="K717" s="1"/>
      <c r="L717" s="1"/>
      <c r="M717" s="1" t="str">
        <f>VLOOKUP(B717,Bounties!A:D,3,FALSE)</f>
        <v>Operations</v>
      </c>
      <c r="N717" s="1" t="str">
        <f>VLOOKUP(B717,Bounties!A:D,4,FALSE)</f>
        <v>RPCs and Nodes</v>
      </c>
      <c r="O717" s="1" t="str">
        <f t="shared" ref="O717:P717" si="721">IF(ISBLANK(K717),M717,K717)</f>
        <v>Operations</v>
      </c>
      <c r="P717" s="1" t="str">
        <f t="shared" si="721"/>
        <v>RPCs and Nodes</v>
      </c>
      <c r="Q717" s="61" t="str">
        <f t="shared" si="3"/>
        <v>2024</v>
      </c>
      <c r="R717" s="62">
        <f t="shared" si="4"/>
        <v>2</v>
      </c>
      <c r="S717" s="61" t="str">
        <f t="shared" si="5"/>
        <v>2024-Q1</v>
      </c>
      <c r="T717" s="63" t="str">
        <f t="shared" si="6"/>
        <v>2024-02</v>
      </c>
      <c r="U717" s="64" t="str">
        <f t="shared" si="7"/>
        <v>2024-H1</v>
      </c>
      <c r="V717" s="9" t="str">
        <f>VLOOKUP(B717,Bounties!A:E,2,FALSE)</f>
        <v>System Parachains Collator Bounty</v>
      </c>
    </row>
    <row r="718" hidden="1">
      <c r="A718" s="67">
        <f>HYPERLINK("https://polkadot.subsquare.io/treasury/child-bounties/685", 685)</f>
        <v>685</v>
      </c>
      <c r="B718" s="1">
        <v>32.0</v>
      </c>
      <c r="C718" s="1" t="s">
        <v>2414</v>
      </c>
      <c r="D718" s="1" t="s">
        <v>311</v>
      </c>
      <c r="E718" s="5">
        <v>10.6387804937</v>
      </c>
      <c r="F718" s="4">
        <v>78.15315320798345</v>
      </c>
      <c r="G718" s="1" t="s">
        <v>2463</v>
      </c>
      <c r="H718" s="95">
        <v>45331.0</v>
      </c>
      <c r="I718" s="95">
        <v>45339.0</v>
      </c>
      <c r="J718" s="4">
        <v>82.27187896867869</v>
      </c>
      <c r="K718" s="1"/>
      <c r="L718" s="1"/>
      <c r="M718" s="1" t="str">
        <f>VLOOKUP(B718,Bounties!A:D,3,FALSE)</f>
        <v>Operations</v>
      </c>
      <c r="N718" s="1" t="str">
        <f>VLOOKUP(B718,Bounties!A:D,4,FALSE)</f>
        <v>RPCs and Nodes</v>
      </c>
      <c r="O718" s="1" t="str">
        <f t="shared" ref="O718:P718" si="722">IF(ISBLANK(K718),M718,K718)</f>
        <v>Operations</v>
      </c>
      <c r="P718" s="1" t="str">
        <f t="shared" si="722"/>
        <v>RPCs and Nodes</v>
      </c>
      <c r="Q718" s="61" t="str">
        <f t="shared" si="3"/>
        <v>2024</v>
      </c>
      <c r="R718" s="62">
        <f t="shared" si="4"/>
        <v>2</v>
      </c>
      <c r="S718" s="61" t="str">
        <f t="shared" si="5"/>
        <v>2024-Q1</v>
      </c>
      <c r="T718" s="63" t="str">
        <f t="shared" si="6"/>
        <v>2024-02</v>
      </c>
      <c r="U718" s="64" t="str">
        <f t="shared" si="7"/>
        <v>2024-H1</v>
      </c>
      <c r="V718" s="9" t="str">
        <f>VLOOKUP(B718,Bounties!A:E,2,FALSE)</f>
        <v>System Parachains Collator Bounty</v>
      </c>
    </row>
    <row r="719" hidden="1">
      <c r="A719" s="67">
        <f>HYPERLINK("https://polkadot.subsquare.io/treasury/child-bounties/684", 684)</f>
        <v>684</v>
      </c>
      <c r="B719" s="1">
        <v>32.0</v>
      </c>
      <c r="C719" s="1" t="s">
        <v>2414</v>
      </c>
      <c r="D719" s="1" t="s">
        <v>310</v>
      </c>
      <c r="E719" s="5">
        <v>10.6387804937</v>
      </c>
      <c r="F719" s="4">
        <v>78.15315320798345</v>
      </c>
      <c r="G719" s="1" t="s">
        <v>2438</v>
      </c>
      <c r="H719" s="95">
        <v>45331.0</v>
      </c>
      <c r="I719" s="95">
        <v>45339.0</v>
      </c>
      <c r="J719" s="4">
        <v>82.27187896867869</v>
      </c>
      <c r="K719" s="1"/>
      <c r="L719" s="1"/>
      <c r="M719" s="1" t="str">
        <f>VLOOKUP(B719,Bounties!A:D,3,FALSE)</f>
        <v>Operations</v>
      </c>
      <c r="N719" s="1" t="str">
        <f>VLOOKUP(B719,Bounties!A:D,4,FALSE)</f>
        <v>RPCs and Nodes</v>
      </c>
      <c r="O719" s="1" t="str">
        <f t="shared" ref="O719:P719" si="723">IF(ISBLANK(K719),M719,K719)</f>
        <v>Operations</v>
      </c>
      <c r="P719" s="1" t="str">
        <f t="shared" si="723"/>
        <v>RPCs and Nodes</v>
      </c>
      <c r="Q719" s="61" t="str">
        <f t="shared" si="3"/>
        <v>2024</v>
      </c>
      <c r="R719" s="62">
        <f t="shared" si="4"/>
        <v>2</v>
      </c>
      <c r="S719" s="61" t="str">
        <f t="shared" si="5"/>
        <v>2024-Q1</v>
      </c>
      <c r="T719" s="63" t="str">
        <f t="shared" si="6"/>
        <v>2024-02</v>
      </c>
      <c r="U719" s="64" t="str">
        <f t="shared" si="7"/>
        <v>2024-H1</v>
      </c>
      <c r="V719" s="9" t="str">
        <f>VLOOKUP(B719,Bounties!A:E,2,FALSE)</f>
        <v>System Parachains Collator Bounty</v>
      </c>
    </row>
    <row r="720" hidden="1">
      <c r="A720" s="67">
        <f>HYPERLINK("https://polkadot.subsquare.io/treasury/child-bounties/683", 683)</f>
        <v>683</v>
      </c>
      <c r="B720" s="1">
        <v>32.0</v>
      </c>
      <c r="C720" s="1" t="s">
        <v>2414</v>
      </c>
      <c r="D720" s="1" t="s">
        <v>309</v>
      </c>
      <c r="E720" s="5">
        <v>44.0852314475</v>
      </c>
      <c r="F720" s="4">
        <v>323.85289362499304</v>
      </c>
      <c r="G720" s="1" t="s">
        <v>2441</v>
      </c>
      <c r="H720" s="95">
        <v>45331.0</v>
      </c>
      <c r="I720" s="95">
        <v>45339.0</v>
      </c>
      <c r="J720" s="4">
        <v>340.9201673164236</v>
      </c>
      <c r="K720" s="1"/>
      <c r="L720" s="1"/>
      <c r="M720" s="1" t="str">
        <f>VLOOKUP(B720,Bounties!A:D,3,FALSE)</f>
        <v>Operations</v>
      </c>
      <c r="N720" s="1" t="str">
        <f>VLOOKUP(B720,Bounties!A:D,4,FALSE)</f>
        <v>RPCs and Nodes</v>
      </c>
      <c r="O720" s="1" t="str">
        <f t="shared" ref="O720:P720" si="724">IF(ISBLANK(K720),M720,K720)</f>
        <v>Operations</v>
      </c>
      <c r="P720" s="1" t="str">
        <f t="shared" si="724"/>
        <v>RPCs and Nodes</v>
      </c>
      <c r="Q720" s="61" t="str">
        <f t="shared" si="3"/>
        <v>2024</v>
      </c>
      <c r="R720" s="62">
        <f t="shared" si="4"/>
        <v>2</v>
      </c>
      <c r="S720" s="61" t="str">
        <f t="shared" si="5"/>
        <v>2024-Q1</v>
      </c>
      <c r="T720" s="63" t="str">
        <f t="shared" si="6"/>
        <v>2024-02</v>
      </c>
      <c r="U720" s="64" t="str">
        <f t="shared" si="7"/>
        <v>2024-H1</v>
      </c>
      <c r="V720" s="9" t="str">
        <f>VLOOKUP(B720,Bounties!A:E,2,FALSE)</f>
        <v>System Parachains Collator Bounty</v>
      </c>
    </row>
    <row r="721" hidden="1">
      <c r="A721" s="67">
        <f>HYPERLINK("https://polkadot.subsquare.io/treasury/child-bounties/682", 682)</f>
        <v>682</v>
      </c>
      <c r="B721" s="1">
        <v>32.0</v>
      </c>
      <c r="C721" s="1" t="s">
        <v>2414</v>
      </c>
      <c r="D721" s="1" t="s">
        <v>308</v>
      </c>
      <c r="E721" s="5">
        <v>43.9916946446</v>
      </c>
      <c r="F721" s="4">
        <v>323.16576636525144</v>
      </c>
      <c r="G721" s="1" t="s">
        <v>2469</v>
      </c>
      <c r="H721" s="95">
        <v>45331.0</v>
      </c>
      <c r="I721" s="95">
        <v>45339.0</v>
      </c>
      <c r="J721" s="4">
        <v>340.1968279701646</v>
      </c>
      <c r="K721" s="1"/>
      <c r="L721" s="1"/>
      <c r="M721" s="1" t="str">
        <f>VLOOKUP(B721,Bounties!A:D,3,FALSE)</f>
        <v>Operations</v>
      </c>
      <c r="N721" s="1" t="str">
        <f>VLOOKUP(B721,Bounties!A:D,4,FALSE)</f>
        <v>RPCs and Nodes</v>
      </c>
      <c r="O721" s="1" t="str">
        <f t="shared" ref="O721:P721" si="725">IF(ISBLANK(K721),M721,K721)</f>
        <v>Operations</v>
      </c>
      <c r="P721" s="1" t="str">
        <f t="shared" si="725"/>
        <v>RPCs and Nodes</v>
      </c>
      <c r="Q721" s="61" t="str">
        <f t="shared" si="3"/>
        <v>2024</v>
      </c>
      <c r="R721" s="62">
        <f t="shared" si="4"/>
        <v>2</v>
      </c>
      <c r="S721" s="61" t="str">
        <f t="shared" si="5"/>
        <v>2024-Q1</v>
      </c>
      <c r="T721" s="63" t="str">
        <f t="shared" si="6"/>
        <v>2024-02</v>
      </c>
      <c r="U721" s="64" t="str">
        <f t="shared" si="7"/>
        <v>2024-H1</v>
      </c>
      <c r="V721" s="9" t="str">
        <f>VLOOKUP(B721,Bounties!A:E,2,FALSE)</f>
        <v>System Parachains Collator Bounty</v>
      </c>
    </row>
    <row r="722" hidden="1">
      <c r="A722" s="67">
        <f>HYPERLINK("https://polkadot.subsquare.io/treasury/child-bounties/681", 681)</f>
        <v>681</v>
      </c>
      <c r="B722" s="1">
        <v>32.0</v>
      </c>
      <c r="C722" s="1" t="s">
        <v>2414</v>
      </c>
      <c r="D722" s="1" t="s">
        <v>307</v>
      </c>
      <c r="E722" s="5">
        <v>43.9836772043</v>
      </c>
      <c r="F722" s="4">
        <v>323.10686974261006</v>
      </c>
      <c r="G722" s="1" t="s">
        <v>2471</v>
      </c>
      <c r="H722" s="95">
        <v>45331.0</v>
      </c>
      <c r="I722" s="95">
        <v>45339.0</v>
      </c>
      <c r="J722" s="4">
        <v>340.13482745437324</v>
      </c>
      <c r="K722" s="1"/>
      <c r="L722" s="1"/>
      <c r="M722" s="1" t="str">
        <f>VLOOKUP(B722,Bounties!A:D,3,FALSE)</f>
        <v>Operations</v>
      </c>
      <c r="N722" s="1" t="str">
        <f>VLOOKUP(B722,Bounties!A:D,4,FALSE)</f>
        <v>RPCs and Nodes</v>
      </c>
      <c r="O722" s="1" t="str">
        <f t="shared" ref="O722:P722" si="726">IF(ISBLANK(K722),M722,K722)</f>
        <v>Operations</v>
      </c>
      <c r="P722" s="1" t="str">
        <f t="shared" si="726"/>
        <v>RPCs and Nodes</v>
      </c>
      <c r="Q722" s="61" t="str">
        <f t="shared" si="3"/>
        <v>2024</v>
      </c>
      <c r="R722" s="62">
        <f t="shared" si="4"/>
        <v>2</v>
      </c>
      <c r="S722" s="61" t="str">
        <f t="shared" si="5"/>
        <v>2024-Q1</v>
      </c>
      <c r="T722" s="63" t="str">
        <f t="shared" si="6"/>
        <v>2024-02</v>
      </c>
      <c r="U722" s="64" t="str">
        <f t="shared" si="7"/>
        <v>2024-H1</v>
      </c>
      <c r="V722" s="9" t="str">
        <f>VLOOKUP(B722,Bounties!A:E,2,FALSE)</f>
        <v>System Parachains Collator Bounty</v>
      </c>
    </row>
    <row r="723" hidden="1">
      <c r="A723" s="67">
        <f>HYPERLINK("https://polkadot.subsquare.io/treasury/child-bounties/680", 680)</f>
        <v>680</v>
      </c>
      <c r="B723" s="1">
        <v>32.0</v>
      </c>
      <c r="C723" s="1" t="s">
        <v>2414</v>
      </c>
      <c r="D723" s="1" t="s">
        <v>306</v>
      </c>
      <c r="E723" s="5">
        <v>44.0237644056</v>
      </c>
      <c r="F723" s="4">
        <v>323.40135285434764</v>
      </c>
      <c r="G723" s="1" t="s">
        <v>2442</v>
      </c>
      <c r="H723" s="95">
        <v>45331.0</v>
      </c>
      <c r="I723" s="95">
        <v>45339.0</v>
      </c>
      <c r="J723" s="4">
        <v>340.4448300317833</v>
      </c>
      <c r="K723" s="1"/>
      <c r="L723" s="1"/>
      <c r="M723" s="1" t="str">
        <f>VLOOKUP(B723,Bounties!A:D,3,FALSE)</f>
        <v>Operations</v>
      </c>
      <c r="N723" s="1" t="str">
        <f>VLOOKUP(B723,Bounties!A:D,4,FALSE)</f>
        <v>RPCs and Nodes</v>
      </c>
      <c r="O723" s="1" t="str">
        <f t="shared" ref="O723:P723" si="727">IF(ISBLANK(K723),M723,K723)</f>
        <v>Operations</v>
      </c>
      <c r="P723" s="1" t="str">
        <f t="shared" si="727"/>
        <v>RPCs and Nodes</v>
      </c>
      <c r="Q723" s="61" t="str">
        <f t="shared" si="3"/>
        <v>2024</v>
      </c>
      <c r="R723" s="62">
        <f t="shared" si="4"/>
        <v>2</v>
      </c>
      <c r="S723" s="61" t="str">
        <f t="shared" si="5"/>
        <v>2024-Q1</v>
      </c>
      <c r="T723" s="63" t="str">
        <f t="shared" si="6"/>
        <v>2024-02</v>
      </c>
      <c r="U723" s="64" t="str">
        <f t="shared" si="7"/>
        <v>2024-H1</v>
      </c>
      <c r="V723" s="9" t="str">
        <f>VLOOKUP(B723,Bounties!A:E,2,FALSE)</f>
        <v>System Parachains Collator Bounty</v>
      </c>
    </row>
    <row r="724" hidden="1">
      <c r="A724" s="67">
        <f>HYPERLINK("https://polkadot.subsquare.io/treasury/child-bounties/679", 679)</f>
        <v>679</v>
      </c>
      <c r="B724" s="1">
        <v>32.0</v>
      </c>
      <c r="C724" s="1" t="s">
        <v>2414</v>
      </c>
      <c r="D724" s="1" t="s">
        <v>305</v>
      </c>
      <c r="E724" s="5">
        <v>59.1713825279</v>
      </c>
      <c r="F724" s="4">
        <v>434.67671195675354</v>
      </c>
      <c r="G724" s="1" t="s">
        <v>2546</v>
      </c>
      <c r="H724" s="95">
        <v>45331.0</v>
      </c>
      <c r="I724" s="95">
        <v>45339.0</v>
      </c>
      <c r="J724" s="4">
        <v>457.58447827996446</v>
      </c>
      <c r="K724" s="1"/>
      <c r="L724" s="1"/>
      <c r="M724" s="1" t="str">
        <f>VLOOKUP(B724,Bounties!A:D,3,FALSE)</f>
        <v>Operations</v>
      </c>
      <c r="N724" s="1" t="str">
        <f>VLOOKUP(B724,Bounties!A:D,4,FALSE)</f>
        <v>RPCs and Nodes</v>
      </c>
      <c r="O724" s="1" t="str">
        <f t="shared" ref="O724:P724" si="728">IF(ISBLANK(K724),M724,K724)</f>
        <v>Operations</v>
      </c>
      <c r="P724" s="1" t="str">
        <f t="shared" si="728"/>
        <v>RPCs and Nodes</v>
      </c>
      <c r="Q724" s="61" t="str">
        <f t="shared" si="3"/>
        <v>2024</v>
      </c>
      <c r="R724" s="62">
        <f t="shared" si="4"/>
        <v>2</v>
      </c>
      <c r="S724" s="61" t="str">
        <f t="shared" si="5"/>
        <v>2024-Q1</v>
      </c>
      <c r="T724" s="63" t="str">
        <f t="shared" si="6"/>
        <v>2024-02</v>
      </c>
      <c r="U724" s="64" t="str">
        <f t="shared" si="7"/>
        <v>2024-H1</v>
      </c>
      <c r="V724" s="9" t="str">
        <f>VLOOKUP(B724,Bounties!A:E,2,FALSE)</f>
        <v>System Parachains Collator Bounty</v>
      </c>
    </row>
    <row r="725" hidden="1">
      <c r="A725" s="67">
        <f>HYPERLINK("https://polkadot.subsquare.io/treasury/child-bounties/678", 678)</f>
        <v>678</v>
      </c>
      <c r="B725" s="1">
        <v>32.0</v>
      </c>
      <c r="C725" s="1" t="s">
        <v>2414</v>
      </c>
      <c r="D725" s="1" t="s">
        <v>304</v>
      </c>
      <c r="E725" s="5">
        <v>59.326121289</v>
      </c>
      <c r="F725" s="4">
        <v>435.81343266554376</v>
      </c>
      <c r="G725" s="1" t="s">
        <v>2475</v>
      </c>
      <c r="H725" s="95">
        <v>45331.0</v>
      </c>
      <c r="I725" s="95">
        <v>45339.0</v>
      </c>
      <c r="J725" s="4">
        <v>458.78110496405867</v>
      </c>
      <c r="K725" s="1"/>
      <c r="L725" s="1"/>
      <c r="M725" s="1" t="str">
        <f>VLOOKUP(B725,Bounties!A:D,3,FALSE)</f>
        <v>Operations</v>
      </c>
      <c r="N725" s="1" t="str">
        <f>VLOOKUP(B725,Bounties!A:D,4,FALSE)</f>
        <v>RPCs and Nodes</v>
      </c>
      <c r="O725" s="1" t="str">
        <f t="shared" ref="O725:P725" si="729">IF(ISBLANK(K725),M725,K725)</f>
        <v>Operations</v>
      </c>
      <c r="P725" s="1" t="str">
        <f t="shared" si="729"/>
        <v>RPCs and Nodes</v>
      </c>
      <c r="Q725" s="61" t="str">
        <f t="shared" si="3"/>
        <v>2024</v>
      </c>
      <c r="R725" s="62">
        <f t="shared" si="4"/>
        <v>2</v>
      </c>
      <c r="S725" s="61" t="str">
        <f t="shared" si="5"/>
        <v>2024-Q1</v>
      </c>
      <c r="T725" s="63" t="str">
        <f t="shared" si="6"/>
        <v>2024-02</v>
      </c>
      <c r="U725" s="64" t="str">
        <f t="shared" si="7"/>
        <v>2024-H1</v>
      </c>
      <c r="V725" s="9" t="str">
        <f>VLOOKUP(B725,Bounties!A:E,2,FALSE)</f>
        <v>System Parachains Collator Bounty</v>
      </c>
    </row>
    <row r="726" hidden="1">
      <c r="A726" s="67">
        <f>HYPERLINK("https://polkadot.subsquare.io/treasury/child-bounties/677", 677)</f>
        <v>677</v>
      </c>
      <c r="B726" s="1">
        <v>32.0</v>
      </c>
      <c r="C726" s="1" t="s">
        <v>2414</v>
      </c>
      <c r="D726" s="1" t="s">
        <v>303</v>
      </c>
      <c r="E726" s="5">
        <v>59.214565438</v>
      </c>
      <c r="F726" s="4">
        <v>434.9939363407899</v>
      </c>
      <c r="G726" s="1" t="s">
        <v>2443</v>
      </c>
      <c r="H726" s="95">
        <v>45331.0</v>
      </c>
      <c r="I726" s="95">
        <v>45339.0</v>
      </c>
      <c r="J726" s="4">
        <v>457.9184206106072</v>
      </c>
      <c r="K726" s="1"/>
      <c r="L726" s="1"/>
      <c r="M726" s="1" t="str">
        <f>VLOOKUP(B726,Bounties!A:D,3,FALSE)</f>
        <v>Operations</v>
      </c>
      <c r="N726" s="1" t="str">
        <f>VLOOKUP(B726,Bounties!A:D,4,FALSE)</f>
        <v>RPCs and Nodes</v>
      </c>
      <c r="O726" s="1" t="str">
        <f t="shared" ref="O726:P726" si="730">IF(ISBLANK(K726),M726,K726)</f>
        <v>Operations</v>
      </c>
      <c r="P726" s="1" t="str">
        <f t="shared" si="730"/>
        <v>RPCs and Nodes</v>
      </c>
      <c r="Q726" s="61" t="str">
        <f t="shared" si="3"/>
        <v>2024</v>
      </c>
      <c r="R726" s="62">
        <f t="shared" si="4"/>
        <v>2</v>
      </c>
      <c r="S726" s="61" t="str">
        <f t="shared" si="5"/>
        <v>2024-Q1</v>
      </c>
      <c r="T726" s="63" t="str">
        <f t="shared" si="6"/>
        <v>2024-02</v>
      </c>
      <c r="U726" s="64" t="str">
        <f t="shared" si="7"/>
        <v>2024-H1</v>
      </c>
      <c r="V726" s="9" t="str">
        <f>VLOOKUP(B726,Bounties!A:E,2,FALSE)</f>
        <v>System Parachains Collator Bounty</v>
      </c>
    </row>
    <row r="727" hidden="1">
      <c r="A727" s="67">
        <f>HYPERLINK("https://polkadot.subsquare.io/treasury/child-bounties/676", 676)</f>
        <v>676</v>
      </c>
      <c r="B727" s="1">
        <v>32.0</v>
      </c>
      <c r="C727" s="1" t="s">
        <v>2414</v>
      </c>
      <c r="D727" s="1" t="s">
        <v>302</v>
      </c>
      <c r="E727" s="5">
        <v>59.347712744</v>
      </c>
      <c r="F727" s="4">
        <v>435.9720448571946</v>
      </c>
      <c r="G727" s="1" t="s">
        <v>2444</v>
      </c>
      <c r="H727" s="95">
        <v>45331.0</v>
      </c>
      <c r="I727" s="95">
        <v>45339.0</v>
      </c>
      <c r="J727" s="4">
        <v>458.94807612899336</v>
      </c>
      <c r="K727" s="1"/>
      <c r="L727" s="1"/>
      <c r="M727" s="1" t="str">
        <f>VLOOKUP(B727,Bounties!A:D,3,FALSE)</f>
        <v>Operations</v>
      </c>
      <c r="N727" s="1" t="str">
        <f>VLOOKUP(B727,Bounties!A:D,4,FALSE)</f>
        <v>RPCs and Nodes</v>
      </c>
      <c r="O727" s="1" t="str">
        <f t="shared" ref="O727:P727" si="731">IF(ISBLANK(K727),M727,K727)</f>
        <v>Operations</v>
      </c>
      <c r="P727" s="1" t="str">
        <f t="shared" si="731"/>
        <v>RPCs and Nodes</v>
      </c>
      <c r="Q727" s="61" t="str">
        <f t="shared" si="3"/>
        <v>2024</v>
      </c>
      <c r="R727" s="62">
        <f t="shared" si="4"/>
        <v>2</v>
      </c>
      <c r="S727" s="61" t="str">
        <f t="shared" si="5"/>
        <v>2024-Q1</v>
      </c>
      <c r="T727" s="63" t="str">
        <f t="shared" si="6"/>
        <v>2024-02</v>
      </c>
      <c r="U727" s="64" t="str">
        <f t="shared" si="7"/>
        <v>2024-H1</v>
      </c>
      <c r="V727" s="9" t="str">
        <f>VLOOKUP(B727,Bounties!A:E,2,FALSE)</f>
        <v>System Parachains Collator Bounty</v>
      </c>
    </row>
    <row r="728" hidden="1">
      <c r="A728" s="67">
        <f>HYPERLINK("https://polkadot.subsquare.io/treasury/child-bounties/675", 675)</f>
        <v>675</v>
      </c>
      <c r="B728" s="1">
        <v>32.0</v>
      </c>
      <c r="C728" s="1" t="s">
        <v>2414</v>
      </c>
      <c r="D728" s="1" t="s">
        <v>301</v>
      </c>
      <c r="E728" s="5">
        <v>59.3009312581</v>
      </c>
      <c r="F728" s="4">
        <v>435.628385108128</v>
      </c>
      <c r="G728" s="1" t="s">
        <v>2445</v>
      </c>
      <c r="H728" s="95">
        <v>45331.0</v>
      </c>
      <c r="I728" s="95">
        <v>45339.0</v>
      </c>
      <c r="J728" s="4">
        <v>458.58630527111933</v>
      </c>
      <c r="K728" s="1"/>
      <c r="L728" s="1"/>
      <c r="M728" s="1" t="str">
        <f>VLOOKUP(B728,Bounties!A:D,3,FALSE)</f>
        <v>Operations</v>
      </c>
      <c r="N728" s="1" t="str">
        <f>VLOOKUP(B728,Bounties!A:D,4,FALSE)</f>
        <v>RPCs and Nodes</v>
      </c>
      <c r="O728" s="1" t="str">
        <f t="shared" ref="O728:P728" si="732">IF(ISBLANK(K728),M728,K728)</f>
        <v>Operations</v>
      </c>
      <c r="P728" s="1" t="str">
        <f t="shared" si="732"/>
        <v>RPCs and Nodes</v>
      </c>
      <c r="Q728" s="61" t="str">
        <f t="shared" si="3"/>
        <v>2024</v>
      </c>
      <c r="R728" s="62">
        <f t="shared" si="4"/>
        <v>2</v>
      </c>
      <c r="S728" s="61" t="str">
        <f t="shared" si="5"/>
        <v>2024-Q1</v>
      </c>
      <c r="T728" s="63" t="str">
        <f t="shared" si="6"/>
        <v>2024-02</v>
      </c>
      <c r="U728" s="64" t="str">
        <f t="shared" si="7"/>
        <v>2024-H1</v>
      </c>
      <c r="V728" s="9" t="str">
        <f>VLOOKUP(B728,Bounties!A:E,2,FALSE)</f>
        <v>System Parachains Collator Bounty</v>
      </c>
    </row>
    <row r="729" hidden="1">
      <c r="A729" s="67">
        <f>HYPERLINK("https://polkadot.subsquare.io/treasury/child-bounties/674", 674)</f>
        <v>674</v>
      </c>
      <c r="B729" s="1">
        <v>32.0</v>
      </c>
      <c r="C729" s="1" t="s">
        <v>2414</v>
      </c>
      <c r="D729" s="1" t="s">
        <v>300</v>
      </c>
      <c r="E729" s="5">
        <v>59.3009312581</v>
      </c>
      <c r="F729" s="4">
        <v>435.628385108128</v>
      </c>
      <c r="G729" s="1" t="s">
        <v>2439</v>
      </c>
      <c r="H729" s="95">
        <v>45331.0</v>
      </c>
      <c r="I729" s="95">
        <v>45339.0</v>
      </c>
      <c r="J729" s="4">
        <v>458.58630527111933</v>
      </c>
      <c r="K729" s="1"/>
      <c r="L729" s="1"/>
      <c r="M729" s="1" t="str">
        <f>VLOOKUP(B729,Bounties!A:D,3,FALSE)</f>
        <v>Operations</v>
      </c>
      <c r="N729" s="1" t="str">
        <f>VLOOKUP(B729,Bounties!A:D,4,FALSE)</f>
        <v>RPCs and Nodes</v>
      </c>
      <c r="O729" s="1" t="str">
        <f t="shared" ref="O729:P729" si="733">IF(ISBLANK(K729),M729,K729)</f>
        <v>Operations</v>
      </c>
      <c r="P729" s="1" t="str">
        <f t="shared" si="733"/>
        <v>RPCs and Nodes</v>
      </c>
      <c r="Q729" s="61" t="str">
        <f t="shared" si="3"/>
        <v>2024</v>
      </c>
      <c r="R729" s="62">
        <f t="shared" si="4"/>
        <v>2</v>
      </c>
      <c r="S729" s="61" t="str">
        <f t="shared" si="5"/>
        <v>2024-Q1</v>
      </c>
      <c r="T729" s="63" t="str">
        <f t="shared" si="6"/>
        <v>2024-02</v>
      </c>
      <c r="U729" s="64" t="str">
        <f t="shared" si="7"/>
        <v>2024-H1</v>
      </c>
      <c r="V729" s="9" t="str">
        <f>VLOOKUP(B729,Bounties!A:E,2,FALSE)</f>
        <v>System Parachains Collator Bounty</v>
      </c>
    </row>
    <row r="730" hidden="1">
      <c r="A730" s="67">
        <f>HYPERLINK("https://polkadot.subsquare.io/treasury/child-bounties/673", 673)</f>
        <v>673</v>
      </c>
      <c r="B730" s="1">
        <v>32.0</v>
      </c>
      <c r="C730" s="1" t="s">
        <v>2414</v>
      </c>
      <c r="D730" s="1" t="s">
        <v>299</v>
      </c>
      <c r="E730" s="5">
        <v>59.2253611655</v>
      </c>
      <c r="F730" s="4">
        <v>435.0732424366153</v>
      </c>
      <c r="G730" s="1" t="s">
        <v>2465</v>
      </c>
      <c r="H730" s="95">
        <v>45331.0</v>
      </c>
      <c r="I730" s="95">
        <v>45339.0</v>
      </c>
      <c r="J730" s="4">
        <v>458.00190619307455</v>
      </c>
      <c r="K730" s="1"/>
      <c r="L730" s="1"/>
      <c r="M730" s="1" t="str">
        <f>VLOOKUP(B730,Bounties!A:D,3,FALSE)</f>
        <v>Operations</v>
      </c>
      <c r="N730" s="1" t="str">
        <f>VLOOKUP(B730,Bounties!A:D,4,FALSE)</f>
        <v>RPCs and Nodes</v>
      </c>
      <c r="O730" s="1" t="str">
        <f t="shared" ref="O730:P730" si="734">IF(ISBLANK(K730),M730,K730)</f>
        <v>Operations</v>
      </c>
      <c r="P730" s="1" t="str">
        <f t="shared" si="734"/>
        <v>RPCs and Nodes</v>
      </c>
      <c r="Q730" s="61" t="str">
        <f t="shared" si="3"/>
        <v>2024</v>
      </c>
      <c r="R730" s="62">
        <f t="shared" si="4"/>
        <v>2</v>
      </c>
      <c r="S730" s="61" t="str">
        <f t="shared" si="5"/>
        <v>2024-Q1</v>
      </c>
      <c r="T730" s="63" t="str">
        <f t="shared" si="6"/>
        <v>2024-02</v>
      </c>
      <c r="U730" s="64" t="str">
        <f t="shared" si="7"/>
        <v>2024-H1</v>
      </c>
      <c r="V730" s="9" t="str">
        <f>VLOOKUP(B730,Bounties!A:E,2,FALSE)</f>
        <v>System Parachains Collator Bounty</v>
      </c>
    </row>
    <row r="731" hidden="1">
      <c r="A731" s="67">
        <f>HYPERLINK("https://polkadot.subsquare.io/treasury/child-bounties/672", 672)</f>
        <v>672</v>
      </c>
      <c r="B731" s="1">
        <v>32.0</v>
      </c>
      <c r="C731" s="1" t="s">
        <v>2414</v>
      </c>
      <c r="D731" s="1" t="s">
        <v>298</v>
      </c>
      <c r="E731" s="5">
        <v>43.6816869549</v>
      </c>
      <c r="F731" s="4">
        <v>320.88843030374284</v>
      </c>
      <c r="G731" s="1" t="s">
        <v>2459</v>
      </c>
      <c r="H731" s="95">
        <v>45331.0</v>
      </c>
      <c r="I731" s="95">
        <v>45339.0</v>
      </c>
      <c r="J731" s="4">
        <v>337.79947470759265</v>
      </c>
      <c r="K731" s="1"/>
      <c r="L731" s="1"/>
      <c r="M731" s="1" t="str">
        <f>VLOOKUP(B731,Bounties!A:D,3,FALSE)</f>
        <v>Operations</v>
      </c>
      <c r="N731" s="1" t="str">
        <f>VLOOKUP(B731,Bounties!A:D,4,FALSE)</f>
        <v>RPCs and Nodes</v>
      </c>
      <c r="O731" s="1" t="str">
        <f t="shared" ref="O731:P731" si="735">IF(ISBLANK(K731),M731,K731)</f>
        <v>Operations</v>
      </c>
      <c r="P731" s="1" t="str">
        <f t="shared" si="735"/>
        <v>RPCs and Nodes</v>
      </c>
      <c r="Q731" s="61" t="str">
        <f t="shared" si="3"/>
        <v>2024</v>
      </c>
      <c r="R731" s="62">
        <f t="shared" si="4"/>
        <v>2</v>
      </c>
      <c r="S731" s="61" t="str">
        <f t="shared" si="5"/>
        <v>2024-Q1</v>
      </c>
      <c r="T731" s="63" t="str">
        <f t="shared" si="6"/>
        <v>2024-02</v>
      </c>
      <c r="U731" s="64" t="str">
        <f t="shared" si="7"/>
        <v>2024-H1</v>
      </c>
      <c r="V731" s="9" t="str">
        <f>VLOOKUP(B731,Bounties!A:E,2,FALSE)</f>
        <v>System Parachains Collator Bounty</v>
      </c>
    </row>
    <row r="732" hidden="1">
      <c r="A732" s="67">
        <f>HYPERLINK("https://polkadot.subsquare.io/treasury/child-bounties/671", 671)</f>
        <v>671</v>
      </c>
      <c r="B732" s="1">
        <v>32.0</v>
      </c>
      <c r="C732" s="1" t="s">
        <v>2414</v>
      </c>
      <c r="D732" s="1" t="s">
        <v>296</v>
      </c>
      <c r="E732" s="5">
        <v>3.6737692873</v>
      </c>
      <c r="F732" s="4">
        <v>26.987741135477304</v>
      </c>
      <c r="G732" s="1" t="s">
        <v>2619</v>
      </c>
      <c r="H732" s="95">
        <v>45331.0</v>
      </c>
      <c r="I732" s="95">
        <v>45339.0</v>
      </c>
      <c r="J732" s="4">
        <v>28.41001394309974</v>
      </c>
      <c r="K732" s="1"/>
      <c r="L732" s="1"/>
      <c r="M732" s="1" t="str">
        <f>VLOOKUP(B732,Bounties!A:D,3,FALSE)</f>
        <v>Operations</v>
      </c>
      <c r="N732" s="1" t="str">
        <f>VLOOKUP(B732,Bounties!A:D,4,FALSE)</f>
        <v>RPCs and Nodes</v>
      </c>
      <c r="O732" s="1" t="str">
        <f t="shared" ref="O732:P732" si="736">IF(ISBLANK(K732),M732,K732)</f>
        <v>Operations</v>
      </c>
      <c r="P732" s="1" t="str">
        <f t="shared" si="736"/>
        <v>RPCs and Nodes</v>
      </c>
      <c r="Q732" s="61" t="str">
        <f t="shared" si="3"/>
        <v>2024</v>
      </c>
      <c r="R732" s="62">
        <f t="shared" si="4"/>
        <v>2</v>
      </c>
      <c r="S732" s="61" t="str">
        <f t="shared" si="5"/>
        <v>2024-Q1</v>
      </c>
      <c r="T732" s="63" t="str">
        <f t="shared" si="6"/>
        <v>2024-02</v>
      </c>
      <c r="U732" s="64" t="str">
        <f t="shared" si="7"/>
        <v>2024-H1</v>
      </c>
      <c r="V732" s="9" t="str">
        <f>VLOOKUP(B732,Bounties!A:E,2,FALSE)</f>
        <v>System Parachains Collator Bounty</v>
      </c>
    </row>
    <row r="733" hidden="1">
      <c r="A733" s="67">
        <f>HYPERLINK("https://polkadot.subsquare.io/treasury/child-bounties/670", 670)</f>
        <v>670</v>
      </c>
      <c r="B733" s="1">
        <v>32.0</v>
      </c>
      <c r="C733" s="1" t="s">
        <v>2414</v>
      </c>
      <c r="D733" s="1" t="s">
        <v>297</v>
      </c>
      <c r="E733" s="5">
        <v>44.0397827553</v>
      </c>
      <c r="F733" s="4">
        <v>323.5190246625953</v>
      </c>
      <c r="G733" s="1" t="s">
        <v>2475</v>
      </c>
      <c r="H733" s="95">
        <v>45331.0</v>
      </c>
      <c r="I733" s="95">
        <v>45339.0</v>
      </c>
      <c r="J733" s="4">
        <v>340.5687032265143</v>
      </c>
      <c r="K733" s="1"/>
      <c r="L733" s="1"/>
      <c r="M733" s="1" t="str">
        <f>VLOOKUP(B733,Bounties!A:D,3,FALSE)</f>
        <v>Operations</v>
      </c>
      <c r="N733" s="1" t="str">
        <f>VLOOKUP(B733,Bounties!A:D,4,FALSE)</f>
        <v>RPCs and Nodes</v>
      </c>
      <c r="O733" s="1" t="str">
        <f t="shared" ref="O733:P733" si="737">IF(ISBLANK(K733),M733,K733)</f>
        <v>Operations</v>
      </c>
      <c r="P733" s="1" t="str">
        <f t="shared" si="737"/>
        <v>RPCs and Nodes</v>
      </c>
      <c r="Q733" s="61" t="str">
        <f t="shared" si="3"/>
        <v>2024</v>
      </c>
      <c r="R733" s="62">
        <f t="shared" si="4"/>
        <v>2</v>
      </c>
      <c r="S733" s="61" t="str">
        <f t="shared" si="5"/>
        <v>2024-Q1</v>
      </c>
      <c r="T733" s="63" t="str">
        <f t="shared" si="6"/>
        <v>2024-02</v>
      </c>
      <c r="U733" s="64" t="str">
        <f t="shared" si="7"/>
        <v>2024-H1</v>
      </c>
      <c r="V733" s="9" t="str">
        <f>VLOOKUP(B733,Bounties!A:E,2,FALSE)</f>
        <v>System Parachains Collator Bounty</v>
      </c>
    </row>
    <row r="734" hidden="1">
      <c r="A734" s="67">
        <f>HYPERLINK("https://polkadot.subsquare.io/treasury/child-bounties/669", 669)</f>
        <v>669</v>
      </c>
      <c r="B734" s="1">
        <v>32.0</v>
      </c>
      <c r="C734" s="1" t="s">
        <v>2414</v>
      </c>
      <c r="D734" s="1" t="s">
        <v>296</v>
      </c>
      <c r="E734" s="5">
        <v>3.6737692873</v>
      </c>
      <c r="F734" s="4">
        <v>26.987741135477304</v>
      </c>
      <c r="G734" s="1" t="s">
        <v>2619</v>
      </c>
      <c r="H734" s="95">
        <v>45331.0</v>
      </c>
      <c r="I734" s="95">
        <v>45339.0</v>
      </c>
      <c r="J734" s="4">
        <v>28.41001394309974</v>
      </c>
      <c r="K734" s="1"/>
      <c r="L734" s="1"/>
      <c r="M734" s="1" t="str">
        <f>VLOOKUP(B734,Bounties!A:D,3,FALSE)</f>
        <v>Operations</v>
      </c>
      <c r="N734" s="1" t="str">
        <f>VLOOKUP(B734,Bounties!A:D,4,FALSE)</f>
        <v>RPCs and Nodes</v>
      </c>
      <c r="O734" s="1" t="str">
        <f t="shared" ref="O734:P734" si="738">IF(ISBLANK(K734),M734,K734)</f>
        <v>Operations</v>
      </c>
      <c r="P734" s="1" t="str">
        <f t="shared" si="738"/>
        <v>RPCs and Nodes</v>
      </c>
      <c r="Q734" s="61" t="str">
        <f t="shared" si="3"/>
        <v>2024</v>
      </c>
      <c r="R734" s="62">
        <f t="shared" si="4"/>
        <v>2</v>
      </c>
      <c r="S734" s="61" t="str">
        <f t="shared" si="5"/>
        <v>2024-Q1</v>
      </c>
      <c r="T734" s="63" t="str">
        <f t="shared" si="6"/>
        <v>2024-02</v>
      </c>
      <c r="U734" s="64" t="str">
        <f t="shared" si="7"/>
        <v>2024-H1</v>
      </c>
      <c r="V734" s="9" t="str">
        <f>VLOOKUP(B734,Bounties!A:E,2,FALSE)</f>
        <v>System Parachains Collator Bounty</v>
      </c>
    </row>
    <row r="735" hidden="1">
      <c r="A735" s="67">
        <f>HYPERLINK("https://polkadot.subsquare.io/treasury/child-bounties/668", 668)</f>
        <v>668</v>
      </c>
      <c r="B735" s="1">
        <v>32.0</v>
      </c>
      <c r="C735" s="1" t="s">
        <v>2414</v>
      </c>
      <c r="D735" s="1" t="s">
        <v>295</v>
      </c>
      <c r="E735" s="5">
        <v>10.6427783405</v>
      </c>
      <c r="F735" s="4">
        <v>78.1825216429885</v>
      </c>
      <c r="G735" s="1" t="s">
        <v>2437</v>
      </c>
      <c r="H735" s="95">
        <v>45331.0</v>
      </c>
      <c r="I735" s="95">
        <v>45339.0</v>
      </c>
      <c r="J735" s="4">
        <v>82.30279514072112</v>
      </c>
      <c r="K735" s="1"/>
      <c r="L735" s="1"/>
      <c r="M735" s="1" t="str">
        <f>VLOOKUP(B735,Bounties!A:D,3,FALSE)</f>
        <v>Operations</v>
      </c>
      <c r="N735" s="1" t="str">
        <f>VLOOKUP(B735,Bounties!A:D,4,FALSE)</f>
        <v>RPCs and Nodes</v>
      </c>
      <c r="O735" s="1" t="str">
        <f t="shared" ref="O735:P735" si="739">IF(ISBLANK(K735),M735,K735)</f>
        <v>Operations</v>
      </c>
      <c r="P735" s="1" t="str">
        <f t="shared" si="739"/>
        <v>RPCs and Nodes</v>
      </c>
      <c r="Q735" s="61" t="str">
        <f t="shared" si="3"/>
        <v>2024</v>
      </c>
      <c r="R735" s="62">
        <f t="shared" si="4"/>
        <v>2</v>
      </c>
      <c r="S735" s="61" t="str">
        <f t="shared" si="5"/>
        <v>2024-Q1</v>
      </c>
      <c r="T735" s="63" t="str">
        <f t="shared" si="6"/>
        <v>2024-02</v>
      </c>
      <c r="U735" s="64" t="str">
        <f t="shared" si="7"/>
        <v>2024-H1</v>
      </c>
      <c r="V735" s="9" t="str">
        <f>VLOOKUP(B735,Bounties!A:E,2,FALSE)</f>
        <v>System Parachains Collator Bounty</v>
      </c>
    </row>
    <row r="736" hidden="1">
      <c r="A736" s="67">
        <f>HYPERLINK("https://polkadot.subsquare.io/treasury/child-bounties/667", 667)</f>
        <v>667</v>
      </c>
      <c r="B736" s="1">
        <v>32.0</v>
      </c>
      <c r="C736" s="1" t="s">
        <v>2414</v>
      </c>
      <c r="D736" s="1" t="s">
        <v>294</v>
      </c>
      <c r="E736" s="5">
        <v>10.6427783405</v>
      </c>
      <c r="F736" s="4">
        <v>78.1825216429885</v>
      </c>
      <c r="G736" s="1" t="s">
        <v>2463</v>
      </c>
      <c r="H736" s="95">
        <v>45331.0</v>
      </c>
      <c r="I736" s="95">
        <v>45339.0</v>
      </c>
      <c r="J736" s="4">
        <v>82.30279514072112</v>
      </c>
      <c r="K736" s="1"/>
      <c r="L736" s="1"/>
      <c r="M736" s="1" t="str">
        <f>VLOOKUP(B736,Bounties!A:D,3,FALSE)</f>
        <v>Operations</v>
      </c>
      <c r="N736" s="1" t="str">
        <f>VLOOKUP(B736,Bounties!A:D,4,FALSE)</f>
        <v>RPCs and Nodes</v>
      </c>
      <c r="O736" s="1" t="str">
        <f t="shared" ref="O736:P736" si="740">IF(ISBLANK(K736),M736,K736)</f>
        <v>Operations</v>
      </c>
      <c r="P736" s="1" t="str">
        <f t="shared" si="740"/>
        <v>RPCs and Nodes</v>
      </c>
      <c r="Q736" s="61" t="str">
        <f t="shared" si="3"/>
        <v>2024</v>
      </c>
      <c r="R736" s="62">
        <f t="shared" si="4"/>
        <v>2</v>
      </c>
      <c r="S736" s="61" t="str">
        <f t="shared" si="5"/>
        <v>2024-Q1</v>
      </c>
      <c r="T736" s="63" t="str">
        <f t="shared" si="6"/>
        <v>2024-02</v>
      </c>
      <c r="U736" s="64" t="str">
        <f t="shared" si="7"/>
        <v>2024-H1</v>
      </c>
      <c r="V736" s="9" t="str">
        <f>VLOOKUP(B736,Bounties!A:E,2,FALSE)</f>
        <v>System Parachains Collator Bounty</v>
      </c>
    </row>
    <row r="737" hidden="1">
      <c r="A737" s="67">
        <f>HYPERLINK("https://polkadot.subsquare.io/treasury/child-bounties/666", 666)</f>
        <v>666</v>
      </c>
      <c r="B737" s="1">
        <v>32.0</v>
      </c>
      <c r="C737" s="1" t="s">
        <v>2414</v>
      </c>
      <c r="D737" s="1" t="s">
        <v>293</v>
      </c>
      <c r="E737" s="5">
        <v>10.6427783405</v>
      </c>
      <c r="F737" s="4">
        <v>78.1825216429885</v>
      </c>
      <c r="G737" s="1" t="s">
        <v>2438</v>
      </c>
      <c r="H737" s="95">
        <v>45331.0</v>
      </c>
      <c r="I737" s="95">
        <v>45339.0</v>
      </c>
      <c r="J737" s="4">
        <v>82.30279514072112</v>
      </c>
      <c r="K737" s="1"/>
      <c r="L737" s="1"/>
      <c r="M737" s="1" t="str">
        <f>VLOOKUP(B737,Bounties!A:D,3,FALSE)</f>
        <v>Operations</v>
      </c>
      <c r="N737" s="1" t="str">
        <f>VLOOKUP(B737,Bounties!A:D,4,FALSE)</f>
        <v>RPCs and Nodes</v>
      </c>
      <c r="O737" s="1" t="str">
        <f t="shared" ref="O737:P737" si="741">IF(ISBLANK(K737),M737,K737)</f>
        <v>Operations</v>
      </c>
      <c r="P737" s="1" t="str">
        <f t="shared" si="741"/>
        <v>RPCs and Nodes</v>
      </c>
      <c r="Q737" s="61" t="str">
        <f t="shared" si="3"/>
        <v>2024</v>
      </c>
      <c r="R737" s="62">
        <f t="shared" si="4"/>
        <v>2</v>
      </c>
      <c r="S737" s="61" t="str">
        <f t="shared" si="5"/>
        <v>2024-Q1</v>
      </c>
      <c r="T737" s="63" t="str">
        <f t="shared" si="6"/>
        <v>2024-02</v>
      </c>
      <c r="U737" s="64" t="str">
        <f t="shared" si="7"/>
        <v>2024-H1</v>
      </c>
      <c r="V737" s="9" t="str">
        <f>VLOOKUP(B737,Bounties!A:E,2,FALSE)</f>
        <v>System Parachains Collator Bounty</v>
      </c>
    </row>
    <row r="738" hidden="1">
      <c r="A738" s="67">
        <f>HYPERLINK("https://polkadot.subsquare.io/treasury/child-bounties/665", 665)</f>
        <v>665</v>
      </c>
      <c r="B738" s="1">
        <v>32.0</v>
      </c>
      <c r="C738" s="1" t="s">
        <v>2414</v>
      </c>
      <c r="D738" s="1" t="s">
        <v>292</v>
      </c>
      <c r="E738" s="5">
        <v>44.0852314475</v>
      </c>
      <c r="F738" s="4">
        <v>323.85289362499304</v>
      </c>
      <c r="G738" s="1" t="s">
        <v>2584</v>
      </c>
      <c r="H738" s="95">
        <v>45331.0</v>
      </c>
      <c r="I738" s="95">
        <v>45339.0</v>
      </c>
      <c r="J738" s="4">
        <v>340.9201673164236</v>
      </c>
      <c r="K738" s="1"/>
      <c r="L738" s="1"/>
      <c r="M738" s="1" t="str">
        <f>VLOOKUP(B738,Bounties!A:D,3,FALSE)</f>
        <v>Operations</v>
      </c>
      <c r="N738" s="1" t="str">
        <f>VLOOKUP(B738,Bounties!A:D,4,FALSE)</f>
        <v>RPCs and Nodes</v>
      </c>
      <c r="O738" s="1" t="str">
        <f t="shared" ref="O738:P738" si="742">IF(ISBLANK(K738),M738,K738)</f>
        <v>Operations</v>
      </c>
      <c r="P738" s="1" t="str">
        <f t="shared" si="742"/>
        <v>RPCs and Nodes</v>
      </c>
      <c r="Q738" s="61" t="str">
        <f t="shared" si="3"/>
        <v>2024</v>
      </c>
      <c r="R738" s="62">
        <f t="shared" si="4"/>
        <v>2</v>
      </c>
      <c r="S738" s="61" t="str">
        <f t="shared" si="5"/>
        <v>2024-Q1</v>
      </c>
      <c r="T738" s="63" t="str">
        <f t="shared" si="6"/>
        <v>2024-02</v>
      </c>
      <c r="U738" s="64" t="str">
        <f t="shared" si="7"/>
        <v>2024-H1</v>
      </c>
      <c r="V738" s="9" t="str">
        <f>VLOOKUP(B738,Bounties!A:E,2,FALSE)</f>
        <v>System Parachains Collator Bounty</v>
      </c>
    </row>
    <row r="739" hidden="1">
      <c r="A739" s="67">
        <f>HYPERLINK("https://polkadot.subsquare.io/treasury/child-bounties/664", 664)</f>
        <v>664</v>
      </c>
      <c r="B739" s="1">
        <v>32.0</v>
      </c>
      <c r="C739" s="1" t="s">
        <v>2414</v>
      </c>
      <c r="D739" s="1" t="s">
        <v>291</v>
      </c>
      <c r="E739" s="5">
        <v>44.0157216829</v>
      </c>
      <c r="F739" s="4">
        <v>323.3422705055997</v>
      </c>
      <c r="G739" s="1" t="s">
        <v>2465</v>
      </c>
      <c r="H739" s="95">
        <v>45331.0</v>
      </c>
      <c r="I739" s="95">
        <v>45339.0</v>
      </c>
      <c r="J739" s="4">
        <v>340.38263400198974</v>
      </c>
      <c r="K739" s="1"/>
      <c r="L739" s="1"/>
      <c r="M739" s="1" t="str">
        <f>VLOOKUP(B739,Bounties!A:D,3,FALSE)</f>
        <v>Operations</v>
      </c>
      <c r="N739" s="1" t="str">
        <f>VLOOKUP(B739,Bounties!A:D,4,FALSE)</f>
        <v>RPCs and Nodes</v>
      </c>
      <c r="O739" s="1" t="str">
        <f t="shared" ref="O739:P739" si="743">IF(ISBLANK(K739),M739,K739)</f>
        <v>Operations</v>
      </c>
      <c r="P739" s="1" t="str">
        <f t="shared" si="743"/>
        <v>RPCs and Nodes</v>
      </c>
      <c r="Q739" s="61" t="str">
        <f t="shared" si="3"/>
        <v>2024</v>
      </c>
      <c r="R739" s="62">
        <f t="shared" si="4"/>
        <v>2</v>
      </c>
      <c r="S739" s="61" t="str">
        <f t="shared" si="5"/>
        <v>2024-Q1</v>
      </c>
      <c r="T739" s="63" t="str">
        <f t="shared" si="6"/>
        <v>2024-02</v>
      </c>
      <c r="U739" s="64" t="str">
        <f t="shared" si="7"/>
        <v>2024-H1</v>
      </c>
      <c r="V739" s="9" t="str">
        <f>VLOOKUP(B739,Bounties!A:E,2,FALSE)</f>
        <v>System Parachains Collator Bounty</v>
      </c>
    </row>
    <row r="740" hidden="1">
      <c r="A740" s="67">
        <f>HYPERLINK("https://polkadot.subsquare.io/treasury/child-bounties/663", 663)</f>
        <v>663</v>
      </c>
      <c r="B740" s="1">
        <v>32.0</v>
      </c>
      <c r="C740" s="1" t="s">
        <v>2414</v>
      </c>
      <c r="D740" s="1" t="s">
        <v>290</v>
      </c>
      <c r="E740" s="5">
        <v>44.0665172801</v>
      </c>
      <c r="F740" s="4">
        <v>323.71541816971524</v>
      </c>
      <c r="G740" s="1" t="s">
        <v>2443</v>
      </c>
      <c r="H740" s="95">
        <v>45331.0</v>
      </c>
      <c r="I740" s="95">
        <v>45339.0</v>
      </c>
      <c r="J740" s="4">
        <v>340.7754468086319</v>
      </c>
      <c r="K740" s="1"/>
      <c r="L740" s="1"/>
      <c r="M740" s="1" t="str">
        <f>VLOOKUP(B740,Bounties!A:D,3,FALSE)</f>
        <v>Operations</v>
      </c>
      <c r="N740" s="1" t="str">
        <f>VLOOKUP(B740,Bounties!A:D,4,FALSE)</f>
        <v>RPCs and Nodes</v>
      </c>
      <c r="O740" s="1" t="str">
        <f t="shared" ref="O740:P740" si="744">IF(ISBLANK(K740),M740,K740)</f>
        <v>Operations</v>
      </c>
      <c r="P740" s="1" t="str">
        <f t="shared" si="744"/>
        <v>RPCs and Nodes</v>
      </c>
      <c r="Q740" s="61" t="str">
        <f t="shared" si="3"/>
        <v>2024</v>
      </c>
      <c r="R740" s="62">
        <f t="shared" si="4"/>
        <v>2</v>
      </c>
      <c r="S740" s="61" t="str">
        <f t="shared" si="5"/>
        <v>2024-Q1</v>
      </c>
      <c r="T740" s="63" t="str">
        <f t="shared" si="6"/>
        <v>2024-02</v>
      </c>
      <c r="U740" s="64" t="str">
        <f t="shared" si="7"/>
        <v>2024-H1</v>
      </c>
      <c r="V740" s="9" t="str">
        <f>VLOOKUP(B740,Bounties!A:E,2,FALSE)</f>
        <v>System Parachains Collator Bounty</v>
      </c>
    </row>
    <row r="741" hidden="1">
      <c r="A741" s="67">
        <f>HYPERLINK("https://polkadot.subsquare.io/treasury/child-bounties/662", 662)</f>
        <v>662</v>
      </c>
      <c r="B741" s="1">
        <v>32.0</v>
      </c>
      <c r="C741" s="1" t="s">
        <v>2414</v>
      </c>
      <c r="D741" s="1" t="s">
        <v>289</v>
      </c>
      <c r="E741" s="5">
        <v>44.0077013255</v>
      </c>
      <c r="F741" s="4">
        <v>323.2833524537575</v>
      </c>
      <c r="G741" s="1" t="s">
        <v>2439</v>
      </c>
      <c r="H741" s="95">
        <v>45331.0</v>
      </c>
      <c r="I741" s="95">
        <v>45339.0</v>
      </c>
      <c r="J741" s="4">
        <v>340.3206109276638</v>
      </c>
      <c r="K741" s="1"/>
      <c r="L741" s="1"/>
      <c r="M741" s="1" t="str">
        <f>VLOOKUP(B741,Bounties!A:D,3,FALSE)</f>
        <v>Operations</v>
      </c>
      <c r="N741" s="1" t="str">
        <f>VLOOKUP(B741,Bounties!A:D,4,FALSE)</f>
        <v>RPCs and Nodes</v>
      </c>
      <c r="O741" s="1" t="str">
        <f t="shared" ref="O741:P741" si="745">IF(ISBLANK(K741),M741,K741)</f>
        <v>Operations</v>
      </c>
      <c r="P741" s="1" t="str">
        <f t="shared" si="745"/>
        <v>RPCs and Nodes</v>
      </c>
      <c r="Q741" s="61" t="str">
        <f t="shared" si="3"/>
        <v>2024</v>
      </c>
      <c r="R741" s="62">
        <f t="shared" si="4"/>
        <v>2</v>
      </c>
      <c r="S741" s="61" t="str">
        <f t="shared" si="5"/>
        <v>2024-Q1</v>
      </c>
      <c r="T741" s="63" t="str">
        <f t="shared" si="6"/>
        <v>2024-02</v>
      </c>
      <c r="U741" s="64" t="str">
        <f t="shared" si="7"/>
        <v>2024-H1</v>
      </c>
      <c r="V741" s="9" t="str">
        <f>VLOOKUP(B741,Bounties!A:E,2,FALSE)</f>
        <v>System Parachains Collator Bounty</v>
      </c>
    </row>
    <row r="742" hidden="1">
      <c r="A742" s="67">
        <f>HYPERLINK("https://polkadot.subsquare.io/treasury/child-bounties/661", 661)</f>
        <v>661</v>
      </c>
      <c r="B742" s="1">
        <v>32.0</v>
      </c>
      <c r="C742" s="1" t="s">
        <v>2414</v>
      </c>
      <c r="D742" s="1" t="s">
        <v>288</v>
      </c>
      <c r="E742" s="5">
        <v>59.2469107208</v>
      </c>
      <c r="F742" s="4">
        <v>435.2315468304246</v>
      </c>
      <c r="G742" s="1" t="s">
        <v>2473</v>
      </c>
      <c r="H742" s="95">
        <v>45331.0</v>
      </c>
      <c r="I742" s="95">
        <v>45339.0</v>
      </c>
      <c r="J742" s="4">
        <v>458.1685533390064</v>
      </c>
      <c r="K742" s="1"/>
      <c r="L742" s="1"/>
      <c r="M742" s="1" t="str">
        <f>VLOOKUP(B742,Bounties!A:D,3,FALSE)</f>
        <v>Operations</v>
      </c>
      <c r="N742" s="1" t="str">
        <f>VLOOKUP(B742,Bounties!A:D,4,FALSE)</f>
        <v>RPCs and Nodes</v>
      </c>
      <c r="O742" s="1" t="str">
        <f t="shared" ref="O742:P742" si="746">IF(ISBLANK(K742),M742,K742)</f>
        <v>Operations</v>
      </c>
      <c r="P742" s="1" t="str">
        <f t="shared" si="746"/>
        <v>RPCs and Nodes</v>
      </c>
      <c r="Q742" s="61" t="str">
        <f t="shared" si="3"/>
        <v>2024</v>
      </c>
      <c r="R742" s="62">
        <f t="shared" si="4"/>
        <v>2</v>
      </c>
      <c r="S742" s="61" t="str">
        <f t="shared" si="5"/>
        <v>2024-Q1</v>
      </c>
      <c r="T742" s="63" t="str">
        <f t="shared" si="6"/>
        <v>2024-02</v>
      </c>
      <c r="U742" s="64" t="str">
        <f t="shared" si="7"/>
        <v>2024-H1</v>
      </c>
      <c r="V742" s="9" t="str">
        <f>VLOOKUP(B742,Bounties!A:E,2,FALSE)</f>
        <v>System Parachains Collator Bounty</v>
      </c>
    </row>
    <row r="743" hidden="1">
      <c r="A743" s="67">
        <f>HYPERLINK("https://polkadot.subsquare.io/treasury/child-bounties/660", 660)</f>
        <v>660</v>
      </c>
      <c r="B743" s="1">
        <v>32.0</v>
      </c>
      <c r="C743" s="1" t="s">
        <v>2414</v>
      </c>
      <c r="D743" s="1" t="s">
        <v>287</v>
      </c>
      <c r="E743" s="5">
        <v>58.9409204783</v>
      </c>
      <c r="F743" s="4">
        <v>432.983723189697</v>
      </c>
      <c r="G743" s="1" t="s">
        <v>2459</v>
      </c>
      <c r="H743" s="95">
        <v>45331.0</v>
      </c>
      <c r="I743" s="95">
        <v>45339.0</v>
      </c>
      <c r="J743" s="4">
        <v>455.8022678224038</v>
      </c>
      <c r="K743" s="1"/>
      <c r="L743" s="1"/>
      <c r="M743" s="1" t="str">
        <f>VLOOKUP(B743,Bounties!A:D,3,FALSE)</f>
        <v>Operations</v>
      </c>
      <c r="N743" s="1" t="str">
        <f>VLOOKUP(B743,Bounties!A:D,4,FALSE)</f>
        <v>RPCs and Nodes</v>
      </c>
      <c r="O743" s="1" t="str">
        <f t="shared" ref="O743:P743" si="747">IF(ISBLANK(K743),M743,K743)</f>
        <v>Operations</v>
      </c>
      <c r="P743" s="1" t="str">
        <f t="shared" si="747"/>
        <v>RPCs and Nodes</v>
      </c>
      <c r="Q743" s="61" t="str">
        <f t="shared" si="3"/>
        <v>2024</v>
      </c>
      <c r="R743" s="62">
        <f t="shared" si="4"/>
        <v>2</v>
      </c>
      <c r="S743" s="61" t="str">
        <f t="shared" si="5"/>
        <v>2024-Q1</v>
      </c>
      <c r="T743" s="63" t="str">
        <f t="shared" si="6"/>
        <v>2024-02</v>
      </c>
      <c r="U743" s="64" t="str">
        <f t="shared" si="7"/>
        <v>2024-H1</v>
      </c>
      <c r="V743" s="9" t="str">
        <f>VLOOKUP(B743,Bounties!A:E,2,FALSE)</f>
        <v>System Parachains Collator Bounty</v>
      </c>
    </row>
    <row r="744" hidden="1">
      <c r="A744" s="67">
        <f>HYPERLINK("https://polkadot.subsquare.io/treasury/child-bounties/659", 659)</f>
        <v>659</v>
      </c>
      <c r="B744" s="1">
        <v>32.0</v>
      </c>
      <c r="C744" s="1" t="s">
        <v>2414</v>
      </c>
      <c r="D744" s="1" t="s">
        <v>286</v>
      </c>
      <c r="E744" s="5">
        <v>59.3261081953</v>
      </c>
      <c r="F744" s="4">
        <v>435.8133364783969</v>
      </c>
      <c r="G744" s="1" t="s">
        <v>2445</v>
      </c>
      <c r="H744" s="95">
        <v>45331.0</v>
      </c>
      <c r="I744" s="95">
        <v>45339.0</v>
      </c>
      <c r="J744" s="4">
        <v>458.78100370778196</v>
      </c>
      <c r="K744" s="1"/>
      <c r="L744" s="1"/>
      <c r="M744" s="1" t="str">
        <f>VLOOKUP(B744,Bounties!A:D,3,FALSE)</f>
        <v>Operations</v>
      </c>
      <c r="N744" s="1" t="str">
        <f>VLOOKUP(B744,Bounties!A:D,4,FALSE)</f>
        <v>RPCs and Nodes</v>
      </c>
      <c r="O744" s="1" t="str">
        <f t="shared" ref="O744:P744" si="748">IF(ISBLANK(K744),M744,K744)</f>
        <v>Operations</v>
      </c>
      <c r="P744" s="1" t="str">
        <f t="shared" si="748"/>
        <v>RPCs and Nodes</v>
      </c>
      <c r="Q744" s="61" t="str">
        <f t="shared" si="3"/>
        <v>2024</v>
      </c>
      <c r="R744" s="62">
        <f t="shared" si="4"/>
        <v>2</v>
      </c>
      <c r="S744" s="61" t="str">
        <f t="shared" si="5"/>
        <v>2024-Q1</v>
      </c>
      <c r="T744" s="63" t="str">
        <f t="shared" si="6"/>
        <v>2024-02</v>
      </c>
      <c r="U744" s="64" t="str">
        <f t="shared" si="7"/>
        <v>2024-H1</v>
      </c>
      <c r="V744" s="9" t="str">
        <f>VLOOKUP(B744,Bounties!A:E,2,FALSE)</f>
        <v>System Parachains Collator Bounty</v>
      </c>
    </row>
    <row r="745" hidden="1">
      <c r="A745" s="67">
        <f>HYPERLINK("https://polkadot.subsquare.io/treasury/child-bounties/658", 658)</f>
        <v>658</v>
      </c>
      <c r="B745" s="1">
        <v>32.0</v>
      </c>
      <c r="C745" s="1" t="s">
        <v>2414</v>
      </c>
      <c r="D745" s="1" t="s">
        <v>285</v>
      </c>
      <c r="E745" s="5">
        <v>59.3513073918</v>
      </c>
      <c r="F745" s="4">
        <v>435.9984513668889</v>
      </c>
      <c r="G745" s="1" t="s">
        <v>2444</v>
      </c>
      <c r="H745" s="95">
        <v>45331.0</v>
      </c>
      <c r="I745" s="95">
        <v>45339.0</v>
      </c>
      <c r="J745" s="4">
        <v>458.9758742801924</v>
      </c>
      <c r="K745" s="1"/>
      <c r="L745" s="1"/>
      <c r="M745" s="1" t="str">
        <f>VLOOKUP(B745,Bounties!A:D,3,FALSE)</f>
        <v>Operations</v>
      </c>
      <c r="N745" s="1" t="str">
        <f>VLOOKUP(B745,Bounties!A:D,4,FALSE)</f>
        <v>RPCs and Nodes</v>
      </c>
      <c r="O745" s="1" t="str">
        <f t="shared" ref="O745:P745" si="749">IF(ISBLANK(K745),M745,K745)</f>
        <v>Operations</v>
      </c>
      <c r="P745" s="1" t="str">
        <f t="shared" si="749"/>
        <v>RPCs and Nodes</v>
      </c>
      <c r="Q745" s="61" t="str">
        <f t="shared" si="3"/>
        <v>2024</v>
      </c>
      <c r="R745" s="62">
        <f t="shared" si="4"/>
        <v>2</v>
      </c>
      <c r="S745" s="61" t="str">
        <f t="shared" si="5"/>
        <v>2024-Q1</v>
      </c>
      <c r="T745" s="63" t="str">
        <f t="shared" si="6"/>
        <v>2024-02</v>
      </c>
      <c r="U745" s="64" t="str">
        <f t="shared" si="7"/>
        <v>2024-H1</v>
      </c>
      <c r="V745" s="9" t="str">
        <f>VLOOKUP(B745,Bounties!A:E,2,FALSE)</f>
        <v>System Parachains Collator Bounty</v>
      </c>
    </row>
    <row r="746" hidden="1">
      <c r="A746" s="67">
        <f>HYPERLINK("https://polkadot.subsquare.io/treasury/child-bounties/657", 657)</f>
        <v>657</v>
      </c>
      <c r="B746" s="1">
        <v>32.0</v>
      </c>
      <c r="C746" s="1" t="s">
        <v>2414</v>
      </c>
      <c r="D746" s="1" t="s">
        <v>284</v>
      </c>
      <c r="E746" s="5">
        <v>59.3189084249</v>
      </c>
      <c r="F746" s="4">
        <v>435.7604465104662</v>
      </c>
      <c r="G746" s="1" t="s">
        <v>2441</v>
      </c>
      <c r="H746" s="95">
        <v>45331.0</v>
      </c>
      <c r="I746" s="95">
        <v>45339.0</v>
      </c>
      <c r="J746" s="4">
        <v>458.72532640159994</v>
      </c>
      <c r="K746" s="1"/>
      <c r="L746" s="1"/>
      <c r="M746" s="1" t="str">
        <f>VLOOKUP(B746,Bounties!A:D,3,FALSE)</f>
        <v>Operations</v>
      </c>
      <c r="N746" s="1" t="str">
        <f>VLOOKUP(B746,Bounties!A:D,4,FALSE)</f>
        <v>RPCs and Nodes</v>
      </c>
      <c r="O746" s="1" t="str">
        <f t="shared" ref="O746:P746" si="750">IF(ISBLANK(K746),M746,K746)</f>
        <v>Operations</v>
      </c>
      <c r="P746" s="1" t="str">
        <f t="shared" si="750"/>
        <v>RPCs and Nodes</v>
      </c>
      <c r="Q746" s="61" t="str">
        <f t="shared" si="3"/>
        <v>2024</v>
      </c>
      <c r="R746" s="62">
        <f t="shared" si="4"/>
        <v>2</v>
      </c>
      <c r="S746" s="61" t="str">
        <f t="shared" si="5"/>
        <v>2024-Q1</v>
      </c>
      <c r="T746" s="63" t="str">
        <f t="shared" si="6"/>
        <v>2024-02</v>
      </c>
      <c r="U746" s="64" t="str">
        <f t="shared" si="7"/>
        <v>2024-H1</v>
      </c>
      <c r="V746" s="9" t="str">
        <f>VLOOKUP(B746,Bounties!A:E,2,FALSE)</f>
        <v>System Parachains Collator Bounty</v>
      </c>
    </row>
    <row r="747" hidden="1">
      <c r="A747" s="67">
        <f>HYPERLINK("https://polkadot.subsquare.io/treasury/child-bounties/656", 656)</f>
        <v>656</v>
      </c>
      <c r="B747" s="1">
        <v>32.0</v>
      </c>
      <c r="C747" s="1" t="s">
        <v>2414</v>
      </c>
      <c r="D747" s="1" t="s">
        <v>283</v>
      </c>
      <c r="E747" s="5">
        <v>59.2073119835</v>
      </c>
      <c r="F747" s="4">
        <v>434.94065200607116</v>
      </c>
      <c r="G747" s="1" t="s">
        <v>2583</v>
      </c>
      <c r="H747" s="95">
        <v>45331.0</v>
      </c>
      <c r="I747" s="95">
        <v>45339.0</v>
      </c>
      <c r="J747" s="4">
        <v>457.86232815423193</v>
      </c>
      <c r="K747" s="1"/>
      <c r="L747" s="1"/>
      <c r="M747" s="1" t="str">
        <f>VLOOKUP(B747,Bounties!A:D,3,FALSE)</f>
        <v>Operations</v>
      </c>
      <c r="N747" s="1" t="str">
        <f>VLOOKUP(B747,Bounties!A:D,4,FALSE)</f>
        <v>RPCs and Nodes</v>
      </c>
      <c r="O747" s="1" t="str">
        <f t="shared" ref="O747:P747" si="751">IF(ISBLANK(K747),M747,K747)</f>
        <v>Operations</v>
      </c>
      <c r="P747" s="1" t="str">
        <f t="shared" si="751"/>
        <v>RPCs and Nodes</v>
      </c>
      <c r="Q747" s="61" t="str">
        <f t="shared" si="3"/>
        <v>2024</v>
      </c>
      <c r="R747" s="62">
        <f t="shared" si="4"/>
        <v>2</v>
      </c>
      <c r="S747" s="61" t="str">
        <f t="shared" si="5"/>
        <v>2024-Q1</v>
      </c>
      <c r="T747" s="63" t="str">
        <f t="shared" si="6"/>
        <v>2024-02</v>
      </c>
      <c r="U747" s="64" t="str">
        <f t="shared" si="7"/>
        <v>2024-H1</v>
      </c>
      <c r="V747" s="9" t="str">
        <f>VLOOKUP(B747,Bounties!A:E,2,FALSE)</f>
        <v>System Parachains Collator Bounty</v>
      </c>
    </row>
    <row r="748" hidden="1">
      <c r="A748" s="67">
        <f>HYPERLINK("https://polkadot.subsquare.io/treasury/child-bounties/655", 655)</f>
        <v>655</v>
      </c>
      <c r="B748" s="1">
        <v>32.0</v>
      </c>
      <c r="C748" s="1" t="s">
        <v>2414</v>
      </c>
      <c r="D748" s="1" t="s">
        <v>282</v>
      </c>
      <c r="E748" s="5">
        <v>59.2865094581</v>
      </c>
      <c r="F748" s="4">
        <v>435.522441654778</v>
      </c>
      <c r="G748" s="1" t="s">
        <v>2442</v>
      </c>
      <c r="H748" s="95">
        <v>45331.0</v>
      </c>
      <c r="I748" s="95">
        <v>45339.0</v>
      </c>
      <c r="J748" s="4">
        <v>458.47477852378086</v>
      </c>
      <c r="K748" s="1"/>
      <c r="L748" s="1"/>
      <c r="M748" s="1" t="str">
        <f>VLOOKUP(B748,Bounties!A:D,3,FALSE)</f>
        <v>Operations</v>
      </c>
      <c r="N748" s="1" t="str">
        <f>VLOOKUP(B748,Bounties!A:D,4,FALSE)</f>
        <v>RPCs and Nodes</v>
      </c>
      <c r="O748" s="1" t="str">
        <f t="shared" ref="O748:P748" si="752">IF(ISBLANK(K748),M748,K748)</f>
        <v>Operations</v>
      </c>
      <c r="P748" s="1" t="str">
        <f t="shared" si="752"/>
        <v>RPCs and Nodes</v>
      </c>
      <c r="Q748" s="61" t="str">
        <f t="shared" si="3"/>
        <v>2024</v>
      </c>
      <c r="R748" s="62">
        <f t="shared" si="4"/>
        <v>2</v>
      </c>
      <c r="S748" s="61" t="str">
        <f t="shared" si="5"/>
        <v>2024-Q1</v>
      </c>
      <c r="T748" s="63" t="str">
        <f t="shared" si="6"/>
        <v>2024-02</v>
      </c>
      <c r="U748" s="64" t="str">
        <f t="shared" si="7"/>
        <v>2024-H1</v>
      </c>
      <c r="V748" s="9" t="str">
        <f>VLOOKUP(B748,Bounties!A:E,2,FALSE)</f>
        <v>System Parachains Collator Bounty</v>
      </c>
    </row>
    <row r="749" hidden="1">
      <c r="A749" s="67">
        <f>HYPERLINK("https://polkadot.subsquare.io/treasury/child-bounties/654", 654)</f>
        <v>654</v>
      </c>
      <c r="B749" s="1">
        <v>33.0</v>
      </c>
      <c r="C749" s="1" t="s">
        <v>2414</v>
      </c>
      <c r="D749" s="1" t="s">
        <v>281</v>
      </c>
      <c r="E749" s="5">
        <v>40697.67</v>
      </c>
      <c r="F749" s="4">
        <v>298967.6533510065</v>
      </c>
      <c r="G749" s="1" t="s">
        <v>2577</v>
      </c>
      <c r="H749" s="95">
        <v>45331.0</v>
      </c>
      <c r="I749" s="95">
        <v>45339.0</v>
      </c>
      <c r="J749" s="4">
        <v>314723.45749872207</v>
      </c>
      <c r="K749" s="1" t="s">
        <v>81</v>
      </c>
      <c r="L749" s="1" t="s">
        <v>84</v>
      </c>
      <c r="M749" s="1" t="str">
        <f>VLOOKUP(B749,Bounties!A:D,3,FALSE)</f>
        <v>Outreach</v>
      </c>
      <c r="N749" s="1" t="str">
        <f>VLOOKUP(B749,Bounties!A:D,4,FALSE)</f>
        <v>Advertising</v>
      </c>
      <c r="O749" s="1" t="str">
        <f t="shared" ref="O749:P749" si="753">IF(ISBLANK(K749),M749,K749)</f>
        <v>Outreach</v>
      </c>
      <c r="P749" s="1" t="str">
        <f t="shared" si="753"/>
        <v>Advertising/Influencers</v>
      </c>
      <c r="Q749" s="61" t="str">
        <f t="shared" si="3"/>
        <v>2024</v>
      </c>
      <c r="R749" s="62">
        <f t="shared" si="4"/>
        <v>2</v>
      </c>
      <c r="S749" s="61" t="str">
        <f t="shared" si="5"/>
        <v>2024-Q1</v>
      </c>
      <c r="T749" s="63" t="str">
        <f t="shared" si="6"/>
        <v>2024-02</v>
      </c>
      <c r="U749" s="64" t="str">
        <f t="shared" si="7"/>
        <v>2024-H1</v>
      </c>
      <c r="V749" s="9" t="str">
        <f>VLOOKUP(B749,Bounties!A:E,2,FALSE)</f>
        <v>Marketing Bounty</v>
      </c>
    </row>
    <row r="750" hidden="1">
      <c r="A750" s="67">
        <f>HYPERLINK("https://polkadot.subsquare.io/treasury/child-bounties/644", 644)</f>
        <v>644</v>
      </c>
      <c r="B750" s="1">
        <v>11.0</v>
      </c>
      <c r="C750" s="1" t="s">
        <v>2414</v>
      </c>
      <c r="D750" s="1" t="s">
        <v>280</v>
      </c>
      <c r="E750" s="5">
        <v>800.12</v>
      </c>
      <c r="F750" s="4">
        <v>5612.57462430954</v>
      </c>
      <c r="G750" s="1" t="s">
        <v>2527</v>
      </c>
      <c r="H750" s="95">
        <v>45327.0</v>
      </c>
      <c r="I750" s="95">
        <v>45336.0</v>
      </c>
      <c r="J750" s="4">
        <v>6164.407569942475</v>
      </c>
      <c r="K750" s="1"/>
      <c r="L750" s="1"/>
      <c r="M750" s="1" t="str">
        <f>VLOOKUP(B750,Bounties!A:D,3,FALSE)</f>
        <v>Research</v>
      </c>
      <c r="N750" s="1" t="str">
        <f>VLOOKUP(B750,Bounties!A:D,4,FALSE)</f>
        <v>Anti-Scam</v>
      </c>
      <c r="O750" s="1" t="str">
        <f t="shared" ref="O750:P750" si="754">IF(ISBLANK(K750),M750,K750)</f>
        <v>Research</v>
      </c>
      <c r="P750" s="1" t="str">
        <f t="shared" si="754"/>
        <v>Anti-Scam</v>
      </c>
      <c r="Q750" s="61" t="str">
        <f t="shared" si="3"/>
        <v>2024</v>
      </c>
      <c r="R750" s="62">
        <f t="shared" si="4"/>
        <v>2</v>
      </c>
      <c r="S750" s="61" t="str">
        <f t="shared" si="5"/>
        <v>2024-Q1</v>
      </c>
      <c r="T750" s="63" t="str">
        <f t="shared" si="6"/>
        <v>2024-02</v>
      </c>
      <c r="U750" s="64" t="str">
        <f t="shared" si="7"/>
        <v>2024-H1</v>
      </c>
      <c r="V750" s="9" t="str">
        <f>VLOOKUP(B750,Bounties!A:E,2,FALSE)</f>
        <v>Anti-Scam Bounty</v>
      </c>
    </row>
    <row r="751" hidden="1">
      <c r="A751" s="67">
        <f>HYPERLINK("https://polkadot.subsquare.io/treasury/child-bounties/643", 643)</f>
        <v>643</v>
      </c>
      <c r="B751" s="1">
        <v>11.0</v>
      </c>
      <c r="C751" s="1" t="s">
        <v>2414</v>
      </c>
      <c r="D751" s="1" t="s">
        <v>279</v>
      </c>
      <c r="E751" s="5">
        <v>473.66</v>
      </c>
      <c r="F751" s="4">
        <v>3322.5667356777194</v>
      </c>
      <c r="G751" s="1" t="s">
        <v>2463</v>
      </c>
      <c r="H751" s="95">
        <v>45327.0</v>
      </c>
      <c r="I751" s="95">
        <v>45339.0</v>
      </c>
      <c r="J751" s="4">
        <v>3803.0894519233707</v>
      </c>
      <c r="K751" s="1"/>
      <c r="L751" s="1"/>
      <c r="M751" s="1" t="str">
        <f>VLOOKUP(B751,Bounties!A:D,3,FALSE)</f>
        <v>Research</v>
      </c>
      <c r="N751" s="1" t="str">
        <f>VLOOKUP(B751,Bounties!A:D,4,FALSE)</f>
        <v>Anti-Scam</v>
      </c>
      <c r="O751" s="1" t="str">
        <f t="shared" ref="O751:P751" si="755">IF(ISBLANK(K751),M751,K751)</f>
        <v>Research</v>
      </c>
      <c r="P751" s="1" t="str">
        <f t="shared" si="755"/>
        <v>Anti-Scam</v>
      </c>
      <c r="Q751" s="61" t="str">
        <f t="shared" si="3"/>
        <v>2024</v>
      </c>
      <c r="R751" s="62">
        <f t="shared" si="4"/>
        <v>2</v>
      </c>
      <c r="S751" s="61" t="str">
        <f t="shared" si="5"/>
        <v>2024-Q1</v>
      </c>
      <c r="T751" s="63" t="str">
        <f t="shared" si="6"/>
        <v>2024-02</v>
      </c>
      <c r="U751" s="64" t="str">
        <f t="shared" si="7"/>
        <v>2024-H1</v>
      </c>
      <c r="V751" s="9" t="str">
        <f>VLOOKUP(B751,Bounties!A:E,2,FALSE)</f>
        <v>Anti-Scam Bounty</v>
      </c>
    </row>
    <row r="752" hidden="1">
      <c r="A752" s="67">
        <f>HYPERLINK("https://polkadot.subsquare.io/treasury/child-bounties/642", 642)</f>
        <v>642</v>
      </c>
      <c r="B752" s="1">
        <v>11.0</v>
      </c>
      <c r="C752" s="1" t="s">
        <v>2414</v>
      </c>
      <c r="D752" s="1" t="s">
        <v>278</v>
      </c>
      <c r="E752" s="5">
        <v>1034.84</v>
      </c>
      <c r="F752" s="4">
        <v>7259.057046718597</v>
      </c>
      <c r="G752" s="1" t="s">
        <v>2438</v>
      </c>
      <c r="H752" s="95">
        <v>45327.0</v>
      </c>
      <c r="I752" s="95">
        <v>45336.0</v>
      </c>
      <c r="J752" s="4">
        <v>7972.773496074676</v>
      </c>
      <c r="K752" s="1"/>
      <c r="L752" s="1"/>
      <c r="M752" s="1" t="str">
        <f>VLOOKUP(B752,Bounties!A:D,3,FALSE)</f>
        <v>Research</v>
      </c>
      <c r="N752" s="1" t="str">
        <f>VLOOKUP(B752,Bounties!A:D,4,FALSE)</f>
        <v>Anti-Scam</v>
      </c>
      <c r="O752" s="1" t="str">
        <f t="shared" ref="O752:P752" si="756">IF(ISBLANK(K752),M752,K752)</f>
        <v>Research</v>
      </c>
      <c r="P752" s="1" t="str">
        <f t="shared" si="756"/>
        <v>Anti-Scam</v>
      </c>
      <c r="Q752" s="61" t="str">
        <f t="shared" si="3"/>
        <v>2024</v>
      </c>
      <c r="R752" s="62">
        <f t="shared" si="4"/>
        <v>2</v>
      </c>
      <c r="S752" s="61" t="str">
        <f t="shared" si="5"/>
        <v>2024-Q1</v>
      </c>
      <c r="T752" s="63" t="str">
        <f t="shared" si="6"/>
        <v>2024-02</v>
      </c>
      <c r="U752" s="64" t="str">
        <f t="shared" si="7"/>
        <v>2024-H1</v>
      </c>
      <c r="V752" s="9" t="str">
        <f>VLOOKUP(B752,Bounties!A:E,2,FALSE)</f>
        <v>Anti-Scam Bounty</v>
      </c>
    </row>
    <row r="753" hidden="1">
      <c r="A753" s="67">
        <f>HYPERLINK("https://polkadot.subsquare.io/treasury/child-bounties/641", 641)</f>
        <v>641</v>
      </c>
      <c r="B753" s="1">
        <v>11.0</v>
      </c>
      <c r="C753" s="1" t="s">
        <v>2508</v>
      </c>
      <c r="D753" s="1" t="s">
        <v>2664</v>
      </c>
      <c r="E753" s="5">
        <v>652.39</v>
      </c>
      <c r="F753" s="4">
        <v>4527.54090801239</v>
      </c>
      <c r="G753" s="1"/>
      <c r="H753" s="95">
        <v>45327.0</v>
      </c>
      <c r="I753" s="95">
        <v>45327.0</v>
      </c>
      <c r="J753" s="4">
        <v>4527.54090801239</v>
      </c>
      <c r="K753" s="1"/>
      <c r="L753" s="1"/>
      <c r="M753" s="1" t="str">
        <f>VLOOKUP(B753,Bounties!A:D,3,FALSE)</f>
        <v>Research</v>
      </c>
      <c r="N753" s="1" t="str">
        <f>VLOOKUP(B753,Bounties!A:D,4,FALSE)</f>
        <v>Anti-Scam</v>
      </c>
      <c r="O753" s="1" t="str">
        <f t="shared" ref="O753:P753" si="757">IF(ISBLANK(K753),M753,K753)</f>
        <v>Research</v>
      </c>
      <c r="P753" s="1" t="str">
        <f t="shared" si="757"/>
        <v>Anti-Scam</v>
      </c>
      <c r="Q753" s="61" t="str">
        <f t="shared" si="3"/>
        <v>2024</v>
      </c>
      <c r="R753" s="62">
        <f t="shared" si="4"/>
        <v>2</v>
      </c>
      <c r="S753" s="61" t="str">
        <f t="shared" si="5"/>
        <v>2024-Q1</v>
      </c>
      <c r="T753" s="63" t="str">
        <f t="shared" si="6"/>
        <v>2024-02</v>
      </c>
      <c r="U753" s="64" t="str">
        <f t="shared" si="7"/>
        <v>2024-H1</v>
      </c>
      <c r="V753" s="9" t="str">
        <f>VLOOKUP(B753,Bounties!A:E,2,FALSE)</f>
        <v>Anti-Scam Bounty</v>
      </c>
    </row>
    <row r="754" hidden="1">
      <c r="A754" s="67">
        <f>HYPERLINK("https://polkadot.subsquare.io/treasury/child-bounties/640", 640)</f>
        <v>640</v>
      </c>
      <c r="B754" s="1">
        <v>11.0</v>
      </c>
      <c r="C754" s="1" t="s">
        <v>2508</v>
      </c>
      <c r="D754" s="1" t="s">
        <v>2665</v>
      </c>
      <c r="E754" s="5">
        <v>325.93</v>
      </c>
      <c r="F754" s="4">
        <v>2261.931372566223</v>
      </c>
      <c r="G754" s="1"/>
      <c r="H754" s="95">
        <v>45327.0</v>
      </c>
      <c r="I754" s="95">
        <v>45327.0</v>
      </c>
      <c r="J754" s="4">
        <v>2261.931372566223</v>
      </c>
      <c r="K754" s="1"/>
      <c r="L754" s="1"/>
      <c r="M754" s="1" t="str">
        <f>VLOOKUP(B754,Bounties!A:D,3,FALSE)</f>
        <v>Research</v>
      </c>
      <c r="N754" s="1" t="str">
        <f>VLOOKUP(B754,Bounties!A:D,4,FALSE)</f>
        <v>Anti-Scam</v>
      </c>
      <c r="O754" s="1" t="str">
        <f t="shared" ref="O754:P754" si="758">IF(ISBLANK(K754),M754,K754)</f>
        <v>Research</v>
      </c>
      <c r="P754" s="1" t="str">
        <f t="shared" si="758"/>
        <v>Anti-Scam</v>
      </c>
      <c r="Q754" s="61" t="str">
        <f t="shared" si="3"/>
        <v>2024</v>
      </c>
      <c r="R754" s="62">
        <f t="shared" si="4"/>
        <v>2</v>
      </c>
      <c r="S754" s="61" t="str">
        <f t="shared" si="5"/>
        <v>2024-Q1</v>
      </c>
      <c r="T754" s="63" t="str">
        <f t="shared" si="6"/>
        <v>2024-02</v>
      </c>
      <c r="U754" s="64" t="str">
        <f t="shared" si="7"/>
        <v>2024-H1</v>
      </c>
      <c r="V754" s="9" t="str">
        <f>VLOOKUP(B754,Bounties!A:E,2,FALSE)</f>
        <v>Anti-Scam Bounty</v>
      </c>
    </row>
    <row r="755" hidden="1">
      <c r="A755" s="67">
        <f>HYPERLINK("https://polkadot.subsquare.io/treasury/child-bounties/639", 639)</f>
        <v>639</v>
      </c>
      <c r="B755" s="1">
        <v>11.0</v>
      </c>
      <c r="C755" s="1" t="s">
        <v>2508</v>
      </c>
      <c r="D755" s="1" t="s">
        <v>2666</v>
      </c>
      <c r="E755" s="5">
        <v>887.1</v>
      </c>
      <c r="F755" s="4">
        <v>6156.4118694305425</v>
      </c>
      <c r="G755" s="1"/>
      <c r="H755" s="95">
        <v>45327.0</v>
      </c>
      <c r="I755" s="95">
        <v>45327.0</v>
      </c>
      <c r="J755" s="4">
        <v>6156.4118694305425</v>
      </c>
      <c r="K755" s="1"/>
      <c r="L755" s="1"/>
      <c r="M755" s="1" t="str">
        <f>VLOOKUP(B755,Bounties!A:D,3,FALSE)</f>
        <v>Research</v>
      </c>
      <c r="N755" s="1" t="str">
        <f>VLOOKUP(B755,Bounties!A:D,4,FALSE)</f>
        <v>Anti-Scam</v>
      </c>
      <c r="O755" s="1" t="str">
        <f t="shared" ref="O755:P755" si="759">IF(ISBLANK(K755),M755,K755)</f>
        <v>Research</v>
      </c>
      <c r="P755" s="1" t="str">
        <f t="shared" si="759"/>
        <v>Anti-Scam</v>
      </c>
      <c r="Q755" s="61" t="str">
        <f t="shared" si="3"/>
        <v>2024</v>
      </c>
      <c r="R755" s="62">
        <f t="shared" si="4"/>
        <v>2</v>
      </c>
      <c r="S755" s="61" t="str">
        <f t="shared" si="5"/>
        <v>2024-Q1</v>
      </c>
      <c r="T755" s="63" t="str">
        <f t="shared" si="6"/>
        <v>2024-02</v>
      </c>
      <c r="U755" s="64" t="str">
        <f t="shared" si="7"/>
        <v>2024-H1</v>
      </c>
      <c r="V755" s="9" t="str">
        <f>VLOOKUP(B755,Bounties!A:E,2,FALSE)</f>
        <v>Anti-Scam Bounty</v>
      </c>
    </row>
    <row r="756" hidden="1">
      <c r="A756" s="67">
        <f>HYPERLINK("https://polkadot.subsquare.io/treasury/child-bounties/638", 638)</f>
        <v>638</v>
      </c>
      <c r="B756" s="1">
        <v>11.0</v>
      </c>
      <c r="C756" s="1" t="s">
        <v>2414</v>
      </c>
      <c r="D756" s="1" t="s">
        <v>277</v>
      </c>
      <c r="E756" s="5">
        <v>367.5238795004</v>
      </c>
      <c r="F756" s="4">
        <v>2550.589983153447</v>
      </c>
      <c r="G756" s="1" t="s">
        <v>2495</v>
      </c>
      <c r="H756" s="95">
        <v>45327.0</v>
      </c>
      <c r="I756" s="95">
        <v>45340.0</v>
      </c>
      <c r="J756" s="4">
        <v>2842.1377948592535</v>
      </c>
      <c r="K756" s="1"/>
      <c r="L756" s="1"/>
      <c r="M756" s="1" t="str">
        <f>VLOOKUP(B756,Bounties!A:D,3,FALSE)</f>
        <v>Research</v>
      </c>
      <c r="N756" s="1" t="str">
        <f>VLOOKUP(B756,Bounties!A:D,4,FALSE)</f>
        <v>Anti-Scam</v>
      </c>
      <c r="O756" s="1" t="str">
        <f t="shared" ref="O756:P756" si="760">IF(ISBLANK(K756),M756,K756)</f>
        <v>Research</v>
      </c>
      <c r="P756" s="1" t="str">
        <f t="shared" si="760"/>
        <v>Anti-Scam</v>
      </c>
      <c r="Q756" s="61" t="str">
        <f t="shared" si="3"/>
        <v>2024</v>
      </c>
      <c r="R756" s="62">
        <f t="shared" si="4"/>
        <v>2</v>
      </c>
      <c r="S756" s="61" t="str">
        <f t="shared" si="5"/>
        <v>2024-Q1</v>
      </c>
      <c r="T756" s="63" t="str">
        <f t="shared" si="6"/>
        <v>2024-02</v>
      </c>
      <c r="U756" s="64" t="str">
        <f t="shared" si="7"/>
        <v>2024-H1</v>
      </c>
      <c r="V756" s="9" t="str">
        <f>VLOOKUP(B756,Bounties!A:E,2,FALSE)</f>
        <v>Anti-Scam Bounty</v>
      </c>
    </row>
    <row r="757" hidden="1">
      <c r="A757" s="67">
        <f>HYPERLINK("https://polkadot.subsquare.io/treasury/child-bounties/637", 637)</f>
        <v>637</v>
      </c>
      <c r="B757" s="1">
        <v>11.0</v>
      </c>
      <c r="C757" s="1" t="s">
        <v>2414</v>
      </c>
      <c r="D757" s="1" t="s">
        <v>276</v>
      </c>
      <c r="E757" s="5">
        <v>267.8912564291</v>
      </c>
      <c r="F757" s="4">
        <v>1859.1465570925175</v>
      </c>
      <c r="G757" s="1" t="s">
        <v>2496</v>
      </c>
      <c r="H757" s="95">
        <v>45327.0</v>
      </c>
      <c r="I757" s="95">
        <v>45341.0</v>
      </c>
      <c r="J757" s="4">
        <v>2000.693128601259</v>
      </c>
      <c r="K757" s="1"/>
      <c r="L757" s="1"/>
      <c r="M757" s="1" t="str">
        <f>VLOOKUP(B757,Bounties!A:D,3,FALSE)</f>
        <v>Research</v>
      </c>
      <c r="N757" s="1" t="str">
        <f>VLOOKUP(B757,Bounties!A:D,4,FALSE)</f>
        <v>Anti-Scam</v>
      </c>
      <c r="O757" s="1" t="str">
        <f t="shared" ref="O757:P757" si="761">IF(ISBLANK(K757),M757,K757)</f>
        <v>Research</v>
      </c>
      <c r="P757" s="1" t="str">
        <f t="shared" si="761"/>
        <v>Anti-Scam</v>
      </c>
      <c r="Q757" s="61" t="str">
        <f t="shared" si="3"/>
        <v>2024</v>
      </c>
      <c r="R757" s="62">
        <f t="shared" si="4"/>
        <v>2</v>
      </c>
      <c r="S757" s="61" t="str">
        <f t="shared" si="5"/>
        <v>2024-Q1</v>
      </c>
      <c r="T757" s="63" t="str">
        <f t="shared" si="6"/>
        <v>2024-02</v>
      </c>
      <c r="U757" s="64" t="str">
        <f t="shared" si="7"/>
        <v>2024-H1</v>
      </c>
      <c r="V757" s="9" t="str">
        <f>VLOOKUP(B757,Bounties!A:E,2,FALSE)</f>
        <v>Anti-Scam Bounty</v>
      </c>
    </row>
    <row r="758" hidden="1">
      <c r="A758" s="67">
        <f>HYPERLINK("https://polkadot.subsquare.io/treasury/child-bounties/636", 636)</f>
        <v>636</v>
      </c>
      <c r="B758" s="1">
        <v>11.0</v>
      </c>
      <c r="C758" s="1" t="s">
        <v>2414</v>
      </c>
      <c r="D758" s="1" t="s">
        <v>275</v>
      </c>
      <c r="E758" s="5">
        <v>367.6708302719</v>
      </c>
      <c r="F758" s="4">
        <v>2551.6098112155423</v>
      </c>
      <c r="G758" s="1" t="s">
        <v>2497</v>
      </c>
      <c r="H758" s="95">
        <v>45327.0</v>
      </c>
      <c r="I758" s="95">
        <v>45344.0</v>
      </c>
      <c r="J758" s="4">
        <v>2913.078727834608</v>
      </c>
      <c r="K758" s="1"/>
      <c r="L758" s="1"/>
      <c r="M758" s="1" t="str">
        <f>VLOOKUP(B758,Bounties!A:D,3,FALSE)</f>
        <v>Research</v>
      </c>
      <c r="N758" s="1" t="str">
        <f>VLOOKUP(B758,Bounties!A:D,4,FALSE)</f>
        <v>Anti-Scam</v>
      </c>
      <c r="O758" s="1" t="str">
        <f t="shared" ref="O758:P758" si="762">IF(ISBLANK(K758),M758,K758)</f>
        <v>Research</v>
      </c>
      <c r="P758" s="1" t="str">
        <f t="shared" si="762"/>
        <v>Anti-Scam</v>
      </c>
      <c r="Q758" s="61" t="str">
        <f t="shared" si="3"/>
        <v>2024</v>
      </c>
      <c r="R758" s="62">
        <f t="shared" si="4"/>
        <v>2</v>
      </c>
      <c r="S758" s="61" t="str">
        <f t="shared" si="5"/>
        <v>2024-Q1</v>
      </c>
      <c r="T758" s="63" t="str">
        <f t="shared" si="6"/>
        <v>2024-02</v>
      </c>
      <c r="U758" s="64" t="str">
        <f t="shared" si="7"/>
        <v>2024-H1</v>
      </c>
      <c r="V758" s="9" t="str">
        <f>VLOOKUP(B758,Bounties!A:E,2,FALSE)</f>
        <v>Anti-Scam Bounty</v>
      </c>
    </row>
    <row r="759" hidden="1">
      <c r="A759" s="67">
        <f>HYPERLINK("https://polkadot.subsquare.io/treasury/child-bounties/635", 635)</f>
        <v>635</v>
      </c>
      <c r="B759" s="1">
        <v>11.0</v>
      </c>
      <c r="C759" s="1" t="s">
        <v>2414</v>
      </c>
      <c r="D759" s="1" t="s">
        <v>274</v>
      </c>
      <c r="E759" s="5">
        <v>81.4107274063</v>
      </c>
      <c r="F759" s="4">
        <v>564.9847463680753</v>
      </c>
      <c r="G759" s="1" t="s">
        <v>2438</v>
      </c>
      <c r="H759" s="95">
        <v>45327.0</v>
      </c>
      <c r="I759" s="95">
        <v>45336.0</v>
      </c>
      <c r="J759" s="4">
        <v>627.2170478152265</v>
      </c>
      <c r="K759" s="1"/>
      <c r="L759" s="1"/>
      <c r="M759" s="1" t="str">
        <f>VLOOKUP(B759,Bounties!A:D,3,FALSE)</f>
        <v>Research</v>
      </c>
      <c r="N759" s="1" t="str">
        <f>VLOOKUP(B759,Bounties!A:D,4,FALSE)</f>
        <v>Anti-Scam</v>
      </c>
      <c r="O759" s="1" t="str">
        <f t="shared" ref="O759:P759" si="763">IF(ISBLANK(K759),M759,K759)</f>
        <v>Research</v>
      </c>
      <c r="P759" s="1" t="str">
        <f t="shared" si="763"/>
        <v>Anti-Scam</v>
      </c>
      <c r="Q759" s="61" t="str">
        <f t="shared" si="3"/>
        <v>2024</v>
      </c>
      <c r="R759" s="62">
        <f t="shared" si="4"/>
        <v>2</v>
      </c>
      <c r="S759" s="61" t="str">
        <f t="shared" si="5"/>
        <v>2024-Q1</v>
      </c>
      <c r="T759" s="63" t="str">
        <f t="shared" si="6"/>
        <v>2024-02</v>
      </c>
      <c r="U759" s="64" t="str">
        <f t="shared" si="7"/>
        <v>2024-H1</v>
      </c>
      <c r="V759" s="9" t="str">
        <f>VLOOKUP(B759,Bounties!A:E,2,FALSE)</f>
        <v>Anti-Scam Bounty</v>
      </c>
    </row>
    <row r="760" hidden="1">
      <c r="A760" s="67">
        <f>HYPERLINK("https://polkadot.subsquare.io/treasury/child-bounties/634", 634)</f>
        <v>634</v>
      </c>
      <c r="B760" s="1">
        <v>22.0</v>
      </c>
      <c r="C760" s="1" t="s">
        <v>2414</v>
      </c>
      <c r="D760" s="1" t="s">
        <v>273</v>
      </c>
      <c r="E760" s="5">
        <v>1008.0</v>
      </c>
      <c r="F760" s="4">
        <v>6995.449401855469</v>
      </c>
      <c r="G760" s="1" t="s">
        <v>2415</v>
      </c>
      <c r="H760" s="95">
        <v>45326.0</v>
      </c>
      <c r="I760" s="95">
        <v>45353.0</v>
      </c>
      <c r="J760" s="4">
        <v>9405.031173706055</v>
      </c>
      <c r="K760" s="1"/>
      <c r="L760" s="1"/>
      <c r="M760" s="1" t="str">
        <f>VLOOKUP(B760,Bounties!A:D,3,FALSE)</f>
        <v>Development</v>
      </c>
      <c r="N760" s="1" t="str">
        <f>VLOOKUP(B760,Bounties!A:D,4,FALSE)</f>
        <v>Ecosystem Services</v>
      </c>
      <c r="O760" s="1" t="str">
        <f t="shared" ref="O760:P760" si="764">IF(ISBLANK(K760),M760,K760)</f>
        <v>Development</v>
      </c>
      <c r="P760" s="1" t="str">
        <f t="shared" si="764"/>
        <v>Ecosystem Services</v>
      </c>
      <c r="Q760" s="61" t="str">
        <f t="shared" si="3"/>
        <v>2024</v>
      </c>
      <c r="R760" s="62">
        <f t="shared" si="4"/>
        <v>3</v>
      </c>
      <c r="S760" s="61" t="str">
        <f t="shared" si="5"/>
        <v>2024-Q1</v>
      </c>
      <c r="T760" s="63" t="str">
        <f t="shared" si="6"/>
        <v>2024-03</v>
      </c>
      <c r="U760" s="64" t="str">
        <f t="shared" si="7"/>
        <v>2024-H1</v>
      </c>
      <c r="V760" s="9" t="str">
        <f>VLOOKUP(B760,Bounties!A:E,2,FALSE)</f>
        <v>Polkadot Assurance Legion Bounty</v>
      </c>
    </row>
    <row r="761" hidden="1">
      <c r="A761" s="67">
        <f>HYPERLINK("https://polkadot.subsquare.io/treasury/child-bounties/633", 633)</f>
        <v>633</v>
      </c>
      <c r="B761" s="1">
        <v>19.0</v>
      </c>
      <c r="C761" s="1" t="s">
        <v>2414</v>
      </c>
      <c r="D761" s="1" t="s">
        <v>272</v>
      </c>
      <c r="E761" s="5">
        <v>5167.0</v>
      </c>
      <c r="F761" s="4">
        <v>35165.08795452118</v>
      </c>
      <c r="G761" s="1" t="s">
        <v>2667</v>
      </c>
      <c r="H761" s="95">
        <v>45326.0</v>
      </c>
      <c r="I761" s="95">
        <v>45335.0</v>
      </c>
      <c r="J761" s="4">
        <v>39566.725192546844</v>
      </c>
      <c r="K761" s="1"/>
      <c r="L761" s="1"/>
      <c r="M761" s="1" t="str">
        <f>VLOOKUP(B761,Bounties!A:D,3,FALSE)</f>
        <v>Development</v>
      </c>
      <c r="N761" s="1" t="str">
        <f>VLOOKUP(B761,Bounties!A:D,4,FALSE)</f>
        <v>Smart Contracts</v>
      </c>
      <c r="O761" s="1" t="str">
        <f t="shared" ref="O761:P761" si="765">IF(ISBLANK(K761),M761,K761)</f>
        <v>Development</v>
      </c>
      <c r="P761" s="1" t="str">
        <f t="shared" si="765"/>
        <v>Smart Contracts</v>
      </c>
      <c r="Q761" s="61" t="str">
        <f t="shared" si="3"/>
        <v>2024</v>
      </c>
      <c r="R761" s="62">
        <f t="shared" si="4"/>
        <v>2</v>
      </c>
      <c r="S761" s="61" t="str">
        <f t="shared" si="5"/>
        <v>2024-Q1</v>
      </c>
      <c r="T761" s="63" t="str">
        <f t="shared" si="6"/>
        <v>2024-02</v>
      </c>
      <c r="U761" s="64" t="str">
        <f t="shared" si="7"/>
        <v>2024-H1</v>
      </c>
      <c r="V761" s="9" t="str">
        <f>VLOOKUP(B761,Bounties!A:E,2,FALSE)</f>
        <v>Wasm Smart Contracts Bounty</v>
      </c>
    </row>
    <row r="762" hidden="1">
      <c r="A762" s="67">
        <f>HYPERLINK("https://polkadot.subsquare.io/treasury/child-bounties/632", 632)</f>
        <v>632</v>
      </c>
      <c r="B762" s="1">
        <v>11.0</v>
      </c>
      <c r="C762" s="1" t="s">
        <v>2414</v>
      </c>
      <c r="D762" s="1" t="s">
        <v>271</v>
      </c>
      <c r="E762" s="5">
        <v>73.3460466</v>
      </c>
      <c r="F762" s="4">
        <v>493.39254250956657</v>
      </c>
      <c r="G762" s="1" t="s">
        <v>2526</v>
      </c>
      <c r="H762" s="95">
        <v>45324.0</v>
      </c>
      <c r="I762" s="95">
        <v>45334.0</v>
      </c>
      <c r="J762" s="4">
        <v>561.7036098106527</v>
      </c>
      <c r="K762" s="1"/>
      <c r="L762" s="1"/>
      <c r="M762" s="1" t="str">
        <f>VLOOKUP(B762,Bounties!A:D,3,FALSE)</f>
        <v>Research</v>
      </c>
      <c r="N762" s="1" t="str">
        <f>VLOOKUP(B762,Bounties!A:D,4,FALSE)</f>
        <v>Anti-Scam</v>
      </c>
      <c r="O762" s="1" t="str">
        <f t="shared" ref="O762:P762" si="766">IF(ISBLANK(K762),M762,K762)</f>
        <v>Research</v>
      </c>
      <c r="P762" s="1" t="str">
        <f t="shared" si="766"/>
        <v>Anti-Scam</v>
      </c>
      <c r="Q762" s="61" t="str">
        <f t="shared" si="3"/>
        <v>2024</v>
      </c>
      <c r="R762" s="62">
        <f t="shared" si="4"/>
        <v>2</v>
      </c>
      <c r="S762" s="61" t="str">
        <f t="shared" si="5"/>
        <v>2024-Q1</v>
      </c>
      <c r="T762" s="63" t="str">
        <f t="shared" si="6"/>
        <v>2024-02</v>
      </c>
      <c r="U762" s="64" t="str">
        <f t="shared" si="7"/>
        <v>2024-H1</v>
      </c>
      <c r="V762" s="9" t="str">
        <f>VLOOKUP(B762,Bounties!A:E,2,FALSE)</f>
        <v>Anti-Scam Bounty</v>
      </c>
    </row>
    <row r="763" hidden="1">
      <c r="A763" s="67">
        <f>HYPERLINK("https://polkadot.subsquare.io/treasury/child-bounties/631", 631)</f>
        <v>631</v>
      </c>
      <c r="B763" s="1">
        <v>11.0</v>
      </c>
      <c r="C763" s="1" t="s">
        <v>2414</v>
      </c>
      <c r="D763" s="1" t="s">
        <v>270</v>
      </c>
      <c r="E763" s="5">
        <v>105.618307</v>
      </c>
      <c r="F763" s="4">
        <v>710.4852605141768</v>
      </c>
      <c r="G763" s="1" t="s">
        <v>2535</v>
      </c>
      <c r="H763" s="95">
        <v>45324.0</v>
      </c>
      <c r="I763" s="95">
        <v>45333.0</v>
      </c>
      <c r="J763" s="4">
        <v>808.8531973308802</v>
      </c>
      <c r="K763" s="1"/>
      <c r="L763" s="1"/>
      <c r="M763" s="1" t="str">
        <f>VLOOKUP(B763,Bounties!A:D,3,FALSE)</f>
        <v>Research</v>
      </c>
      <c r="N763" s="1" t="str">
        <f>VLOOKUP(B763,Bounties!A:D,4,FALSE)</f>
        <v>Anti-Scam</v>
      </c>
      <c r="O763" s="1" t="str">
        <f t="shared" ref="O763:P763" si="767">IF(ISBLANK(K763),M763,K763)</f>
        <v>Research</v>
      </c>
      <c r="P763" s="1" t="str">
        <f t="shared" si="767"/>
        <v>Anti-Scam</v>
      </c>
      <c r="Q763" s="61" t="str">
        <f t="shared" si="3"/>
        <v>2024</v>
      </c>
      <c r="R763" s="62">
        <f t="shared" si="4"/>
        <v>2</v>
      </c>
      <c r="S763" s="61" t="str">
        <f t="shared" si="5"/>
        <v>2024-Q1</v>
      </c>
      <c r="T763" s="63" t="str">
        <f t="shared" si="6"/>
        <v>2024-02</v>
      </c>
      <c r="U763" s="64" t="str">
        <f t="shared" si="7"/>
        <v>2024-H1</v>
      </c>
      <c r="V763" s="9" t="str">
        <f>VLOOKUP(B763,Bounties!A:E,2,FALSE)</f>
        <v>Anti-Scam Bounty</v>
      </c>
    </row>
    <row r="764" hidden="1">
      <c r="A764" s="67">
        <f>HYPERLINK("https://polkadot.subsquare.io/treasury/child-bounties/630", 630)</f>
        <v>630</v>
      </c>
      <c r="B764" s="1">
        <v>11.0</v>
      </c>
      <c r="C764" s="1" t="s">
        <v>2414</v>
      </c>
      <c r="D764" s="1" t="s">
        <v>269</v>
      </c>
      <c r="E764" s="5">
        <v>246.442717</v>
      </c>
      <c r="F764" s="4">
        <v>1657.7989456843552</v>
      </c>
      <c r="G764" s="1" t="s">
        <v>2527</v>
      </c>
      <c r="H764" s="95">
        <v>45324.0</v>
      </c>
      <c r="I764" s="95">
        <v>45333.0</v>
      </c>
      <c r="J764" s="4">
        <v>1814.5412527624273</v>
      </c>
      <c r="K764" s="1"/>
      <c r="L764" s="1"/>
      <c r="M764" s="1" t="str">
        <f>VLOOKUP(B764,Bounties!A:D,3,FALSE)</f>
        <v>Research</v>
      </c>
      <c r="N764" s="1" t="str">
        <f>VLOOKUP(B764,Bounties!A:D,4,FALSE)</f>
        <v>Anti-Scam</v>
      </c>
      <c r="O764" s="1" t="str">
        <f t="shared" ref="O764:P764" si="768">IF(ISBLANK(K764),M764,K764)</f>
        <v>Research</v>
      </c>
      <c r="P764" s="1" t="str">
        <f t="shared" si="768"/>
        <v>Anti-Scam</v>
      </c>
      <c r="Q764" s="61" t="str">
        <f t="shared" si="3"/>
        <v>2024</v>
      </c>
      <c r="R764" s="62">
        <f t="shared" si="4"/>
        <v>2</v>
      </c>
      <c r="S764" s="61" t="str">
        <f t="shared" si="5"/>
        <v>2024-Q1</v>
      </c>
      <c r="T764" s="63" t="str">
        <f t="shared" si="6"/>
        <v>2024-02</v>
      </c>
      <c r="U764" s="64" t="str">
        <f t="shared" si="7"/>
        <v>2024-H1</v>
      </c>
      <c r="V764" s="9" t="str">
        <f>VLOOKUP(B764,Bounties!A:E,2,FALSE)</f>
        <v>Anti-Scam Bounty</v>
      </c>
    </row>
    <row r="765" hidden="1">
      <c r="A765" s="67">
        <f>HYPERLINK("https://polkadot.subsquare.io/treasury/child-bounties/629", 629)</f>
        <v>629</v>
      </c>
      <c r="B765" s="1">
        <v>11.0</v>
      </c>
      <c r="C765" s="1" t="s">
        <v>2414</v>
      </c>
      <c r="D765" s="1" t="s">
        <v>268</v>
      </c>
      <c r="E765" s="5">
        <v>7.0525</v>
      </c>
      <c r="F765" s="4">
        <v>47.020627034902574</v>
      </c>
      <c r="G765" s="1" t="s">
        <v>2494</v>
      </c>
      <c r="H765" s="95">
        <v>45323.0</v>
      </c>
      <c r="I765" s="95">
        <v>45337.0</v>
      </c>
      <c r="J765" s="4">
        <v>55.36254132628441</v>
      </c>
      <c r="K765" s="1"/>
      <c r="L765" s="1"/>
      <c r="M765" s="1" t="str">
        <f>VLOOKUP(B765,Bounties!A:D,3,FALSE)</f>
        <v>Research</v>
      </c>
      <c r="N765" s="1" t="str">
        <f>VLOOKUP(B765,Bounties!A:D,4,FALSE)</f>
        <v>Anti-Scam</v>
      </c>
      <c r="O765" s="1" t="str">
        <f t="shared" ref="O765:P765" si="769">IF(ISBLANK(K765),M765,K765)</f>
        <v>Research</v>
      </c>
      <c r="P765" s="1" t="str">
        <f t="shared" si="769"/>
        <v>Anti-Scam</v>
      </c>
      <c r="Q765" s="61" t="str">
        <f t="shared" si="3"/>
        <v>2024</v>
      </c>
      <c r="R765" s="62">
        <f t="shared" si="4"/>
        <v>2</v>
      </c>
      <c r="S765" s="61" t="str">
        <f t="shared" si="5"/>
        <v>2024-Q1</v>
      </c>
      <c r="T765" s="63" t="str">
        <f t="shared" si="6"/>
        <v>2024-02</v>
      </c>
      <c r="U765" s="64" t="str">
        <f t="shared" si="7"/>
        <v>2024-H1</v>
      </c>
      <c r="V765" s="9" t="str">
        <f>VLOOKUP(B765,Bounties!A:E,2,FALSE)</f>
        <v>Anti-Scam Bounty</v>
      </c>
    </row>
    <row r="766" hidden="1">
      <c r="A766" s="67">
        <f>HYPERLINK("https://polkadot.subsquare.io/treasury/child-bounties/628", 628)</f>
        <v>628</v>
      </c>
      <c r="B766" s="1">
        <v>11.0</v>
      </c>
      <c r="C766" s="1" t="s">
        <v>2414</v>
      </c>
      <c r="D766" s="1" t="s">
        <v>267</v>
      </c>
      <c r="E766" s="5">
        <v>14.3467</v>
      </c>
      <c r="F766" s="4">
        <v>95.65272313103677</v>
      </c>
      <c r="G766" s="1" t="s">
        <v>2438</v>
      </c>
      <c r="H766" s="95">
        <v>45323.0</v>
      </c>
      <c r="I766" s="95">
        <v>45332.0</v>
      </c>
      <c r="J766" s="4">
        <v>105.63379315042496</v>
      </c>
      <c r="K766" s="1"/>
      <c r="L766" s="1"/>
      <c r="M766" s="1" t="str">
        <f>VLOOKUP(B766,Bounties!A:D,3,FALSE)</f>
        <v>Research</v>
      </c>
      <c r="N766" s="1" t="str">
        <f>VLOOKUP(B766,Bounties!A:D,4,FALSE)</f>
        <v>Anti-Scam</v>
      </c>
      <c r="O766" s="1" t="str">
        <f t="shared" ref="O766:P766" si="770">IF(ISBLANK(K766),M766,K766)</f>
        <v>Research</v>
      </c>
      <c r="P766" s="1" t="str">
        <f t="shared" si="770"/>
        <v>Anti-Scam</v>
      </c>
      <c r="Q766" s="61" t="str">
        <f t="shared" si="3"/>
        <v>2024</v>
      </c>
      <c r="R766" s="62">
        <f t="shared" si="4"/>
        <v>2</v>
      </c>
      <c r="S766" s="61" t="str">
        <f t="shared" si="5"/>
        <v>2024-Q1</v>
      </c>
      <c r="T766" s="63" t="str">
        <f t="shared" si="6"/>
        <v>2024-02</v>
      </c>
      <c r="U766" s="64" t="str">
        <f t="shared" si="7"/>
        <v>2024-H1</v>
      </c>
      <c r="V766" s="9" t="str">
        <f>VLOOKUP(B766,Bounties!A:E,2,FALSE)</f>
        <v>Anti-Scam Bounty</v>
      </c>
    </row>
    <row r="767" hidden="1">
      <c r="A767" s="67">
        <f>HYPERLINK("https://polkadot.subsquare.io/treasury/child-bounties/627", 627)</f>
        <v>627</v>
      </c>
      <c r="B767" s="1">
        <v>11.0</v>
      </c>
      <c r="C767" s="1" t="s">
        <v>2414</v>
      </c>
      <c r="D767" s="1" t="s">
        <v>266</v>
      </c>
      <c r="E767" s="5">
        <v>58.9188392988</v>
      </c>
      <c r="F767" s="4">
        <v>392.82534817415603</v>
      </c>
      <c r="G767" s="1" t="s">
        <v>2527</v>
      </c>
      <c r="H767" s="95">
        <v>45323.0</v>
      </c>
      <c r="I767" s="95">
        <v>45332.0</v>
      </c>
      <c r="J767" s="4">
        <v>433.8154755555332</v>
      </c>
      <c r="K767" s="1"/>
      <c r="L767" s="1"/>
      <c r="M767" s="1" t="str">
        <f>VLOOKUP(B767,Bounties!A:D,3,FALSE)</f>
        <v>Research</v>
      </c>
      <c r="N767" s="1" t="str">
        <f>VLOOKUP(B767,Bounties!A:D,4,FALSE)</f>
        <v>Anti-Scam</v>
      </c>
      <c r="O767" s="1" t="str">
        <f t="shared" ref="O767:P767" si="771">IF(ISBLANK(K767),M767,K767)</f>
        <v>Research</v>
      </c>
      <c r="P767" s="1" t="str">
        <f t="shared" si="771"/>
        <v>Anti-Scam</v>
      </c>
      <c r="Q767" s="61" t="str">
        <f t="shared" si="3"/>
        <v>2024</v>
      </c>
      <c r="R767" s="62">
        <f t="shared" si="4"/>
        <v>2</v>
      </c>
      <c r="S767" s="61" t="str">
        <f t="shared" si="5"/>
        <v>2024-Q1</v>
      </c>
      <c r="T767" s="63" t="str">
        <f t="shared" si="6"/>
        <v>2024-02</v>
      </c>
      <c r="U767" s="64" t="str">
        <f t="shared" si="7"/>
        <v>2024-H1</v>
      </c>
      <c r="V767" s="9" t="str">
        <f>VLOOKUP(B767,Bounties!A:E,2,FALSE)</f>
        <v>Anti-Scam Bounty</v>
      </c>
    </row>
    <row r="768" hidden="1">
      <c r="A768" s="67">
        <f>HYPERLINK("https://polkadot.subsquare.io/treasury/child-bounties/626", 626)</f>
        <v>626</v>
      </c>
      <c r="B768" s="1">
        <v>11.0</v>
      </c>
      <c r="C768" s="1" t="s">
        <v>2414</v>
      </c>
      <c r="D768" s="1" t="s">
        <v>265</v>
      </c>
      <c r="E768" s="5">
        <v>58.9188392988</v>
      </c>
      <c r="F768" s="4">
        <v>392.82534817415603</v>
      </c>
      <c r="G768" s="1" t="s">
        <v>2463</v>
      </c>
      <c r="H768" s="95">
        <v>45323.0</v>
      </c>
      <c r="I768" s="95">
        <v>45333.0</v>
      </c>
      <c r="J768" s="4">
        <v>433.8154755555332</v>
      </c>
      <c r="K768" s="1"/>
      <c r="L768" s="1"/>
      <c r="M768" s="1" t="str">
        <f>VLOOKUP(B768,Bounties!A:D,3,FALSE)</f>
        <v>Research</v>
      </c>
      <c r="N768" s="1" t="str">
        <f>VLOOKUP(B768,Bounties!A:D,4,FALSE)</f>
        <v>Anti-Scam</v>
      </c>
      <c r="O768" s="1" t="str">
        <f t="shared" ref="O768:P768" si="772">IF(ISBLANK(K768),M768,K768)</f>
        <v>Research</v>
      </c>
      <c r="P768" s="1" t="str">
        <f t="shared" si="772"/>
        <v>Anti-Scam</v>
      </c>
      <c r="Q768" s="61" t="str">
        <f t="shared" si="3"/>
        <v>2024</v>
      </c>
      <c r="R768" s="62">
        <f t="shared" si="4"/>
        <v>2</v>
      </c>
      <c r="S768" s="61" t="str">
        <f t="shared" si="5"/>
        <v>2024-Q1</v>
      </c>
      <c r="T768" s="63" t="str">
        <f t="shared" si="6"/>
        <v>2024-02</v>
      </c>
      <c r="U768" s="64" t="str">
        <f t="shared" si="7"/>
        <v>2024-H1</v>
      </c>
      <c r="V768" s="9" t="str">
        <f>VLOOKUP(B768,Bounties!A:E,2,FALSE)</f>
        <v>Anti-Scam Bounty</v>
      </c>
    </row>
    <row r="769" hidden="1">
      <c r="A769" s="67">
        <f>HYPERLINK("https://polkadot.subsquare.io/treasury/child-bounties/625", 625)</f>
        <v>625</v>
      </c>
      <c r="B769" s="1">
        <v>11.0</v>
      </c>
      <c r="C769" s="1" t="s">
        <v>2414</v>
      </c>
      <c r="D769" s="1" t="s">
        <v>264</v>
      </c>
      <c r="E769" s="5">
        <v>58.9188392988</v>
      </c>
      <c r="F769" s="4">
        <v>392.82534817415603</v>
      </c>
      <c r="G769" s="1" t="s">
        <v>2438</v>
      </c>
      <c r="H769" s="95">
        <v>45323.0</v>
      </c>
      <c r="I769" s="95">
        <v>45332.0</v>
      </c>
      <c r="J769" s="4">
        <v>433.8154755555332</v>
      </c>
      <c r="K769" s="1"/>
      <c r="L769" s="1"/>
      <c r="M769" s="1" t="str">
        <f>VLOOKUP(B769,Bounties!A:D,3,FALSE)</f>
        <v>Research</v>
      </c>
      <c r="N769" s="1" t="str">
        <f>VLOOKUP(B769,Bounties!A:D,4,FALSE)</f>
        <v>Anti-Scam</v>
      </c>
      <c r="O769" s="1" t="str">
        <f t="shared" ref="O769:P769" si="773">IF(ISBLANK(K769),M769,K769)</f>
        <v>Research</v>
      </c>
      <c r="P769" s="1" t="str">
        <f t="shared" si="773"/>
        <v>Anti-Scam</v>
      </c>
      <c r="Q769" s="61" t="str">
        <f t="shared" si="3"/>
        <v>2024</v>
      </c>
      <c r="R769" s="62">
        <f t="shared" si="4"/>
        <v>2</v>
      </c>
      <c r="S769" s="61" t="str">
        <f t="shared" si="5"/>
        <v>2024-Q1</v>
      </c>
      <c r="T769" s="63" t="str">
        <f t="shared" si="6"/>
        <v>2024-02</v>
      </c>
      <c r="U769" s="64" t="str">
        <f t="shared" si="7"/>
        <v>2024-H1</v>
      </c>
      <c r="V769" s="9" t="str">
        <f>VLOOKUP(B769,Bounties!A:E,2,FALSE)</f>
        <v>Anti-Scam Bounty</v>
      </c>
    </row>
    <row r="770" hidden="1">
      <c r="A770" s="67">
        <f>HYPERLINK("https://polkadot.subsquare.io/treasury/child-bounties/624", 624)</f>
        <v>624</v>
      </c>
      <c r="B770" s="1">
        <v>11.0</v>
      </c>
      <c r="C770" s="1" t="s">
        <v>2414</v>
      </c>
      <c r="D770" s="1" t="s">
        <v>263</v>
      </c>
      <c r="E770" s="5">
        <v>73.87</v>
      </c>
      <c r="F770" s="4">
        <v>504.64216924190526</v>
      </c>
      <c r="G770" s="1" t="s">
        <v>2534</v>
      </c>
      <c r="H770" s="95">
        <v>45322.0</v>
      </c>
      <c r="I770" s="95">
        <v>45332.0</v>
      </c>
      <c r="J770" s="4">
        <v>543.8998724460602</v>
      </c>
      <c r="K770" s="1"/>
      <c r="L770" s="1"/>
      <c r="M770" s="1" t="str">
        <f>VLOOKUP(B770,Bounties!A:D,3,FALSE)</f>
        <v>Research</v>
      </c>
      <c r="N770" s="1" t="str">
        <f>VLOOKUP(B770,Bounties!A:D,4,FALSE)</f>
        <v>Anti-Scam</v>
      </c>
      <c r="O770" s="1" t="str">
        <f t="shared" ref="O770:P770" si="774">IF(ISBLANK(K770),M770,K770)</f>
        <v>Research</v>
      </c>
      <c r="P770" s="1" t="str">
        <f t="shared" si="774"/>
        <v>Anti-Scam</v>
      </c>
      <c r="Q770" s="61" t="str">
        <f t="shared" si="3"/>
        <v>2024</v>
      </c>
      <c r="R770" s="62">
        <f t="shared" si="4"/>
        <v>2</v>
      </c>
      <c r="S770" s="61" t="str">
        <f t="shared" si="5"/>
        <v>2024-Q1</v>
      </c>
      <c r="T770" s="63" t="str">
        <f t="shared" si="6"/>
        <v>2024-02</v>
      </c>
      <c r="U770" s="64" t="str">
        <f t="shared" si="7"/>
        <v>2024-H1</v>
      </c>
      <c r="V770" s="9" t="str">
        <f>VLOOKUP(B770,Bounties!A:E,2,FALSE)</f>
        <v>Anti-Scam Bounty</v>
      </c>
    </row>
    <row r="771" hidden="1">
      <c r="A771" s="67">
        <f>HYPERLINK("https://polkadot.subsquare.io/treasury/child-bounties/623", 623)</f>
        <v>623</v>
      </c>
      <c r="B771" s="1">
        <v>11.0</v>
      </c>
      <c r="C771" s="1" t="s">
        <v>2414</v>
      </c>
      <c r="D771" s="1" t="s">
        <v>262</v>
      </c>
      <c r="E771" s="5">
        <v>88.64</v>
      </c>
      <c r="F771" s="4">
        <v>605.543277130127</v>
      </c>
      <c r="G771" s="1" t="s">
        <v>2531</v>
      </c>
      <c r="H771" s="95">
        <v>45322.0</v>
      </c>
      <c r="I771" s="95">
        <v>45332.0</v>
      </c>
      <c r="J771" s="4">
        <v>651.1550364685058</v>
      </c>
      <c r="K771" s="1"/>
      <c r="L771" s="1"/>
      <c r="M771" s="1" t="str">
        <f>VLOOKUP(B771,Bounties!A:D,3,FALSE)</f>
        <v>Research</v>
      </c>
      <c r="N771" s="1" t="str">
        <f>VLOOKUP(B771,Bounties!A:D,4,FALSE)</f>
        <v>Anti-Scam</v>
      </c>
      <c r="O771" s="1" t="str">
        <f t="shared" ref="O771:P771" si="775">IF(ISBLANK(K771),M771,K771)</f>
        <v>Research</v>
      </c>
      <c r="P771" s="1" t="str">
        <f t="shared" si="775"/>
        <v>Anti-Scam</v>
      </c>
      <c r="Q771" s="61" t="str">
        <f t="shared" si="3"/>
        <v>2024</v>
      </c>
      <c r="R771" s="62">
        <f t="shared" si="4"/>
        <v>2</v>
      </c>
      <c r="S771" s="61" t="str">
        <f t="shared" si="5"/>
        <v>2024-Q1</v>
      </c>
      <c r="T771" s="63" t="str">
        <f t="shared" si="6"/>
        <v>2024-02</v>
      </c>
      <c r="U771" s="64" t="str">
        <f t="shared" si="7"/>
        <v>2024-H1</v>
      </c>
      <c r="V771" s="9" t="str">
        <f>VLOOKUP(B771,Bounties!A:E,2,FALSE)</f>
        <v>Anti-Scam Bounty</v>
      </c>
    </row>
    <row r="772" hidden="1">
      <c r="A772" s="67">
        <f>HYPERLINK("https://polkadot.subsquare.io/treasury/child-bounties/622", 622)</f>
        <v>622</v>
      </c>
      <c r="B772" s="1">
        <v>11.0</v>
      </c>
      <c r="C772" s="1" t="s">
        <v>2414</v>
      </c>
      <c r="D772" s="1" t="s">
        <v>261</v>
      </c>
      <c r="E772" s="5">
        <v>106.37</v>
      </c>
      <c r="F772" s="4">
        <v>726.665595536232</v>
      </c>
      <c r="G772" s="1" t="s">
        <v>2463</v>
      </c>
      <c r="H772" s="95">
        <v>45322.0</v>
      </c>
      <c r="I772" s="95">
        <v>45332.0</v>
      </c>
      <c r="J772" s="4">
        <v>781.4007358884812</v>
      </c>
      <c r="K772" s="1"/>
      <c r="L772" s="1"/>
      <c r="M772" s="1" t="str">
        <f>VLOOKUP(B772,Bounties!A:D,3,FALSE)</f>
        <v>Research</v>
      </c>
      <c r="N772" s="1" t="str">
        <f>VLOOKUP(B772,Bounties!A:D,4,FALSE)</f>
        <v>Anti-Scam</v>
      </c>
      <c r="O772" s="1" t="str">
        <f t="shared" ref="O772:P772" si="776">IF(ISBLANK(K772),M772,K772)</f>
        <v>Research</v>
      </c>
      <c r="P772" s="1" t="str">
        <f t="shared" si="776"/>
        <v>Anti-Scam</v>
      </c>
      <c r="Q772" s="61" t="str">
        <f t="shared" si="3"/>
        <v>2024</v>
      </c>
      <c r="R772" s="62">
        <f t="shared" si="4"/>
        <v>2</v>
      </c>
      <c r="S772" s="61" t="str">
        <f t="shared" si="5"/>
        <v>2024-Q1</v>
      </c>
      <c r="T772" s="63" t="str">
        <f t="shared" si="6"/>
        <v>2024-02</v>
      </c>
      <c r="U772" s="64" t="str">
        <f t="shared" si="7"/>
        <v>2024-H1</v>
      </c>
      <c r="V772" s="9" t="str">
        <f>VLOOKUP(B772,Bounties!A:E,2,FALSE)</f>
        <v>Anti-Scam Bounty</v>
      </c>
    </row>
    <row r="773" hidden="1">
      <c r="A773" s="67">
        <f>HYPERLINK("https://polkadot.subsquare.io/treasury/child-bounties/621", 621)</f>
        <v>621</v>
      </c>
      <c r="B773" s="1">
        <v>11.0</v>
      </c>
      <c r="C773" s="1" t="s">
        <v>2414</v>
      </c>
      <c r="D773" s="1" t="s">
        <v>260</v>
      </c>
      <c r="E773" s="5">
        <v>177.28</v>
      </c>
      <c r="F773" s="4">
        <v>1211.086554260254</v>
      </c>
      <c r="G773" s="1" t="s">
        <v>2524</v>
      </c>
      <c r="H773" s="95">
        <v>45322.0</v>
      </c>
      <c r="I773" s="95">
        <v>45331.0</v>
      </c>
      <c r="J773" s="4">
        <v>1302.3100729370117</v>
      </c>
      <c r="K773" s="1"/>
      <c r="L773" s="1"/>
      <c r="M773" s="1" t="str">
        <f>VLOOKUP(B773,Bounties!A:D,3,FALSE)</f>
        <v>Research</v>
      </c>
      <c r="N773" s="1" t="str">
        <f>VLOOKUP(B773,Bounties!A:D,4,FALSE)</f>
        <v>Anti-Scam</v>
      </c>
      <c r="O773" s="1" t="str">
        <f t="shared" ref="O773:P773" si="777">IF(ISBLANK(K773),M773,K773)</f>
        <v>Research</v>
      </c>
      <c r="P773" s="1" t="str">
        <f t="shared" si="777"/>
        <v>Anti-Scam</v>
      </c>
      <c r="Q773" s="61" t="str">
        <f t="shared" si="3"/>
        <v>2024</v>
      </c>
      <c r="R773" s="62">
        <f t="shared" si="4"/>
        <v>2</v>
      </c>
      <c r="S773" s="61" t="str">
        <f t="shared" si="5"/>
        <v>2024-Q1</v>
      </c>
      <c r="T773" s="63" t="str">
        <f t="shared" si="6"/>
        <v>2024-02</v>
      </c>
      <c r="U773" s="64" t="str">
        <f t="shared" si="7"/>
        <v>2024-H1</v>
      </c>
      <c r="V773" s="9" t="str">
        <f>VLOOKUP(B773,Bounties!A:E,2,FALSE)</f>
        <v>Anti-Scam Bounty</v>
      </c>
    </row>
    <row r="774" hidden="1">
      <c r="A774" s="67">
        <f>HYPERLINK("https://polkadot.subsquare.io/treasury/child-bounties/620", 620)</f>
        <v>620</v>
      </c>
      <c r="B774" s="1">
        <v>11.0</v>
      </c>
      <c r="C774" s="1" t="s">
        <v>2414</v>
      </c>
      <c r="D774" s="1" t="s">
        <v>259</v>
      </c>
      <c r="E774" s="5">
        <v>212.73</v>
      </c>
      <c r="F774" s="4">
        <v>1453.2628761720657</v>
      </c>
      <c r="G774" s="1" t="s">
        <v>2534</v>
      </c>
      <c r="H774" s="95">
        <v>45322.0</v>
      </c>
      <c r="I774" s="95">
        <v>45332.0</v>
      </c>
      <c r="J774" s="4">
        <v>1566.3167708873748</v>
      </c>
      <c r="K774" s="1"/>
      <c r="L774" s="1"/>
      <c r="M774" s="1" t="str">
        <f>VLOOKUP(B774,Bounties!A:D,3,FALSE)</f>
        <v>Research</v>
      </c>
      <c r="N774" s="1" t="str">
        <f>VLOOKUP(B774,Bounties!A:D,4,FALSE)</f>
        <v>Anti-Scam</v>
      </c>
      <c r="O774" s="1" t="str">
        <f t="shared" ref="O774:P774" si="778">IF(ISBLANK(K774),M774,K774)</f>
        <v>Research</v>
      </c>
      <c r="P774" s="1" t="str">
        <f t="shared" si="778"/>
        <v>Anti-Scam</v>
      </c>
      <c r="Q774" s="61" t="str">
        <f t="shared" si="3"/>
        <v>2024</v>
      </c>
      <c r="R774" s="62">
        <f t="shared" si="4"/>
        <v>2</v>
      </c>
      <c r="S774" s="61" t="str">
        <f t="shared" si="5"/>
        <v>2024-Q1</v>
      </c>
      <c r="T774" s="63" t="str">
        <f t="shared" si="6"/>
        <v>2024-02</v>
      </c>
      <c r="U774" s="64" t="str">
        <f t="shared" si="7"/>
        <v>2024-H1</v>
      </c>
      <c r="V774" s="9" t="str">
        <f>VLOOKUP(B774,Bounties!A:E,2,FALSE)</f>
        <v>Anti-Scam Bounty</v>
      </c>
    </row>
    <row r="775" hidden="1">
      <c r="A775" s="67">
        <f>HYPERLINK("https://polkadot.subsquare.io/treasury/child-bounties/619", 619)</f>
        <v>619</v>
      </c>
      <c r="B775" s="1">
        <v>11.0</v>
      </c>
      <c r="C775" s="1" t="s">
        <v>2414</v>
      </c>
      <c r="D775" s="1" t="s">
        <v>258</v>
      </c>
      <c r="E775" s="5">
        <v>35.46</v>
      </c>
      <c r="F775" s="4">
        <v>242.24463681221008</v>
      </c>
      <c r="G775" s="1" t="s">
        <v>2527</v>
      </c>
      <c r="H775" s="95">
        <v>45322.0</v>
      </c>
      <c r="I775" s="95">
        <v>45332.0</v>
      </c>
      <c r="J775" s="4">
        <v>261.0896098136902</v>
      </c>
      <c r="K775" s="1"/>
      <c r="L775" s="1"/>
      <c r="M775" s="1" t="str">
        <f>VLOOKUP(B775,Bounties!A:D,3,FALSE)</f>
        <v>Research</v>
      </c>
      <c r="N775" s="1" t="str">
        <f>VLOOKUP(B775,Bounties!A:D,4,FALSE)</f>
        <v>Anti-Scam</v>
      </c>
      <c r="O775" s="1" t="str">
        <f t="shared" ref="O775:P775" si="779">IF(ISBLANK(K775),M775,K775)</f>
        <v>Research</v>
      </c>
      <c r="P775" s="1" t="str">
        <f t="shared" si="779"/>
        <v>Anti-Scam</v>
      </c>
      <c r="Q775" s="61" t="str">
        <f t="shared" si="3"/>
        <v>2024</v>
      </c>
      <c r="R775" s="62">
        <f t="shared" si="4"/>
        <v>2</v>
      </c>
      <c r="S775" s="61" t="str">
        <f t="shared" si="5"/>
        <v>2024-Q1</v>
      </c>
      <c r="T775" s="63" t="str">
        <f t="shared" si="6"/>
        <v>2024-02</v>
      </c>
      <c r="U775" s="64" t="str">
        <f t="shared" si="7"/>
        <v>2024-H1</v>
      </c>
      <c r="V775" s="9" t="str">
        <f>VLOOKUP(B775,Bounties!A:E,2,FALSE)</f>
        <v>Anti-Scam Bounty</v>
      </c>
    </row>
    <row r="776" hidden="1">
      <c r="A776" s="67">
        <f>HYPERLINK("https://polkadot.subsquare.io/treasury/child-bounties/618", 618)</f>
        <v>618</v>
      </c>
      <c r="B776" s="1">
        <v>11.0</v>
      </c>
      <c r="C776" s="1" t="s">
        <v>2414</v>
      </c>
      <c r="D776" s="1" t="s">
        <v>257</v>
      </c>
      <c r="E776" s="5">
        <v>73.866</v>
      </c>
      <c r="F776" s="4">
        <v>504.6148432817459</v>
      </c>
      <c r="G776" s="1" t="s">
        <v>2528</v>
      </c>
      <c r="H776" s="95">
        <v>45322.0</v>
      </c>
      <c r="I776" s="95">
        <v>45332.0</v>
      </c>
      <c r="J776" s="4">
        <v>542.6242996816635</v>
      </c>
      <c r="K776" s="1"/>
      <c r="L776" s="1"/>
      <c r="M776" s="1" t="str">
        <f>VLOOKUP(B776,Bounties!A:D,3,FALSE)</f>
        <v>Research</v>
      </c>
      <c r="N776" s="1" t="str">
        <f>VLOOKUP(B776,Bounties!A:D,4,FALSE)</f>
        <v>Anti-Scam</v>
      </c>
      <c r="O776" s="1" t="str">
        <f t="shared" ref="O776:P776" si="780">IF(ISBLANK(K776),M776,K776)</f>
        <v>Research</v>
      </c>
      <c r="P776" s="1" t="str">
        <f t="shared" si="780"/>
        <v>Anti-Scam</v>
      </c>
      <c r="Q776" s="61" t="str">
        <f t="shared" si="3"/>
        <v>2024</v>
      </c>
      <c r="R776" s="62">
        <f t="shared" si="4"/>
        <v>2</v>
      </c>
      <c r="S776" s="61" t="str">
        <f t="shared" si="5"/>
        <v>2024-Q1</v>
      </c>
      <c r="T776" s="63" t="str">
        <f t="shared" si="6"/>
        <v>2024-02</v>
      </c>
      <c r="U776" s="64" t="str">
        <f t="shared" si="7"/>
        <v>2024-H1</v>
      </c>
      <c r="V776" s="9" t="str">
        <f>VLOOKUP(B776,Bounties!A:E,2,FALSE)</f>
        <v>Anti-Scam Bounty</v>
      </c>
    </row>
    <row r="777" hidden="1">
      <c r="A777" s="67">
        <f>HYPERLINK("https://polkadot.subsquare.io/treasury/child-bounties/617", 617)</f>
        <v>617</v>
      </c>
      <c r="B777" s="1">
        <v>11.0</v>
      </c>
      <c r="C777" s="1" t="s">
        <v>2508</v>
      </c>
      <c r="D777" s="1" t="s">
        <v>2668</v>
      </c>
      <c r="E777" s="5">
        <v>800.1181858</v>
      </c>
      <c r="F777" s="4">
        <v>5465.9994169759</v>
      </c>
      <c r="G777" s="1"/>
      <c r="H777" s="95">
        <v>45322.0</v>
      </c>
      <c r="I777" s="95">
        <v>45327.0</v>
      </c>
      <c r="J777" s="4">
        <v>5552.764170901084</v>
      </c>
      <c r="K777" s="1"/>
      <c r="L777" s="1"/>
      <c r="M777" s="1" t="str">
        <f>VLOOKUP(B777,Bounties!A:D,3,FALSE)</f>
        <v>Research</v>
      </c>
      <c r="N777" s="1" t="str">
        <f>VLOOKUP(B777,Bounties!A:D,4,FALSE)</f>
        <v>Anti-Scam</v>
      </c>
      <c r="O777" s="1" t="str">
        <f t="shared" ref="O777:P777" si="781">IF(ISBLANK(K777),M777,K777)</f>
        <v>Research</v>
      </c>
      <c r="P777" s="1" t="str">
        <f t="shared" si="781"/>
        <v>Anti-Scam</v>
      </c>
      <c r="Q777" s="61" t="str">
        <f t="shared" si="3"/>
        <v>2024</v>
      </c>
      <c r="R777" s="62">
        <f t="shared" si="4"/>
        <v>2</v>
      </c>
      <c r="S777" s="61" t="str">
        <f t="shared" si="5"/>
        <v>2024-Q1</v>
      </c>
      <c r="T777" s="63" t="str">
        <f t="shared" si="6"/>
        <v>2024-02</v>
      </c>
      <c r="U777" s="64" t="str">
        <f t="shared" si="7"/>
        <v>2024-H1</v>
      </c>
      <c r="V777" s="9" t="str">
        <f>VLOOKUP(B777,Bounties!A:E,2,FALSE)</f>
        <v>Anti-Scam Bounty</v>
      </c>
    </row>
    <row r="778" hidden="1">
      <c r="A778" s="67">
        <f>HYPERLINK("https://polkadot.subsquare.io/treasury/child-bounties/616", 616)</f>
        <v>616</v>
      </c>
      <c r="B778" s="1">
        <v>11.0</v>
      </c>
      <c r="C778" s="1" t="s">
        <v>2508</v>
      </c>
      <c r="D778" s="1" t="s">
        <v>2669</v>
      </c>
      <c r="E778" s="5">
        <v>473.6593293</v>
      </c>
      <c r="F778" s="4">
        <v>3235.798990383348</v>
      </c>
      <c r="G778" s="1"/>
      <c r="H778" s="95">
        <v>45322.0</v>
      </c>
      <c r="I778" s="95">
        <v>45327.0</v>
      </c>
      <c r="J778" s="4">
        <v>3287.1625712648292</v>
      </c>
      <c r="K778" s="1"/>
      <c r="L778" s="1"/>
      <c r="M778" s="1" t="str">
        <f>VLOOKUP(B778,Bounties!A:D,3,FALSE)</f>
        <v>Research</v>
      </c>
      <c r="N778" s="1" t="str">
        <f>VLOOKUP(B778,Bounties!A:D,4,FALSE)</f>
        <v>Anti-Scam</v>
      </c>
      <c r="O778" s="1" t="str">
        <f t="shared" ref="O778:P778" si="782">IF(ISBLANK(K778),M778,K778)</f>
        <v>Research</v>
      </c>
      <c r="P778" s="1" t="str">
        <f t="shared" si="782"/>
        <v>Anti-Scam</v>
      </c>
      <c r="Q778" s="61" t="str">
        <f t="shared" si="3"/>
        <v>2024</v>
      </c>
      <c r="R778" s="62">
        <f t="shared" si="4"/>
        <v>2</v>
      </c>
      <c r="S778" s="61" t="str">
        <f t="shared" si="5"/>
        <v>2024-Q1</v>
      </c>
      <c r="T778" s="63" t="str">
        <f t="shared" si="6"/>
        <v>2024-02</v>
      </c>
      <c r="U778" s="64" t="str">
        <f t="shared" si="7"/>
        <v>2024-H1</v>
      </c>
      <c r="V778" s="9" t="str">
        <f>VLOOKUP(B778,Bounties!A:E,2,FALSE)</f>
        <v>Anti-Scam Bounty</v>
      </c>
    </row>
    <row r="779" hidden="1">
      <c r="A779" s="67">
        <f>HYPERLINK("https://polkadot.subsquare.io/treasury/child-bounties/615", 615)</f>
        <v>615</v>
      </c>
      <c r="B779" s="1">
        <v>11.0</v>
      </c>
      <c r="C779" s="1" t="s">
        <v>2508</v>
      </c>
      <c r="D779" s="1" t="s">
        <v>2670</v>
      </c>
      <c r="E779" s="5">
        <v>1034.835278</v>
      </c>
      <c r="F779" s="4">
        <v>7069.46689451699</v>
      </c>
      <c r="G779" s="1"/>
      <c r="H779" s="95">
        <v>45322.0</v>
      </c>
      <c r="I779" s="95">
        <v>45327.0</v>
      </c>
      <c r="J779" s="4">
        <v>7181.684351690514</v>
      </c>
      <c r="K779" s="1"/>
      <c r="L779" s="1"/>
      <c r="M779" s="1" t="str">
        <f>VLOOKUP(B779,Bounties!A:D,3,FALSE)</f>
        <v>Research</v>
      </c>
      <c r="N779" s="1" t="str">
        <f>VLOOKUP(B779,Bounties!A:D,4,FALSE)</f>
        <v>Anti-Scam</v>
      </c>
      <c r="O779" s="1" t="str">
        <f t="shared" ref="O779:P779" si="783">IF(ISBLANK(K779),M779,K779)</f>
        <v>Research</v>
      </c>
      <c r="P779" s="1" t="str">
        <f t="shared" si="783"/>
        <v>Anti-Scam</v>
      </c>
      <c r="Q779" s="61" t="str">
        <f t="shared" si="3"/>
        <v>2024</v>
      </c>
      <c r="R779" s="62">
        <f t="shared" si="4"/>
        <v>2</v>
      </c>
      <c r="S779" s="61" t="str">
        <f t="shared" si="5"/>
        <v>2024-Q1</v>
      </c>
      <c r="T779" s="63" t="str">
        <f t="shared" si="6"/>
        <v>2024-02</v>
      </c>
      <c r="U779" s="64" t="str">
        <f t="shared" si="7"/>
        <v>2024-H1</v>
      </c>
      <c r="V779" s="9" t="str">
        <f>VLOOKUP(B779,Bounties!A:E,2,FALSE)</f>
        <v>Anti-Scam Bounty</v>
      </c>
    </row>
    <row r="780" hidden="1">
      <c r="A780" s="67">
        <f>HYPERLINK("https://polkadot.subsquare.io/treasury/child-bounties/614", 614)</f>
        <v>614</v>
      </c>
      <c r="B780" s="1">
        <v>11.0</v>
      </c>
      <c r="C780" s="1" t="s">
        <v>2414</v>
      </c>
      <c r="D780" s="1" t="s">
        <v>256</v>
      </c>
      <c r="E780" s="5">
        <v>73.866</v>
      </c>
      <c r="F780" s="4">
        <v>504.6148432817459</v>
      </c>
      <c r="G780" s="1" t="s">
        <v>2433</v>
      </c>
      <c r="H780" s="95">
        <v>45322.0</v>
      </c>
      <c r="I780" s="95">
        <v>45331.0</v>
      </c>
      <c r="J780" s="4">
        <v>542.6242996816635</v>
      </c>
      <c r="K780" s="1"/>
      <c r="L780" s="1"/>
      <c r="M780" s="1" t="str">
        <f>VLOOKUP(B780,Bounties!A:D,3,FALSE)</f>
        <v>Research</v>
      </c>
      <c r="N780" s="1" t="str">
        <f>VLOOKUP(B780,Bounties!A:D,4,FALSE)</f>
        <v>Anti-Scam</v>
      </c>
      <c r="O780" s="1" t="str">
        <f t="shared" ref="O780:P780" si="784">IF(ISBLANK(K780),M780,K780)</f>
        <v>Research</v>
      </c>
      <c r="P780" s="1" t="str">
        <f t="shared" si="784"/>
        <v>Anti-Scam</v>
      </c>
      <c r="Q780" s="61" t="str">
        <f t="shared" si="3"/>
        <v>2024</v>
      </c>
      <c r="R780" s="62">
        <f t="shared" si="4"/>
        <v>2</v>
      </c>
      <c r="S780" s="61" t="str">
        <f t="shared" si="5"/>
        <v>2024-Q1</v>
      </c>
      <c r="T780" s="63" t="str">
        <f t="shared" si="6"/>
        <v>2024-02</v>
      </c>
      <c r="U780" s="64" t="str">
        <f t="shared" si="7"/>
        <v>2024-H1</v>
      </c>
      <c r="V780" s="9" t="str">
        <f>VLOOKUP(B780,Bounties!A:E,2,FALSE)</f>
        <v>Anti-Scam Bounty</v>
      </c>
    </row>
    <row r="781" hidden="1">
      <c r="A781" s="67">
        <f>HYPERLINK("https://polkadot.subsquare.io/treasury/child-bounties/613", 613)</f>
        <v>613</v>
      </c>
      <c r="B781" s="1">
        <v>11.0</v>
      </c>
      <c r="C781" s="1" t="s">
        <v>2414</v>
      </c>
      <c r="D781" s="1" t="s">
        <v>255</v>
      </c>
      <c r="E781" s="5">
        <v>177.278</v>
      </c>
      <c r="F781" s="4">
        <v>1211.0728912801742</v>
      </c>
      <c r="G781" s="1" t="s">
        <v>2433</v>
      </c>
      <c r="H781" s="95">
        <v>45322.0</v>
      </c>
      <c r="I781" s="95">
        <v>45331.0</v>
      </c>
      <c r="J781" s="4">
        <v>1302.2953808107375</v>
      </c>
      <c r="K781" s="1"/>
      <c r="L781" s="1"/>
      <c r="M781" s="1" t="str">
        <f>VLOOKUP(B781,Bounties!A:D,3,FALSE)</f>
        <v>Research</v>
      </c>
      <c r="N781" s="1" t="str">
        <f>VLOOKUP(B781,Bounties!A:D,4,FALSE)</f>
        <v>Anti-Scam</v>
      </c>
      <c r="O781" s="1" t="str">
        <f t="shared" ref="O781:P781" si="785">IF(ISBLANK(K781),M781,K781)</f>
        <v>Research</v>
      </c>
      <c r="P781" s="1" t="str">
        <f t="shared" si="785"/>
        <v>Anti-Scam</v>
      </c>
      <c r="Q781" s="61" t="str">
        <f t="shared" si="3"/>
        <v>2024</v>
      </c>
      <c r="R781" s="62">
        <f t="shared" si="4"/>
        <v>2</v>
      </c>
      <c r="S781" s="61" t="str">
        <f t="shared" si="5"/>
        <v>2024-Q1</v>
      </c>
      <c r="T781" s="63" t="str">
        <f t="shared" si="6"/>
        <v>2024-02</v>
      </c>
      <c r="U781" s="64" t="str">
        <f t="shared" si="7"/>
        <v>2024-H1</v>
      </c>
      <c r="V781" s="9" t="str">
        <f>VLOOKUP(B781,Bounties!A:E,2,FALSE)</f>
        <v>Anti-Scam Bounty</v>
      </c>
    </row>
    <row r="782" hidden="1">
      <c r="A782" s="67">
        <f>HYPERLINK("https://polkadot.subsquare.io/treasury/child-bounties/612", 612)</f>
        <v>612</v>
      </c>
      <c r="B782" s="1">
        <v>11.0</v>
      </c>
      <c r="C782" s="1" t="s">
        <v>2414</v>
      </c>
      <c r="D782" s="1" t="s">
        <v>254</v>
      </c>
      <c r="E782" s="5">
        <v>212.734</v>
      </c>
      <c r="F782" s="4">
        <v>1453.2902021322252</v>
      </c>
      <c r="G782" s="1" t="s">
        <v>2438</v>
      </c>
      <c r="H782" s="95">
        <v>45322.0</v>
      </c>
      <c r="I782" s="95">
        <v>45331.0</v>
      </c>
      <c r="J782" s="4">
        <v>1562.75739539814</v>
      </c>
      <c r="K782" s="1"/>
      <c r="L782" s="1"/>
      <c r="M782" s="1" t="str">
        <f>VLOOKUP(B782,Bounties!A:D,3,FALSE)</f>
        <v>Research</v>
      </c>
      <c r="N782" s="1" t="str">
        <f>VLOOKUP(B782,Bounties!A:D,4,FALSE)</f>
        <v>Anti-Scam</v>
      </c>
      <c r="O782" s="1" t="str">
        <f t="shared" ref="O782:P782" si="786">IF(ISBLANK(K782),M782,K782)</f>
        <v>Research</v>
      </c>
      <c r="P782" s="1" t="str">
        <f t="shared" si="786"/>
        <v>Anti-Scam</v>
      </c>
      <c r="Q782" s="61" t="str">
        <f t="shared" si="3"/>
        <v>2024</v>
      </c>
      <c r="R782" s="62">
        <f t="shared" si="4"/>
        <v>2</v>
      </c>
      <c r="S782" s="61" t="str">
        <f t="shared" si="5"/>
        <v>2024-Q1</v>
      </c>
      <c r="T782" s="63" t="str">
        <f t="shared" si="6"/>
        <v>2024-02</v>
      </c>
      <c r="U782" s="64" t="str">
        <f t="shared" si="7"/>
        <v>2024-H1</v>
      </c>
      <c r="V782" s="9" t="str">
        <f>VLOOKUP(B782,Bounties!A:E,2,FALSE)</f>
        <v>Anti-Scam Bounty</v>
      </c>
    </row>
    <row r="783" hidden="1">
      <c r="A783" s="67">
        <f>HYPERLINK("https://polkadot.subsquare.io/treasury/child-bounties/611", 611)</f>
        <v>611</v>
      </c>
      <c r="B783" s="1">
        <v>11.0</v>
      </c>
      <c r="C783" s="1" t="s">
        <v>2414</v>
      </c>
      <c r="D783" s="1" t="s">
        <v>253</v>
      </c>
      <c r="E783" s="5">
        <v>29.546</v>
      </c>
      <c r="F783" s="4">
        <v>201.84320471668244</v>
      </c>
      <c r="G783" s="1" t="s">
        <v>2433</v>
      </c>
      <c r="H783" s="95">
        <v>45322.0</v>
      </c>
      <c r="I783" s="95">
        <v>45331.0</v>
      </c>
      <c r="J783" s="4">
        <v>217.04678144741058</v>
      </c>
      <c r="K783" s="1"/>
      <c r="L783" s="1"/>
      <c r="M783" s="1" t="str">
        <f>VLOOKUP(B783,Bounties!A:D,3,FALSE)</f>
        <v>Research</v>
      </c>
      <c r="N783" s="1" t="str">
        <f>VLOOKUP(B783,Bounties!A:D,4,FALSE)</f>
        <v>Anti-Scam</v>
      </c>
      <c r="O783" s="1" t="str">
        <f t="shared" ref="O783:P783" si="787">IF(ISBLANK(K783),M783,K783)</f>
        <v>Research</v>
      </c>
      <c r="P783" s="1" t="str">
        <f t="shared" si="787"/>
        <v>Anti-Scam</v>
      </c>
      <c r="Q783" s="61" t="str">
        <f t="shared" si="3"/>
        <v>2024</v>
      </c>
      <c r="R783" s="62">
        <f t="shared" si="4"/>
        <v>2</v>
      </c>
      <c r="S783" s="61" t="str">
        <f t="shared" si="5"/>
        <v>2024-Q1</v>
      </c>
      <c r="T783" s="63" t="str">
        <f t="shared" si="6"/>
        <v>2024-02</v>
      </c>
      <c r="U783" s="64" t="str">
        <f t="shared" si="7"/>
        <v>2024-H1</v>
      </c>
      <c r="V783" s="9" t="str">
        <f>VLOOKUP(B783,Bounties!A:E,2,FALSE)</f>
        <v>Anti-Scam Bounty</v>
      </c>
    </row>
    <row r="784" hidden="1">
      <c r="A784" s="67">
        <f>HYPERLINK("https://polkadot.subsquare.io/treasury/child-bounties/610", 610)</f>
        <v>610</v>
      </c>
      <c r="B784" s="1">
        <v>17.0</v>
      </c>
      <c r="C784" s="1" t="s">
        <v>2414</v>
      </c>
      <c r="D784" s="1" t="s">
        <v>252</v>
      </c>
      <c r="E784" s="5">
        <v>8324.0</v>
      </c>
      <c r="F784" s="4">
        <v>55402.346210479736</v>
      </c>
      <c r="G784" s="1" t="s">
        <v>2609</v>
      </c>
      <c r="H784" s="95">
        <v>45319.0</v>
      </c>
      <c r="I784" s="95">
        <v>45332.0</v>
      </c>
      <c r="J784" s="4">
        <v>61289.055614471436</v>
      </c>
      <c r="K784" s="1"/>
      <c r="L784" s="1" t="s">
        <v>86</v>
      </c>
      <c r="M784" s="1" t="str">
        <f>VLOOKUP(B784,Bounties!A:D,3,FALSE)</f>
        <v>Outreach</v>
      </c>
      <c r="N784" s="1" t="str">
        <f>VLOOKUP(B784,Bounties!A:D,4,FALSE)</f>
        <v>Events/Meetups</v>
      </c>
      <c r="O784" s="1" t="str">
        <f t="shared" ref="O784:P784" si="788">IF(ISBLANK(K784),M784,K784)</f>
        <v>Outreach</v>
      </c>
      <c r="P784" s="1" t="str">
        <f t="shared" si="788"/>
        <v>Events/Conference Attendance &amp; Side Events</v>
      </c>
      <c r="Q784" s="61" t="str">
        <f t="shared" si="3"/>
        <v>2024</v>
      </c>
      <c r="R784" s="62">
        <f t="shared" si="4"/>
        <v>2</v>
      </c>
      <c r="S784" s="61" t="str">
        <f t="shared" si="5"/>
        <v>2024-Q1</v>
      </c>
      <c r="T784" s="63" t="str">
        <f t="shared" si="6"/>
        <v>2024-02</v>
      </c>
      <c r="U784" s="64" t="str">
        <f t="shared" si="7"/>
        <v>2024-H1</v>
      </c>
      <c r="V784" s="9" t="str">
        <f>VLOOKUP(B784,Bounties!A:E,2,FALSE)</f>
        <v>Events Bounty</v>
      </c>
    </row>
    <row r="785" hidden="1">
      <c r="A785" s="67">
        <f>HYPERLINK("https://polkadot.subsquare.io/treasury/child-bounties/609", 609)</f>
        <v>609</v>
      </c>
      <c r="B785" s="1">
        <v>17.0</v>
      </c>
      <c r="C785" s="1" t="s">
        <v>2414</v>
      </c>
      <c r="D785" s="1" t="s">
        <v>251</v>
      </c>
      <c r="E785" s="5">
        <v>20722.0</v>
      </c>
      <c r="F785" s="4">
        <v>141720.3910150528</v>
      </c>
      <c r="G785" s="1" t="s">
        <v>2671</v>
      </c>
      <c r="H785" s="95">
        <v>45316.0</v>
      </c>
      <c r="I785" s="95">
        <v>45328.0</v>
      </c>
      <c r="J785" s="4">
        <v>149022.07913398743</v>
      </c>
      <c r="K785" s="1"/>
      <c r="L785" s="1" t="s">
        <v>86</v>
      </c>
      <c r="M785" s="1" t="str">
        <f>VLOOKUP(B785,Bounties!A:D,3,FALSE)</f>
        <v>Outreach</v>
      </c>
      <c r="N785" s="1" t="str">
        <f>VLOOKUP(B785,Bounties!A:D,4,FALSE)</f>
        <v>Events/Meetups</v>
      </c>
      <c r="O785" s="1" t="str">
        <f t="shared" ref="O785:P785" si="789">IF(ISBLANK(K785),M785,K785)</f>
        <v>Outreach</v>
      </c>
      <c r="P785" s="1" t="str">
        <f t="shared" si="789"/>
        <v>Events/Conference Attendance &amp; Side Events</v>
      </c>
      <c r="Q785" s="61" t="str">
        <f t="shared" si="3"/>
        <v>2024</v>
      </c>
      <c r="R785" s="62">
        <f t="shared" si="4"/>
        <v>2</v>
      </c>
      <c r="S785" s="61" t="str">
        <f t="shared" si="5"/>
        <v>2024-Q1</v>
      </c>
      <c r="T785" s="63" t="str">
        <f t="shared" si="6"/>
        <v>2024-02</v>
      </c>
      <c r="U785" s="64" t="str">
        <f t="shared" si="7"/>
        <v>2024-H1</v>
      </c>
      <c r="V785" s="9" t="str">
        <f>VLOOKUP(B785,Bounties!A:E,2,FALSE)</f>
        <v>Events Bounty</v>
      </c>
    </row>
    <row r="786" hidden="1">
      <c r="A786" s="67">
        <f>HYPERLINK("https://polkadot.subsquare.io/treasury/child-bounties/608", 608)</f>
        <v>608</v>
      </c>
      <c r="B786" s="1">
        <v>24.0</v>
      </c>
      <c r="C786" s="1" t="s">
        <v>2414</v>
      </c>
      <c r="D786" s="1" t="s">
        <v>250</v>
      </c>
      <c r="E786" s="5">
        <v>212.7</v>
      </c>
      <c r="F786" s="4">
        <v>1418.7615534782408</v>
      </c>
      <c r="G786" s="1" t="s">
        <v>2535</v>
      </c>
      <c r="H786" s="95">
        <v>45315.0</v>
      </c>
      <c r="I786" s="95">
        <v>45324.0</v>
      </c>
      <c r="J786" s="4">
        <v>1418.119442796707</v>
      </c>
      <c r="K786" s="1"/>
      <c r="L786" s="1"/>
      <c r="M786" s="1" t="str">
        <f>VLOOKUP(B786,Bounties!A:D,3,FALSE)</f>
        <v>Outreach</v>
      </c>
      <c r="N786" s="1" t="str">
        <f>VLOOKUP(B786,Bounties!A:D,4,FALSE)</f>
        <v>Community Building</v>
      </c>
      <c r="O786" s="1" t="str">
        <f t="shared" ref="O786:P786" si="790">IF(ISBLANK(K786),M786,K786)</f>
        <v>Outreach</v>
      </c>
      <c r="P786" s="1" t="str">
        <f t="shared" si="790"/>
        <v>Community Building</v>
      </c>
      <c r="Q786" s="61" t="str">
        <f t="shared" si="3"/>
        <v>2024</v>
      </c>
      <c r="R786" s="62">
        <f t="shared" si="4"/>
        <v>2</v>
      </c>
      <c r="S786" s="61" t="str">
        <f t="shared" si="5"/>
        <v>2024-Q1</v>
      </c>
      <c r="T786" s="63" t="str">
        <f t="shared" si="6"/>
        <v>2024-02</v>
      </c>
      <c r="U786" s="64" t="str">
        <f t="shared" si="7"/>
        <v>2024-H1</v>
      </c>
      <c r="V786" s="9" t="str">
        <f>VLOOKUP(B786,Bounties!A:E,2,FALSE)</f>
        <v>Moderation Team Bounty</v>
      </c>
    </row>
    <row r="787" hidden="1">
      <c r="A787" s="67">
        <f>HYPERLINK("https://polkadot.subsquare.io/treasury/child-bounties/607", 607)</f>
        <v>607</v>
      </c>
      <c r="B787" s="1">
        <v>24.0</v>
      </c>
      <c r="C787" s="1" t="s">
        <v>2414</v>
      </c>
      <c r="D787" s="1" t="s">
        <v>249</v>
      </c>
      <c r="E787" s="5">
        <v>212.7</v>
      </c>
      <c r="F787" s="4">
        <v>1418.7615534782408</v>
      </c>
      <c r="G787" s="1" t="s">
        <v>2548</v>
      </c>
      <c r="H787" s="95">
        <v>45315.0</v>
      </c>
      <c r="I787" s="95">
        <v>45324.0</v>
      </c>
      <c r="J787" s="4">
        <v>1430.8145926952361</v>
      </c>
      <c r="K787" s="1"/>
      <c r="L787" s="1"/>
      <c r="M787" s="1" t="str">
        <f>VLOOKUP(B787,Bounties!A:D,3,FALSE)</f>
        <v>Outreach</v>
      </c>
      <c r="N787" s="1" t="str">
        <f>VLOOKUP(B787,Bounties!A:D,4,FALSE)</f>
        <v>Community Building</v>
      </c>
      <c r="O787" s="1" t="str">
        <f t="shared" ref="O787:P787" si="791">IF(ISBLANK(K787),M787,K787)</f>
        <v>Outreach</v>
      </c>
      <c r="P787" s="1" t="str">
        <f t="shared" si="791"/>
        <v>Community Building</v>
      </c>
      <c r="Q787" s="61" t="str">
        <f t="shared" si="3"/>
        <v>2024</v>
      </c>
      <c r="R787" s="62">
        <f t="shared" si="4"/>
        <v>2</v>
      </c>
      <c r="S787" s="61" t="str">
        <f t="shared" si="5"/>
        <v>2024-Q1</v>
      </c>
      <c r="T787" s="63" t="str">
        <f t="shared" si="6"/>
        <v>2024-02</v>
      </c>
      <c r="U787" s="64" t="str">
        <f t="shared" si="7"/>
        <v>2024-H1</v>
      </c>
      <c r="V787" s="9" t="str">
        <f>VLOOKUP(B787,Bounties!A:E,2,FALSE)</f>
        <v>Moderation Team Bounty</v>
      </c>
    </row>
    <row r="788" hidden="1">
      <c r="A788" s="67">
        <f>HYPERLINK("https://polkadot.subsquare.io/treasury/child-bounties/606", 606)</f>
        <v>606</v>
      </c>
      <c r="B788" s="1">
        <v>24.0</v>
      </c>
      <c r="C788" s="1" t="s">
        <v>2414</v>
      </c>
      <c r="D788" s="1" t="s">
        <v>248</v>
      </c>
      <c r="E788" s="5">
        <v>212.7</v>
      </c>
      <c r="F788" s="4">
        <v>1418.7615534782408</v>
      </c>
      <c r="G788" s="1" t="s">
        <v>2550</v>
      </c>
      <c r="H788" s="95">
        <v>45315.0</v>
      </c>
      <c r="I788" s="95">
        <v>45324.0</v>
      </c>
      <c r="J788" s="4">
        <v>1418.119442796707</v>
      </c>
      <c r="K788" s="1"/>
      <c r="L788" s="1"/>
      <c r="M788" s="1" t="str">
        <f>VLOOKUP(B788,Bounties!A:D,3,FALSE)</f>
        <v>Outreach</v>
      </c>
      <c r="N788" s="1" t="str">
        <f>VLOOKUP(B788,Bounties!A:D,4,FALSE)</f>
        <v>Community Building</v>
      </c>
      <c r="O788" s="1" t="str">
        <f t="shared" ref="O788:P788" si="792">IF(ISBLANK(K788),M788,K788)</f>
        <v>Outreach</v>
      </c>
      <c r="P788" s="1" t="str">
        <f t="shared" si="792"/>
        <v>Community Building</v>
      </c>
      <c r="Q788" s="61" t="str">
        <f t="shared" si="3"/>
        <v>2024</v>
      </c>
      <c r="R788" s="62">
        <f t="shared" si="4"/>
        <v>2</v>
      </c>
      <c r="S788" s="61" t="str">
        <f t="shared" si="5"/>
        <v>2024-Q1</v>
      </c>
      <c r="T788" s="63" t="str">
        <f t="shared" si="6"/>
        <v>2024-02</v>
      </c>
      <c r="U788" s="64" t="str">
        <f t="shared" si="7"/>
        <v>2024-H1</v>
      </c>
      <c r="V788" s="9" t="str">
        <f>VLOOKUP(B788,Bounties!A:E,2,FALSE)</f>
        <v>Moderation Team Bounty</v>
      </c>
    </row>
    <row r="789" hidden="1">
      <c r="A789" s="67">
        <f>HYPERLINK("https://polkadot.subsquare.io/treasury/child-bounties/605", 605)</f>
        <v>605</v>
      </c>
      <c r="B789" s="1">
        <v>24.0</v>
      </c>
      <c r="C789" s="1" t="s">
        <v>2414</v>
      </c>
      <c r="D789" s="1" t="s">
        <v>247</v>
      </c>
      <c r="E789" s="5">
        <v>212.7</v>
      </c>
      <c r="F789" s="4">
        <v>1418.7615534782408</v>
      </c>
      <c r="G789" s="1" t="s">
        <v>2524</v>
      </c>
      <c r="H789" s="95">
        <v>45315.0</v>
      </c>
      <c r="I789" s="95">
        <v>45324.0</v>
      </c>
      <c r="J789" s="4">
        <v>1418.119442796707</v>
      </c>
      <c r="K789" s="1"/>
      <c r="L789" s="1"/>
      <c r="M789" s="1" t="str">
        <f>VLOOKUP(B789,Bounties!A:D,3,FALSE)</f>
        <v>Outreach</v>
      </c>
      <c r="N789" s="1" t="str">
        <f>VLOOKUP(B789,Bounties!A:D,4,FALSE)</f>
        <v>Community Building</v>
      </c>
      <c r="O789" s="1" t="str">
        <f t="shared" ref="O789:P789" si="793">IF(ISBLANK(K789),M789,K789)</f>
        <v>Outreach</v>
      </c>
      <c r="P789" s="1" t="str">
        <f t="shared" si="793"/>
        <v>Community Building</v>
      </c>
      <c r="Q789" s="61" t="str">
        <f t="shared" si="3"/>
        <v>2024</v>
      </c>
      <c r="R789" s="62">
        <f t="shared" si="4"/>
        <v>2</v>
      </c>
      <c r="S789" s="61" t="str">
        <f t="shared" si="5"/>
        <v>2024-Q1</v>
      </c>
      <c r="T789" s="63" t="str">
        <f t="shared" si="6"/>
        <v>2024-02</v>
      </c>
      <c r="U789" s="64" t="str">
        <f t="shared" si="7"/>
        <v>2024-H1</v>
      </c>
      <c r="V789" s="9" t="str">
        <f>VLOOKUP(B789,Bounties!A:E,2,FALSE)</f>
        <v>Moderation Team Bounty</v>
      </c>
    </row>
    <row r="790" hidden="1">
      <c r="A790" s="67">
        <f>HYPERLINK("https://polkadot.subsquare.io/treasury/child-bounties/604", 604)</f>
        <v>604</v>
      </c>
      <c r="B790" s="1">
        <v>24.0</v>
      </c>
      <c r="C790" s="1" t="s">
        <v>2414</v>
      </c>
      <c r="D790" s="1" t="s">
        <v>246</v>
      </c>
      <c r="E790" s="5">
        <v>212.7</v>
      </c>
      <c r="F790" s="4">
        <v>1418.7615534782408</v>
      </c>
      <c r="G790" s="1" t="s">
        <v>2551</v>
      </c>
      <c r="H790" s="95">
        <v>45315.0</v>
      </c>
      <c r="I790" s="95">
        <v>45324.0</v>
      </c>
      <c r="J790" s="4">
        <v>1430.8145926952361</v>
      </c>
      <c r="K790" s="1"/>
      <c r="L790" s="1"/>
      <c r="M790" s="1" t="str">
        <f>VLOOKUP(B790,Bounties!A:D,3,FALSE)</f>
        <v>Outreach</v>
      </c>
      <c r="N790" s="1" t="str">
        <f>VLOOKUP(B790,Bounties!A:D,4,FALSE)</f>
        <v>Community Building</v>
      </c>
      <c r="O790" s="1" t="str">
        <f t="shared" ref="O790:P790" si="794">IF(ISBLANK(K790),M790,K790)</f>
        <v>Outreach</v>
      </c>
      <c r="P790" s="1" t="str">
        <f t="shared" si="794"/>
        <v>Community Building</v>
      </c>
      <c r="Q790" s="61" t="str">
        <f t="shared" si="3"/>
        <v>2024</v>
      </c>
      <c r="R790" s="62">
        <f t="shared" si="4"/>
        <v>2</v>
      </c>
      <c r="S790" s="61" t="str">
        <f t="shared" si="5"/>
        <v>2024-Q1</v>
      </c>
      <c r="T790" s="63" t="str">
        <f t="shared" si="6"/>
        <v>2024-02</v>
      </c>
      <c r="U790" s="64" t="str">
        <f t="shared" si="7"/>
        <v>2024-H1</v>
      </c>
      <c r="V790" s="9" t="str">
        <f>VLOOKUP(B790,Bounties!A:E,2,FALSE)</f>
        <v>Moderation Team Bounty</v>
      </c>
    </row>
    <row r="791" hidden="1">
      <c r="A791" s="67">
        <f>HYPERLINK("https://polkadot.subsquare.io/treasury/child-bounties/603", 603)</f>
        <v>603</v>
      </c>
      <c r="B791" s="1">
        <v>24.0</v>
      </c>
      <c r="C791" s="1" t="s">
        <v>2414</v>
      </c>
      <c r="D791" s="1" t="s">
        <v>245</v>
      </c>
      <c r="E791" s="5">
        <v>233.21</v>
      </c>
      <c r="F791" s="4">
        <v>1555.5683210468292</v>
      </c>
      <c r="G791" s="1" t="s">
        <v>2534</v>
      </c>
      <c r="H791" s="95">
        <v>45315.0</v>
      </c>
      <c r="I791" s="95">
        <v>45324.0</v>
      </c>
      <c r="J791" s="4">
        <v>1568.7835973787307</v>
      </c>
      <c r="K791" s="1"/>
      <c r="L791" s="1"/>
      <c r="M791" s="1" t="str">
        <f>VLOOKUP(B791,Bounties!A:D,3,FALSE)</f>
        <v>Outreach</v>
      </c>
      <c r="N791" s="1" t="str">
        <f>VLOOKUP(B791,Bounties!A:D,4,FALSE)</f>
        <v>Community Building</v>
      </c>
      <c r="O791" s="1" t="str">
        <f t="shared" ref="O791:P791" si="795">IF(ISBLANK(K791),M791,K791)</f>
        <v>Outreach</v>
      </c>
      <c r="P791" s="1" t="str">
        <f t="shared" si="795"/>
        <v>Community Building</v>
      </c>
      <c r="Q791" s="61" t="str">
        <f t="shared" si="3"/>
        <v>2024</v>
      </c>
      <c r="R791" s="62">
        <f t="shared" si="4"/>
        <v>2</v>
      </c>
      <c r="S791" s="61" t="str">
        <f t="shared" si="5"/>
        <v>2024-Q1</v>
      </c>
      <c r="T791" s="63" t="str">
        <f t="shared" si="6"/>
        <v>2024-02</v>
      </c>
      <c r="U791" s="64" t="str">
        <f t="shared" si="7"/>
        <v>2024-H1</v>
      </c>
      <c r="V791" s="9" t="str">
        <f>VLOOKUP(B791,Bounties!A:E,2,FALSE)</f>
        <v>Moderation Team Bounty</v>
      </c>
    </row>
    <row r="792" hidden="1">
      <c r="A792" s="67">
        <f>HYPERLINK("https://polkadot.subsquare.io/treasury/child-bounties/602", 602)</f>
        <v>602</v>
      </c>
      <c r="B792" s="1">
        <v>24.0</v>
      </c>
      <c r="C792" s="1" t="s">
        <v>2414</v>
      </c>
      <c r="D792" s="1" t="s">
        <v>244</v>
      </c>
      <c r="E792" s="5">
        <v>212.7</v>
      </c>
      <c r="F792" s="4">
        <v>1418.7615534782408</v>
      </c>
      <c r="G792" s="1" t="s">
        <v>2437</v>
      </c>
      <c r="H792" s="95">
        <v>45315.0</v>
      </c>
      <c r="I792" s="95">
        <v>45324.0</v>
      </c>
      <c r="J792" s="4">
        <v>1418.119442796707</v>
      </c>
      <c r="K792" s="1"/>
      <c r="L792" s="1"/>
      <c r="M792" s="1" t="str">
        <f>VLOOKUP(B792,Bounties!A:D,3,FALSE)</f>
        <v>Outreach</v>
      </c>
      <c r="N792" s="1" t="str">
        <f>VLOOKUP(B792,Bounties!A:D,4,FALSE)</f>
        <v>Community Building</v>
      </c>
      <c r="O792" s="1" t="str">
        <f t="shared" ref="O792:P792" si="796">IF(ISBLANK(K792),M792,K792)</f>
        <v>Outreach</v>
      </c>
      <c r="P792" s="1" t="str">
        <f t="shared" si="796"/>
        <v>Community Building</v>
      </c>
      <c r="Q792" s="61" t="str">
        <f t="shared" si="3"/>
        <v>2024</v>
      </c>
      <c r="R792" s="62">
        <f t="shared" si="4"/>
        <v>2</v>
      </c>
      <c r="S792" s="61" t="str">
        <f t="shared" si="5"/>
        <v>2024-Q1</v>
      </c>
      <c r="T792" s="63" t="str">
        <f t="shared" si="6"/>
        <v>2024-02</v>
      </c>
      <c r="U792" s="64" t="str">
        <f t="shared" si="7"/>
        <v>2024-H1</v>
      </c>
      <c r="V792" s="9" t="str">
        <f>VLOOKUP(B792,Bounties!A:E,2,FALSE)</f>
        <v>Moderation Team Bounty</v>
      </c>
    </row>
    <row r="793" hidden="1">
      <c r="A793" s="67">
        <f>HYPERLINK("https://polkadot.subsquare.io/treasury/child-bounties/601", 601)</f>
        <v>601</v>
      </c>
      <c r="B793" s="1">
        <v>24.0</v>
      </c>
      <c r="C793" s="1" t="s">
        <v>2414</v>
      </c>
      <c r="D793" s="1" t="s">
        <v>243</v>
      </c>
      <c r="E793" s="5">
        <v>212.7</v>
      </c>
      <c r="F793" s="4">
        <v>1418.7615534782408</v>
      </c>
      <c r="G793" s="1" t="s">
        <v>2463</v>
      </c>
      <c r="H793" s="95">
        <v>45315.0</v>
      </c>
      <c r="I793" s="95">
        <v>45327.0</v>
      </c>
      <c r="J793" s="4">
        <v>1476.1231029510498</v>
      </c>
      <c r="K793" s="1"/>
      <c r="L793" s="1"/>
      <c r="M793" s="1" t="str">
        <f>VLOOKUP(B793,Bounties!A:D,3,FALSE)</f>
        <v>Outreach</v>
      </c>
      <c r="N793" s="1" t="str">
        <f>VLOOKUP(B793,Bounties!A:D,4,FALSE)</f>
        <v>Community Building</v>
      </c>
      <c r="O793" s="1" t="str">
        <f t="shared" ref="O793:P793" si="797">IF(ISBLANK(K793),M793,K793)</f>
        <v>Outreach</v>
      </c>
      <c r="P793" s="1" t="str">
        <f t="shared" si="797"/>
        <v>Community Building</v>
      </c>
      <c r="Q793" s="61" t="str">
        <f t="shared" si="3"/>
        <v>2024</v>
      </c>
      <c r="R793" s="62">
        <f t="shared" si="4"/>
        <v>2</v>
      </c>
      <c r="S793" s="61" t="str">
        <f t="shared" si="5"/>
        <v>2024-Q1</v>
      </c>
      <c r="T793" s="63" t="str">
        <f t="shared" si="6"/>
        <v>2024-02</v>
      </c>
      <c r="U793" s="64" t="str">
        <f t="shared" si="7"/>
        <v>2024-H1</v>
      </c>
      <c r="V793" s="9" t="str">
        <f>VLOOKUP(B793,Bounties!A:E,2,FALSE)</f>
        <v>Moderation Team Bounty</v>
      </c>
    </row>
    <row r="794" hidden="1">
      <c r="A794" s="67">
        <f>HYPERLINK("https://polkadot.subsquare.io/treasury/child-bounties/600", 600)</f>
        <v>600</v>
      </c>
      <c r="B794" s="1">
        <v>24.0</v>
      </c>
      <c r="C794" s="1" t="s">
        <v>2414</v>
      </c>
      <c r="D794" s="1" t="s">
        <v>242</v>
      </c>
      <c r="E794" s="5">
        <v>250.68</v>
      </c>
      <c r="F794" s="4">
        <v>1672.0975374984741</v>
      </c>
      <c r="G794" s="1" t="s">
        <v>2549</v>
      </c>
      <c r="H794" s="95">
        <v>45315.0</v>
      </c>
      <c r="I794" s="95">
        <v>45324.0</v>
      </c>
      <c r="J794" s="4">
        <v>1671.3407706642151</v>
      </c>
      <c r="K794" s="1"/>
      <c r="L794" s="1"/>
      <c r="M794" s="1" t="str">
        <f>VLOOKUP(B794,Bounties!A:D,3,FALSE)</f>
        <v>Outreach</v>
      </c>
      <c r="N794" s="1" t="str">
        <f>VLOOKUP(B794,Bounties!A:D,4,FALSE)</f>
        <v>Community Building</v>
      </c>
      <c r="O794" s="1" t="str">
        <f t="shared" ref="O794:P794" si="798">IF(ISBLANK(K794),M794,K794)</f>
        <v>Outreach</v>
      </c>
      <c r="P794" s="1" t="str">
        <f t="shared" si="798"/>
        <v>Community Building</v>
      </c>
      <c r="Q794" s="61" t="str">
        <f t="shared" si="3"/>
        <v>2024</v>
      </c>
      <c r="R794" s="62">
        <f t="shared" si="4"/>
        <v>2</v>
      </c>
      <c r="S794" s="61" t="str">
        <f t="shared" si="5"/>
        <v>2024-Q1</v>
      </c>
      <c r="T794" s="63" t="str">
        <f t="shared" si="6"/>
        <v>2024-02</v>
      </c>
      <c r="U794" s="64" t="str">
        <f t="shared" si="7"/>
        <v>2024-H1</v>
      </c>
      <c r="V794" s="9" t="str">
        <f>VLOOKUP(B794,Bounties!A:E,2,FALSE)</f>
        <v>Moderation Team Bounty</v>
      </c>
    </row>
    <row r="795" hidden="1">
      <c r="A795" s="67">
        <f>HYPERLINK("https://polkadot.subsquare.io/treasury/child-bounties/599", 599)</f>
        <v>599</v>
      </c>
      <c r="B795" s="1">
        <v>24.0</v>
      </c>
      <c r="C795" s="1" t="s">
        <v>2414</v>
      </c>
      <c r="D795" s="1" t="s">
        <v>241</v>
      </c>
      <c r="E795" s="5">
        <v>212.7</v>
      </c>
      <c r="F795" s="4">
        <v>1418.7615534782408</v>
      </c>
      <c r="G795" s="1" t="s">
        <v>2497</v>
      </c>
      <c r="H795" s="95">
        <v>45315.0</v>
      </c>
      <c r="I795" s="95">
        <v>45327.0</v>
      </c>
      <c r="J795" s="4">
        <v>1476.1231029510498</v>
      </c>
      <c r="K795" s="1"/>
      <c r="L795" s="1"/>
      <c r="M795" s="1" t="str">
        <f>VLOOKUP(B795,Bounties!A:D,3,FALSE)</f>
        <v>Outreach</v>
      </c>
      <c r="N795" s="1" t="str">
        <f>VLOOKUP(B795,Bounties!A:D,4,FALSE)</f>
        <v>Community Building</v>
      </c>
      <c r="O795" s="1" t="str">
        <f t="shared" ref="O795:P795" si="799">IF(ISBLANK(K795),M795,K795)</f>
        <v>Outreach</v>
      </c>
      <c r="P795" s="1" t="str">
        <f t="shared" si="799"/>
        <v>Community Building</v>
      </c>
      <c r="Q795" s="61" t="str">
        <f t="shared" si="3"/>
        <v>2024</v>
      </c>
      <c r="R795" s="62">
        <f t="shared" si="4"/>
        <v>2</v>
      </c>
      <c r="S795" s="61" t="str">
        <f t="shared" si="5"/>
        <v>2024-Q1</v>
      </c>
      <c r="T795" s="63" t="str">
        <f t="shared" si="6"/>
        <v>2024-02</v>
      </c>
      <c r="U795" s="64" t="str">
        <f t="shared" si="7"/>
        <v>2024-H1</v>
      </c>
      <c r="V795" s="9" t="str">
        <f>VLOOKUP(B795,Bounties!A:E,2,FALSE)</f>
        <v>Moderation Team Bounty</v>
      </c>
    </row>
    <row r="796" hidden="1">
      <c r="A796" s="67">
        <f>HYPERLINK("https://polkadot.subsquare.io/treasury/child-bounties/598", 598)</f>
        <v>598</v>
      </c>
      <c r="B796" s="1">
        <v>24.0</v>
      </c>
      <c r="C796" s="1" t="s">
        <v>2414</v>
      </c>
      <c r="D796" s="1" t="s">
        <v>240</v>
      </c>
      <c r="E796" s="5">
        <v>233.21</v>
      </c>
      <c r="F796" s="4">
        <v>1555.5683210468292</v>
      </c>
      <c r="G796" s="1" t="s">
        <v>2433</v>
      </c>
      <c r="H796" s="95">
        <v>45315.0</v>
      </c>
      <c r="I796" s="95">
        <v>45324.0</v>
      </c>
      <c r="J796" s="4">
        <v>1554.864293627739</v>
      </c>
      <c r="K796" s="1"/>
      <c r="L796" s="1"/>
      <c r="M796" s="1" t="str">
        <f>VLOOKUP(B796,Bounties!A:D,3,FALSE)</f>
        <v>Outreach</v>
      </c>
      <c r="N796" s="1" t="str">
        <f>VLOOKUP(B796,Bounties!A:D,4,FALSE)</f>
        <v>Community Building</v>
      </c>
      <c r="O796" s="1" t="str">
        <f t="shared" ref="O796:P796" si="800">IF(ISBLANK(K796),M796,K796)</f>
        <v>Outreach</v>
      </c>
      <c r="P796" s="1" t="str">
        <f t="shared" si="800"/>
        <v>Community Building</v>
      </c>
      <c r="Q796" s="61" t="str">
        <f t="shared" si="3"/>
        <v>2024</v>
      </c>
      <c r="R796" s="62">
        <f t="shared" si="4"/>
        <v>2</v>
      </c>
      <c r="S796" s="61" t="str">
        <f t="shared" si="5"/>
        <v>2024-Q1</v>
      </c>
      <c r="T796" s="63" t="str">
        <f t="shared" si="6"/>
        <v>2024-02</v>
      </c>
      <c r="U796" s="64" t="str">
        <f t="shared" si="7"/>
        <v>2024-H1</v>
      </c>
      <c r="V796" s="9" t="str">
        <f>VLOOKUP(B796,Bounties!A:E,2,FALSE)</f>
        <v>Moderation Team Bounty</v>
      </c>
    </row>
    <row r="797" hidden="1">
      <c r="A797" s="67">
        <f>HYPERLINK("https://polkadot.subsquare.io/treasury/child-bounties/597", 597)</f>
        <v>597</v>
      </c>
      <c r="B797" s="1">
        <v>24.0</v>
      </c>
      <c r="C797" s="1" t="s">
        <v>2414</v>
      </c>
      <c r="D797" s="1" t="s">
        <v>239</v>
      </c>
      <c r="E797" s="5">
        <v>212.7</v>
      </c>
      <c r="F797" s="4">
        <v>1418.7615534782408</v>
      </c>
      <c r="G797" s="1" t="s">
        <v>2438</v>
      </c>
      <c r="H797" s="95">
        <v>45315.0</v>
      </c>
      <c r="I797" s="95">
        <v>45324.0</v>
      </c>
      <c r="J797" s="4">
        <v>1418.119442796707</v>
      </c>
      <c r="K797" s="1"/>
      <c r="L797" s="1"/>
      <c r="M797" s="1" t="str">
        <f>VLOOKUP(B797,Bounties!A:D,3,FALSE)</f>
        <v>Outreach</v>
      </c>
      <c r="N797" s="1" t="str">
        <f>VLOOKUP(B797,Bounties!A:D,4,FALSE)</f>
        <v>Community Building</v>
      </c>
      <c r="O797" s="1" t="str">
        <f t="shared" ref="O797:P797" si="801">IF(ISBLANK(K797),M797,K797)</f>
        <v>Outreach</v>
      </c>
      <c r="P797" s="1" t="str">
        <f t="shared" si="801"/>
        <v>Community Building</v>
      </c>
      <c r="Q797" s="61" t="str">
        <f t="shared" si="3"/>
        <v>2024</v>
      </c>
      <c r="R797" s="62">
        <f t="shared" si="4"/>
        <v>2</v>
      </c>
      <c r="S797" s="61" t="str">
        <f t="shared" si="5"/>
        <v>2024-Q1</v>
      </c>
      <c r="T797" s="63" t="str">
        <f t="shared" si="6"/>
        <v>2024-02</v>
      </c>
      <c r="U797" s="64" t="str">
        <f t="shared" si="7"/>
        <v>2024-H1</v>
      </c>
      <c r="V797" s="9" t="str">
        <f>VLOOKUP(B797,Bounties!A:E,2,FALSE)</f>
        <v>Moderation Team Bounty</v>
      </c>
    </row>
    <row r="798" hidden="1">
      <c r="A798" s="67">
        <f>HYPERLINK("https://polkadot.subsquare.io/treasury/child-bounties/596", 596)</f>
        <v>596</v>
      </c>
      <c r="B798" s="1">
        <v>24.0</v>
      </c>
      <c r="C798" s="1" t="s">
        <v>2414</v>
      </c>
      <c r="D798" s="1" t="s">
        <v>238</v>
      </c>
      <c r="E798" s="5">
        <v>212.7</v>
      </c>
      <c r="F798" s="4">
        <v>1418.7615534782408</v>
      </c>
      <c r="G798" s="1" t="s">
        <v>2528</v>
      </c>
      <c r="H798" s="95">
        <v>45315.0</v>
      </c>
      <c r="I798" s="95">
        <v>45323.0</v>
      </c>
      <c r="J798" s="4">
        <v>1418.119442796707</v>
      </c>
      <c r="K798" s="1"/>
      <c r="L798" s="1"/>
      <c r="M798" s="1" t="str">
        <f>VLOOKUP(B798,Bounties!A:D,3,FALSE)</f>
        <v>Outreach</v>
      </c>
      <c r="N798" s="1" t="str">
        <f>VLOOKUP(B798,Bounties!A:D,4,FALSE)</f>
        <v>Community Building</v>
      </c>
      <c r="O798" s="1" t="str">
        <f t="shared" ref="O798:P798" si="802">IF(ISBLANK(K798),M798,K798)</f>
        <v>Outreach</v>
      </c>
      <c r="P798" s="1" t="str">
        <f t="shared" si="802"/>
        <v>Community Building</v>
      </c>
      <c r="Q798" s="61" t="str">
        <f t="shared" si="3"/>
        <v>2024</v>
      </c>
      <c r="R798" s="62">
        <f t="shared" si="4"/>
        <v>2</v>
      </c>
      <c r="S798" s="61" t="str">
        <f t="shared" si="5"/>
        <v>2024-Q1</v>
      </c>
      <c r="T798" s="63" t="str">
        <f t="shared" si="6"/>
        <v>2024-02</v>
      </c>
      <c r="U798" s="64" t="str">
        <f t="shared" si="7"/>
        <v>2024-H1</v>
      </c>
      <c r="V798" s="9" t="str">
        <f>VLOOKUP(B798,Bounties!A:E,2,FALSE)</f>
        <v>Moderation Team Bounty</v>
      </c>
    </row>
    <row r="799" hidden="1">
      <c r="A799" s="67">
        <f>HYPERLINK("https://polkadot.subsquare.io/treasury/child-bounties/595", 595)</f>
        <v>595</v>
      </c>
      <c r="B799" s="1">
        <v>22.0</v>
      </c>
      <c r="C799" s="1" t="s">
        <v>2414</v>
      </c>
      <c r="D799" s="1" t="s">
        <v>237</v>
      </c>
      <c r="E799" s="5">
        <v>6828.0</v>
      </c>
      <c r="F799" s="4">
        <v>43241.21082687378</v>
      </c>
      <c r="G799" s="1" t="s">
        <v>2415</v>
      </c>
      <c r="H799" s="95">
        <v>45311.0</v>
      </c>
      <c r="I799" s="95">
        <v>45327.0</v>
      </c>
      <c r="J799" s="4">
        <v>47385.84178161621</v>
      </c>
      <c r="K799" s="1"/>
      <c r="L799" s="1"/>
      <c r="M799" s="1" t="str">
        <f>VLOOKUP(B799,Bounties!A:D,3,FALSE)</f>
        <v>Development</v>
      </c>
      <c r="N799" s="1" t="str">
        <f>VLOOKUP(B799,Bounties!A:D,4,FALSE)</f>
        <v>Ecosystem Services</v>
      </c>
      <c r="O799" s="1" t="str">
        <f t="shared" ref="O799:P799" si="803">IF(ISBLANK(K799),M799,K799)</f>
        <v>Development</v>
      </c>
      <c r="P799" s="1" t="str">
        <f t="shared" si="803"/>
        <v>Ecosystem Services</v>
      </c>
      <c r="Q799" s="61" t="str">
        <f t="shared" si="3"/>
        <v>2024</v>
      </c>
      <c r="R799" s="62">
        <f t="shared" si="4"/>
        <v>2</v>
      </c>
      <c r="S799" s="61" t="str">
        <f t="shared" si="5"/>
        <v>2024-Q1</v>
      </c>
      <c r="T799" s="63" t="str">
        <f t="shared" si="6"/>
        <v>2024-02</v>
      </c>
      <c r="U799" s="64" t="str">
        <f t="shared" si="7"/>
        <v>2024-H1</v>
      </c>
      <c r="V799" s="9" t="str">
        <f>VLOOKUP(B799,Bounties!A:E,2,FALSE)</f>
        <v>Polkadot Assurance Legion Bounty</v>
      </c>
    </row>
    <row r="800" hidden="1">
      <c r="A800" s="67">
        <f>HYPERLINK("https://polkadot.subsquare.io/treasury/child-bounties/594", 594)</f>
        <v>594</v>
      </c>
      <c r="B800" s="1">
        <v>22.0</v>
      </c>
      <c r="C800" s="1" t="s">
        <v>2414</v>
      </c>
      <c r="D800" s="1" t="s">
        <v>236</v>
      </c>
      <c r="E800" s="5">
        <v>4833.0</v>
      </c>
      <c r="F800" s="4">
        <v>30607.025765419006</v>
      </c>
      <c r="G800" s="1" t="s">
        <v>2672</v>
      </c>
      <c r="H800" s="95">
        <v>45311.0</v>
      </c>
      <c r="I800" s="95">
        <v>45327.0</v>
      </c>
      <c r="J800" s="4">
        <v>33540.681507110596</v>
      </c>
      <c r="K800" s="1"/>
      <c r="L800" s="1"/>
      <c r="M800" s="1" t="str">
        <f>VLOOKUP(B800,Bounties!A:D,3,FALSE)</f>
        <v>Development</v>
      </c>
      <c r="N800" s="1" t="str">
        <f>VLOOKUP(B800,Bounties!A:D,4,FALSE)</f>
        <v>Ecosystem Services</v>
      </c>
      <c r="O800" s="1" t="str">
        <f t="shared" ref="O800:P800" si="804">IF(ISBLANK(K800),M800,K800)</f>
        <v>Development</v>
      </c>
      <c r="P800" s="1" t="str">
        <f t="shared" si="804"/>
        <v>Ecosystem Services</v>
      </c>
      <c r="Q800" s="61" t="str">
        <f t="shared" si="3"/>
        <v>2024</v>
      </c>
      <c r="R800" s="62">
        <f t="shared" si="4"/>
        <v>2</v>
      </c>
      <c r="S800" s="61" t="str">
        <f t="shared" si="5"/>
        <v>2024-Q1</v>
      </c>
      <c r="T800" s="63" t="str">
        <f t="shared" si="6"/>
        <v>2024-02</v>
      </c>
      <c r="U800" s="64" t="str">
        <f t="shared" si="7"/>
        <v>2024-H1</v>
      </c>
      <c r="V800" s="9" t="str">
        <f>VLOOKUP(B800,Bounties!A:E,2,FALSE)</f>
        <v>Polkadot Assurance Legion Bounty</v>
      </c>
    </row>
    <row r="801" hidden="1">
      <c r="A801" s="67">
        <f>HYPERLINK("https://polkadot.subsquare.io/treasury/child-bounties/593", 593)</f>
        <v>593</v>
      </c>
      <c r="B801" s="1">
        <v>11.0</v>
      </c>
      <c r="C801" s="1" t="s">
        <v>2414</v>
      </c>
      <c r="D801" s="1" t="s">
        <v>235</v>
      </c>
      <c r="E801" s="5">
        <v>67.91</v>
      </c>
      <c r="F801" s="4">
        <v>430.068926076889</v>
      </c>
      <c r="G801" s="1" t="s">
        <v>2497</v>
      </c>
      <c r="H801" s="95">
        <v>45310.0</v>
      </c>
      <c r="I801" s="95">
        <v>45323.0</v>
      </c>
      <c r="J801" s="4">
        <v>463.92648860454557</v>
      </c>
      <c r="K801" s="1"/>
      <c r="L801" s="1"/>
      <c r="M801" s="1" t="str">
        <f>VLOOKUP(B801,Bounties!A:D,3,FALSE)</f>
        <v>Research</v>
      </c>
      <c r="N801" s="1" t="str">
        <f>VLOOKUP(B801,Bounties!A:D,4,FALSE)</f>
        <v>Anti-Scam</v>
      </c>
      <c r="O801" s="1" t="str">
        <f t="shared" ref="O801:P801" si="805">IF(ISBLANK(K801),M801,K801)</f>
        <v>Research</v>
      </c>
      <c r="P801" s="1" t="str">
        <f t="shared" si="805"/>
        <v>Anti-Scam</v>
      </c>
      <c r="Q801" s="61" t="str">
        <f t="shared" si="3"/>
        <v>2024</v>
      </c>
      <c r="R801" s="62">
        <f t="shared" si="4"/>
        <v>2</v>
      </c>
      <c r="S801" s="61" t="str">
        <f t="shared" si="5"/>
        <v>2024-Q1</v>
      </c>
      <c r="T801" s="63" t="str">
        <f t="shared" si="6"/>
        <v>2024-02</v>
      </c>
      <c r="U801" s="64" t="str">
        <f t="shared" si="7"/>
        <v>2024-H1</v>
      </c>
      <c r="V801" s="9" t="str">
        <f>VLOOKUP(B801,Bounties!A:E,2,FALSE)</f>
        <v>Anti-Scam Bounty</v>
      </c>
    </row>
    <row r="802" hidden="1">
      <c r="A802" s="67">
        <f>HYPERLINK("https://polkadot.subsquare.io/treasury/child-bounties/592", 592)</f>
        <v>592</v>
      </c>
      <c r="B802" s="1">
        <v>11.0</v>
      </c>
      <c r="C802" s="1" t="s">
        <v>2414</v>
      </c>
      <c r="D802" s="1" t="s">
        <v>234</v>
      </c>
      <c r="E802" s="5">
        <v>56.69</v>
      </c>
      <c r="F802" s="4">
        <v>359.01350934028625</v>
      </c>
      <c r="G802" s="1" t="s">
        <v>2527</v>
      </c>
      <c r="H802" s="95">
        <v>45310.0</v>
      </c>
      <c r="I802" s="95">
        <v>45321.0</v>
      </c>
      <c r="J802" s="4">
        <v>393.2145917034149</v>
      </c>
      <c r="K802" s="1"/>
      <c r="L802" s="1"/>
      <c r="M802" s="1" t="str">
        <f>VLOOKUP(B802,Bounties!A:D,3,FALSE)</f>
        <v>Research</v>
      </c>
      <c r="N802" s="1" t="str">
        <f>VLOOKUP(B802,Bounties!A:D,4,FALSE)</f>
        <v>Anti-Scam</v>
      </c>
      <c r="O802" s="1" t="str">
        <f t="shared" ref="O802:P802" si="806">IF(ISBLANK(K802),M802,K802)</f>
        <v>Research</v>
      </c>
      <c r="P802" s="1" t="str">
        <f t="shared" si="806"/>
        <v>Anti-Scam</v>
      </c>
      <c r="Q802" s="61" t="str">
        <f t="shared" si="3"/>
        <v>2024</v>
      </c>
      <c r="R802" s="62">
        <f t="shared" si="4"/>
        <v>1</v>
      </c>
      <c r="S802" s="61" t="str">
        <f t="shared" si="5"/>
        <v>2024-Q1</v>
      </c>
      <c r="T802" s="63" t="str">
        <f t="shared" si="6"/>
        <v>2024-01</v>
      </c>
      <c r="U802" s="64" t="str">
        <f t="shared" si="7"/>
        <v>2024-H1</v>
      </c>
      <c r="V802" s="9" t="str">
        <f>VLOOKUP(B802,Bounties!A:E,2,FALSE)</f>
        <v>Anti-Scam Bounty</v>
      </c>
    </row>
    <row r="803" hidden="1">
      <c r="A803" s="67">
        <f>HYPERLINK("https://polkadot.subsquare.io/treasury/child-bounties/591", 591)</f>
        <v>591</v>
      </c>
      <c r="B803" s="1">
        <v>11.0</v>
      </c>
      <c r="C803" s="1" t="s">
        <v>2414</v>
      </c>
      <c r="D803" s="1" t="s">
        <v>233</v>
      </c>
      <c r="E803" s="5">
        <v>31.43</v>
      </c>
      <c r="F803" s="4">
        <v>199.04382781028747</v>
      </c>
      <c r="G803" s="1" t="s">
        <v>2438</v>
      </c>
      <c r="H803" s="95">
        <v>45310.0</v>
      </c>
      <c r="I803" s="95">
        <v>45321.0</v>
      </c>
      <c r="J803" s="4">
        <v>218.00554978370667</v>
      </c>
      <c r="K803" s="1"/>
      <c r="L803" s="1"/>
      <c r="M803" s="1" t="str">
        <f>VLOOKUP(B803,Bounties!A:D,3,FALSE)</f>
        <v>Research</v>
      </c>
      <c r="N803" s="1" t="str">
        <f>VLOOKUP(B803,Bounties!A:D,4,FALSE)</f>
        <v>Anti-Scam</v>
      </c>
      <c r="O803" s="1" t="str">
        <f t="shared" ref="O803:P803" si="807">IF(ISBLANK(K803),M803,K803)</f>
        <v>Research</v>
      </c>
      <c r="P803" s="1" t="str">
        <f t="shared" si="807"/>
        <v>Anti-Scam</v>
      </c>
      <c r="Q803" s="61" t="str">
        <f t="shared" si="3"/>
        <v>2024</v>
      </c>
      <c r="R803" s="62">
        <f t="shared" si="4"/>
        <v>1</v>
      </c>
      <c r="S803" s="61" t="str">
        <f t="shared" si="5"/>
        <v>2024-Q1</v>
      </c>
      <c r="T803" s="63" t="str">
        <f t="shared" si="6"/>
        <v>2024-01</v>
      </c>
      <c r="U803" s="64" t="str">
        <f t="shared" si="7"/>
        <v>2024-H1</v>
      </c>
      <c r="V803" s="9" t="str">
        <f>VLOOKUP(B803,Bounties!A:E,2,FALSE)</f>
        <v>Anti-Scam Bounty</v>
      </c>
    </row>
    <row r="804" hidden="1">
      <c r="A804" s="67">
        <f>HYPERLINK("https://polkadot.subsquare.io/treasury/child-bounties/590", 590)</f>
        <v>590</v>
      </c>
      <c r="B804" s="1">
        <v>17.0</v>
      </c>
      <c r="C804" s="1" t="s">
        <v>2414</v>
      </c>
      <c r="D804" s="1" t="s">
        <v>232</v>
      </c>
      <c r="E804" s="5">
        <v>19.4</v>
      </c>
      <c r="F804" s="4">
        <v>135.94815826416016</v>
      </c>
      <c r="G804" s="1" t="s">
        <v>2659</v>
      </c>
      <c r="H804" s="95">
        <v>45306.0</v>
      </c>
      <c r="I804" s="95">
        <v>45319.0</v>
      </c>
      <c r="J804" s="4">
        <v>129.12127780914307</v>
      </c>
      <c r="K804" s="1"/>
      <c r="L804" s="1"/>
      <c r="M804" s="1" t="str">
        <f>VLOOKUP(B804,Bounties!A:D,3,FALSE)</f>
        <v>Outreach</v>
      </c>
      <c r="N804" s="1" t="str">
        <f>VLOOKUP(B804,Bounties!A:D,4,FALSE)</f>
        <v>Events/Meetups</v>
      </c>
      <c r="O804" s="1" t="str">
        <f t="shared" ref="O804:P804" si="808">IF(ISBLANK(K804),M804,K804)</f>
        <v>Outreach</v>
      </c>
      <c r="P804" s="1" t="str">
        <f t="shared" si="808"/>
        <v>Events/Meetups</v>
      </c>
      <c r="Q804" s="61" t="str">
        <f t="shared" si="3"/>
        <v>2024</v>
      </c>
      <c r="R804" s="62">
        <f t="shared" si="4"/>
        <v>1</v>
      </c>
      <c r="S804" s="61" t="str">
        <f t="shared" si="5"/>
        <v>2024-Q1</v>
      </c>
      <c r="T804" s="63" t="str">
        <f t="shared" si="6"/>
        <v>2024-01</v>
      </c>
      <c r="U804" s="64" t="str">
        <f t="shared" si="7"/>
        <v>2024-H1</v>
      </c>
      <c r="V804" s="9" t="str">
        <f>VLOOKUP(B804,Bounties!A:E,2,FALSE)</f>
        <v>Events Bounty</v>
      </c>
    </row>
    <row r="805" hidden="1">
      <c r="A805" s="67">
        <f>HYPERLINK("https://polkadot.subsquare.io/treasury/child-bounties/589", 589)</f>
        <v>589</v>
      </c>
      <c r="B805" s="1">
        <v>17.0</v>
      </c>
      <c r="C805" s="1" t="s">
        <v>2414</v>
      </c>
      <c r="D805" s="1" t="s">
        <v>231</v>
      </c>
      <c r="E805" s="5">
        <v>174.6</v>
      </c>
      <c r="F805" s="4">
        <v>1223.5334243774414</v>
      </c>
      <c r="G805" s="1" t="s">
        <v>2602</v>
      </c>
      <c r="H805" s="95">
        <v>45306.0</v>
      </c>
      <c r="I805" s="95">
        <v>45320.0</v>
      </c>
      <c r="J805" s="4">
        <v>1162.0915002822876</v>
      </c>
      <c r="K805" s="1"/>
      <c r="L805" s="1"/>
      <c r="M805" s="1" t="str">
        <f>VLOOKUP(B805,Bounties!A:D,3,FALSE)</f>
        <v>Outreach</v>
      </c>
      <c r="N805" s="1" t="str">
        <f>VLOOKUP(B805,Bounties!A:D,4,FALSE)</f>
        <v>Events/Meetups</v>
      </c>
      <c r="O805" s="1" t="str">
        <f t="shared" ref="O805:P805" si="809">IF(ISBLANK(K805),M805,K805)</f>
        <v>Outreach</v>
      </c>
      <c r="P805" s="1" t="str">
        <f t="shared" si="809"/>
        <v>Events/Meetups</v>
      </c>
      <c r="Q805" s="61" t="str">
        <f t="shared" si="3"/>
        <v>2024</v>
      </c>
      <c r="R805" s="62">
        <f t="shared" si="4"/>
        <v>1</v>
      </c>
      <c r="S805" s="61" t="str">
        <f t="shared" si="5"/>
        <v>2024-Q1</v>
      </c>
      <c r="T805" s="63" t="str">
        <f t="shared" si="6"/>
        <v>2024-01</v>
      </c>
      <c r="U805" s="64" t="str">
        <f t="shared" si="7"/>
        <v>2024-H1</v>
      </c>
      <c r="V805" s="9" t="str">
        <f>VLOOKUP(B805,Bounties!A:E,2,FALSE)</f>
        <v>Events Bounty</v>
      </c>
    </row>
    <row r="806" hidden="1">
      <c r="A806" s="67">
        <f>HYPERLINK("https://polkadot.subsquare.io/treasury/child-bounties/588", 588)</f>
        <v>588</v>
      </c>
      <c r="B806" s="1">
        <v>17.0</v>
      </c>
      <c r="C806" s="1" t="s">
        <v>2460</v>
      </c>
      <c r="D806" s="1" t="s">
        <v>2673</v>
      </c>
      <c r="E806" s="5">
        <v>267.2</v>
      </c>
      <c r="F806" s="4">
        <v>1872.4406127929688</v>
      </c>
      <c r="G806" s="1" t="s">
        <v>2674</v>
      </c>
      <c r="H806" s="95">
        <v>45306.0</v>
      </c>
      <c r="I806" s="95">
        <v>45307.0</v>
      </c>
      <c r="J806" s="4">
        <v>1836.8945037841795</v>
      </c>
      <c r="K806" s="1"/>
      <c r="L806" s="1"/>
      <c r="M806" s="1" t="str">
        <f>VLOOKUP(B806,Bounties!A:D,3,FALSE)</f>
        <v>Outreach</v>
      </c>
      <c r="N806" s="1" t="str">
        <f>VLOOKUP(B806,Bounties!A:D,4,FALSE)</f>
        <v>Events/Meetups</v>
      </c>
      <c r="O806" s="1" t="str">
        <f t="shared" ref="O806:P806" si="810">IF(ISBLANK(K806),M806,K806)</f>
        <v>Outreach</v>
      </c>
      <c r="P806" s="1" t="str">
        <f t="shared" si="810"/>
        <v>Events/Meetups</v>
      </c>
      <c r="Q806" s="61" t="str">
        <f t="shared" si="3"/>
        <v>2024</v>
      </c>
      <c r="R806" s="62">
        <f t="shared" si="4"/>
        <v>1</v>
      </c>
      <c r="S806" s="61" t="str">
        <f t="shared" si="5"/>
        <v>2024-Q1</v>
      </c>
      <c r="T806" s="63" t="str">
        <f t="shared" si="6"/>
        <v>2024-01</v>
      </c>
      <c r="U806" s="64" t="str">
        <f t="shared" si="7"/>
        <v>2024-H1</v>
      </c>
      <c r="V806" s="9" t="str">
        <f>VLOOKUP(B806,Bounties!A:E,2,FALSE)</f>
        <v>Events Bounty</v>
      </c>
    </row>
    <row r="807" hidden="1">
      <c r="A807" s="67">
        <f>HYPERLINK("https://polkadot.subsquare.io/treasury/child-bounties/587", 587)</f>
        <v>587</v>
      </c>
      <c r="B807" s="1">
        <v>17.0</v>
      </c>
      <c r="C807" s="1" t="s">
        <v>2414</v>
      </c>
      <c r="D807" s="1" t="s">
        <v>230</v>
      </c>
      <c r="E807" s="5">
        <v>294.2</v>
      </c>
      <c r="F807" s="4">
        <v>2061.646812438965</v>
      </c>
      <c r="G807" s="1" t="s">
        <v>2566</v>
      </c>
      <c r="H807" s="95">
        <v>45306.0</v>
      </c>
      <c r="I807" s="95">
        <v>45315.0</v>
      </c>
      <c r="J807" s="4">
        <v>1962.3866903305052</v>
      </c>
      <c r="K807" s="1"/>
      <c r="L807" s="1"/>
      <c r="M807" s="1" t="str">
        <f>VLOOKUP(B807,Bounties!A:D,3,FALSE)</f>
        <v>Outreach</v>
      </c>
      <c r="N807" s="1" t="str">
        <f>VLOOKUP(B807,Bounties!A:D,4,FALSE)</f>
        <v>Events/Meetups</v>
      </c>
      <c r="O807" s="1" t="str">
        <f t="shared" ref="O807:P807" si="811">IF(ISBLANK(K807),M807,K807)</f>
        <v>Outreach</v>
      </c>
      <c r="P807" s="1" t="str">
        <f t="shared" si="811"/>
        <v>Events/Meetups</v>
      </c>
      <c r="Q807" s="61" t="str">
        <f t="shared" si="3"/>
        <v>2024</v>
      </c>
      <c r="R807" s="62">
        <f t="shared" si="4"/>
        <v>1</v>
      </c>
      <c r="S807" s="61" t="str">
        <f t="shared" si="5"/>
        <v>2024-Q1</v>
      </c>
      <c r="T807" s="63" t="str">
        <f t="shared" si="6"/>
        <v>2024-01</v>
      </c>
      <c r="U807" s="64" t="str">
        <f t="shared" si="7"/>
        <v>2024-H1</v>
      </c>
      <c r="V807" s="9" t="str">
        <f>VLOOKUP(B807,Bounties!A:E,2,FALSE)</f>
        <v>Events Bounty</v>
      </c>
    </row>
    <row r="808" hidden="1">
      <c r="A808" s="67">
        <f>HYPERLINK("https://polkadot.subsquare.io/treasury/child-bounties/586", 586)</f>
        <v>586</v>
      </c>
      <c r="B808" s="1">
        <v>17.0</v>
      </c>
      <c r="C808" s="1" t="s">
        <v>2414</v>
      </c>
      <c r="D808" s="1" t="s">
        <v>229</v>
      </c>
      <c r="E808" s="5">
        <v>23286.0</v>
      </c>
      <c r="F808" s="4">
        <v>163179.83573913574</v>
      </c>
      <c r="G808" s="1" t="s">
        <v>2604</v>
      </c>
      <c r="H808" s="95">
        <v>45306.0</v>
      </c>
      <c r="I808" s="95">
        <v>45320.0</v>
      </c>
      <c r="J808" s="4">
        <v>158137.0222120285</v>
      </c>
      <c r="K808" s="1"/>
      <c r="L808" s="1" t="s">
        <v>86</v>
      </c>
      <c r="M808" s="1" t="str">
        <f>VLOOKUP(B808,Bounties!A:D,3,FALSE)</f>
        <v>Outreach</v>
      </c>
      <c r="N808" s="1" t="str">
        <f>VLOOKUP(B808,Bounties!A:D,4,FALSE)</f>
        <v>Events/Meetups</v>
      </c>
      <c r="O808" s="1" t="str">
        <f t="shared" ref="O808:P808" si="812">IF(ISBLANK(K808),M808,K808)</f>
        <v>Outreach</v>
      </c>
      <c r="P808" s="1" t="str">
        <f t="shared" si="812"/>
        <v>Events/Conference Attendance &amp; Side Events</v>
      </c>
      <c r="Q808" s="61" t="str">
        <f t="shared" si="3"/>
        <v>2024</v>
      </c>
      <c r="R808" s="62">
        <f t="shared" si="4"/>
        <v>1</v>
      </c>
      <c r="S808" s="61" t="str">
        <f t="shared" si="5"/>
        <v>2024-Q1</v>
      </c>
      <c r="T808" s="63" t="str">
        <f t="shared" si="6"/>
        <v>2024-01</v>
      </c>
      <c r="U808" s="64" t="str">
        <f t="shared" si="7"/>
        <v>2024-H1</v>
      </c>
      <c r="V808" s="9" t="str">
        <f>VLOOKUP(B808,Bounties!A:E,2,FALSE)</f>
        <v>Events Bounty</v>
      </c>
    </row>
    <row r="809" hidden="1">
      <c r="A809" s="67">
        <f>HYPERLINK("https://polkadot.subsquare.io/treasury/child-bounties/585", 585)</f>
        <v>585</v>
      </c>
      <c r="B809" s="1">
        <v>17.0</v>
      </c>
      <c r="C809" s="1" t="s">
        <v>2414</v>
      </c>
      <c r="D809" s="1" t="s">
        <v>228</v>
      </c>
      <c r="E809" s="5">
        <v>1769.3</v>
      </c>
      <c r="F809" s="4">
        <v>12398.612186431885</v>
      </c>
      <c r="G809" s="1" t="s">
        <v>2675</v>
      </c>
      <c r="H809" s="95">
        <v>45306.0</v>
      </c>
      <c r="I809" s="95">
        <v>45382.0</v>
      </c>
      <c r="J809" s="4">
        <v>14921.488241100311</v>
      </c>
      <c r="K809" s="1"/>
      <c r="L809" s="1"/>
      <c r="M809" s="1" t="str">
        <f>VLOOKUP(B809,Bounties!A:D,3,FALSE)</f>
        <v>Outreach</v>
      </c>
      <c r="N809" s="1" t="str">
        <f>VLOOKUP(B809,Bounties!A:D,4,FALSE)</f>
        <v>Events/Meetups</v>
      </c>
      <c r="O809" s="1" t="str">
        <f t="shared" ref="O809:P809" si="813">IF(ISBLANK(K809),M809,K809)</f>
        <v>Outreach</v>
      </c>
      <c r="P809" s="1" t="str">
        <f t="shared" si="813"/>
        <v>Events/Meetups</v>
      </c>
      <c r="Q809" s="61" t="str">
        <f t="shared" si="3"/>
        <v>2024</v>
      </c>
      <c r="R809" s="62">
        <f t="shared" si="4"/>
        <v>3</v>
      </c>
      <c r="S809" s="61" t="str">
        <f t="shared" si="5"/>
        <v>2024-Q1</v>
      </c>
      <c r="T809" s="63" t="str">
        <f t="shared" si="6"/>
        <v>2024-03</v>
      </c>
      <c r="U809" s="64" t="str">
        <f t="shared" si="7"/>
        <v>2024-H1</v>
      </c>
      <c r="V809" s="9" t="str">
        <f>VLOOKUP(B809,Bounties!A:E,2,FALSE)</f>
        <v>Events Bounty</v>
      </c>
    </row>
    <row r="810" hidden="1">
      <c r="A810" s="67">
        <f>HYPERLINK("https://polkadot.subsquare.io/treasury/child-bounties/584", 584)</f>
        <v>584</v>
      </c>
      <c r="B810" s="1">
        <v>17.0</v>
      </c>
      <c r="C810" s="1" t="s">
        <v>2414</v>
      </c>
      <c r="D810" s="1" t="s">
        <v>227</v>
      </c>
      <c r="E810" s="5">
        <v>13993.0</v>
      </c>
      <c r="F810" s="4">
        <v>98057.86487579346</v>
      </c>
      <c r="G810" s="1" t="s">
        <v>2676</v>
      </c>
      <c r="H810" s="95">
        <v>45306.0</v>
      </c>
      <c r="I810" s="95">
        <v>45318.0</v>
      </c>
      <c r="J810" s="4">
        <v>95739.64571237564</v>
      </c>
      <c r="K810" s="1"/>
      <c r="M810" s="1" t="str">
        <f>VLOOKUP(B810,Bounties!A:D,3,FALSE)</f>
        <v>Outreach</v>
      </c>
      <c r="N810" s="1" t="str">
        <f>VLOOKUP(B810,Bounties!A:D,4,FALSE)</f>
        <v>Events/Meetups</v>
      </c>
      <c r="O810" s="1" t="str">
        <f t="shared" ref="O810:P810" si="814">IF(ISBLANK(K810),M810,K810)</f>
        <v>Outreach</v>
      </c>
      <c r="P810" s="1" t="str">
        <f t="shared" si="814"/>
        <v>Events/Meetups</v>
      </c>
      <c r="Q810" s="61" t="str">
        <f t="shared" si="3"/>
        <v>2024</v>
      </c>
      <c r="R810" s="62">
        <f t="shared" si="4"/>
        <v>1</v>
      </c>
      <c r="S810" s="61" t="str">
        <f t="shared" si="5"/>
        <v>2024-Q1</v>
      </c>
      <c r="T810" s="63" t="str">
        <f t="shared" si="6"/>
        <v>2024-01</v>
      </c>
      <c r="U810" s="64" t="str">
        <f t="shared" si="7"/>
        <v>2024-H1</v>
      </c>
      <c r="V810" s="9" t="str">
        <f>VLOOKUP(B810,Bounties!A:E,2,FALSE)</f>
        <v>Events Bounty</v>
      </c>
    </row>
    <row r="811" hidden="1">
      <c r="A811" s="67">
        <f>HYPERLINK("https://polkadot.subsquare.io/treasury/child-bounties/583", 583)</f>
        <v>583</v>
      </c>
      <c r="B811" s="1">
        <v>22.0</v>
      </c>
      <c r="C811" s="1" t="s">
        <v>2414</v>
      </c>
      <c r="D811" s="1" t="s">
        <v>226</v>
      </c>
      <c r="E811" s="5">
        <v>15642.0</v>
      </c>
      <c r="F811" s="4">
        <v>114702.16233444214</v>
      </c>
      <c r="G811" s="1" t="s">
        <v>2490</v>
      </c>
      <c r="H811" s="95">
        <v>45306.0</v>
      </c>
      <c r="I811" s="95">
        <v>45320.0</v>
      </c>
      <c r="J811" s="4">
        <v>104109.02203559875</v>
      </c>
      <c r="K811" s="1"/>
      <c r="L811" s="1"/>
      <c r="M811" s="1" t="str">
        <f>VLOOKUP(B811,Bounties!A:D,3,FALSE)</f>
        <v>Development</v>
      </c>
      <c r="N811" s="1" t="str">
        <f>VLOOKUP(B811,Bounties!A:D,4,FALSE)</f>
        <v>Ecosystem Services</v>
      </c>
      <c r="O811" s="1" t="str">
        <f t="shared" ref="O811:P811" si="815">IF(ISBLANK(K811),M811,K811)</f>
        <v>Development</v>
      </c>
      <c r="P811" s="1" t="str">
        <f t="shared" si="815"/>
        <v>Ecosystem Services</v>
      </c>
      <c r="Q811" s="61" t="str">
        <f t="shared" si="3"/>
        <v>2024</v>
      </c>
      <c r="R811" s="62">
        <f t="shared" si="4"/>
        <v>1</v>
      </c>
      <c r="S811" s="61" t="str">
        <f t="shared" si="5"/>
        <v>2024-Q1</v>
      </c>
      <c r="T811" s="63" t="str">
        <f t="shared" si="6"/>
        <v>2024-01</v>
      </c>
      <c r="U811" s="64" t="str">
        <f t="shared" si="7"/>
        <v>2024-H1</v>
      </c>
      <c r="V811" s="9" t="str">
        <f>VLOOKUP(B811,Bounties!A:E,2,FALSE)</f>
        <v>Polkadot Assurance Legion Bounty</v>
      </c>
    </row>
    <row r="812" hidden="1">
      <c r="A812" s="67">
        <f>HYPERLINK("https://polkadot.subsquare.io/treasury/child-bounties/582", 582)</f>
        <v>582</v>
      </c>
      <c r="B812" s="1">
        <v>19.0</v>
      </c>
      <c r="C812" s="1" t="s">
        <v>2414</v>
      </c>
      <c r="D812" s="1" t="s">
        <v>225</v>
      </c>
      <c r="E812" s="5">
        <v>1071.0</v>
      </c>
      <c r="F812" s="4">
        <v>8750.272315979004</v>
      </c>
      <c r="G812" s="1" t="s">
        <v>2677</v>
      </c>
      <c r="H812" s="95">
        <v>45300.0</v>
      </c>
      <c r="I812" s="95">
        <v>45308.0</v>
      </c>
      <c r="J812" s="4">
        <v>7388.716316699982</v>
      </c>
      <c r="K812" s="1"/>
      <c r="L812" s="1"/>
      <c r="M812" s="1" t="str">
        <f>VLOOKUP(B812,Bounties!A:D,3,FALSE)</f>
        <v>Development</v>
      </c>
      <c r="N812" s="1" t="str">
        <f>VLOOKUP(B812,Bounties!A:D,4,FALSE)</f>
        <v>Smart Contracts</v>
      </c>
      <c r="O812" s="1" t="str">
        <f t="shared" ref="O812:P812" si="816">IF(ISBLANK(K812),M812,K812)</f>
        <v>Development</v>
      </c>
      <c r="P812" s="1" t="str">
        <f t="shared" si="816"/>
        <v>Smart Contracts</v>
      </c>
      <c r="Q812" s="61" t="str">
        <f t="shared" si="3"/>
        <v>2024</v>
      </c>
      <c r="R812" s="62">
        <f t="shared" si="4"/>
        <v>1</v>
      </c>
      <c r="S812" s="61" t="str">
        <f t="shared" si="5"/>
        <v>2024-Q1</v>
      </c>
      <c r="T812" s="63" t="str">
        <f t="shared" si="6"/>
        <v>2024-01</v>
      </c>
      <c r="U812" s="64" t="str">
        <f t="shared" si="7"/>
        <v>2024-H1</v>
      </c>
      <c r="V812" s="9" t="str">
        <f>VLOOKUP(B812,Bounties!A:E,2,FALSE)</f>
        <v>Wasm Smart Contracts Bounty</v>
      </c>
    </row>
    <row r="813" hidden="1">
      <c r="A813" s="67">
        <f>HYPERLINK("https://polkadot.subsquare.io/treasury/child-bounties/581", 581)</f>
        <v>581</v>
      </c>
      <c r="B813" s="1">
        <v>22.0</v>
      </c>
      <c r="C813" s="1" t="s">
        <v>2414</v>
      </c>
      <c r="D813" s="1" t="s">
        <v>224</v>
      </c>
      <c r="E813" s="5">
        <v>18360.0</v>
      </c>
      <c r="F813" s="4">
        <v>150004.66827392578</v>
      </c>
      <c r="G813" s="1" t="s">
        <v>2678</v>
      </c>
      <c r="H813" s="95">
        <v>45299.0</v>
      </c>
      <c r="I813" s="95">
        <v>45336.0</v>
      </c>
      <c r="J813" s="4">
        <v>141451.93593978882</v>
      </c>
      <c r="K813" s="1"/>
      <c r="L813" s="1"/>
      <c r="M813" s="1" t="str">
        <f>VLOOKUP(B813,Bounties!A:D,3,FALSE)</f>
        <v>Development</v>
      </c>
      <c r="N813" s="1" t="str">
        <f>VLOOKUP(B813,Bounties!A:D,4,FALSE)</f>
        <v>Ecosystem Services</v>
      </c>
      <c r="O813" s="1" t="str">
        <f t="shared" ref="O813:P813" si="817">IF(ISBLANK(K813),M813,K813)</f>
        <v>Development</v>
      </c>
      <c r="P813" s="1" t="str">
        <f t="shared" si="817"/>
        <v>Ecosystem Services</v>
      </c>
      <c r="Q813" s="61" t="str">
        <f t="shared" si="3"/>
        <v>2024</v>
      </c>
      <c r="R813" s="62">
        <f t="shared" si="4"/>
        <v>2</v>
      </c>
      <c r="S813" s="61" t="str">
        <f t="shared" si="5"/>
        <v>2024-Q1</v>
      </c>
      <c r="T813" s="63" t="str">
        <f t="shared" si="6"/>
        <v>2024-02</v>
      </c>
      <c r="U813" s="64" t="str">
        <f t="shared" si="7"/>
        <v>2024-H1</v>
      </c>
      <c r="V813" s="9" t="str">
        <f>VLOOKUP(B813,Bounties!A:E,2,FALSE)</f>
        <v>Polkadot Assurance Legion Bounty</v>
      </c>
    </row>
    <row r="814" hidden="1">
      <c r="A814" s="67">
        <f>HYPERLINK("https://polkadot.subsquare.io/treasury/child-bounties/580", 580)</f>
        <v>580</v>
      </c>
      <c r="B814" s="1">
        <v>11.0</v>
      </c>
      <c r="C814" s="1" t="s">
        <v>2414</v>
      </c>
      <c r="D814" s="1" t="s">
        <v>223</v>
      </c>
      <c r="E814" s="5">
        <v>59.07</v>
      </c>
      <c r="F814" s="4">
        <v>421.6907553577423</v>
      </c>
      <c r="G814" s="1" t="s">
        <v>2526</v>
      </c>
      <c r="H814" s="95">
        <v>45295.0</v>
      </c>
      <c r="I814" s="95">
        <v>45306.0</v>
      </c>
      <c r="J814" s="4">
        <v>413.9411190032959</v>
      </c>
      <c r="K814" s="1"/>
      <c r="L814" s="1"/>
      <c r="M814" s="1" t="str">
        <f>VLOOKUP(B814,Bounties!A:D,3,FALSE)</f>
        <v>Research</v>
      </c>
      <c r="N814" s="1" t="str">
        <f>VLOOKUP(B814,Bounties!A:D,4,FALSE)</f>
        <v>Anti-Scam</v>
      </c>
      <c r="O814" s="1" t="str">
        <f t="shared" ref="O814:P814" si="818">IF(ISBLANK(K814),M814,K814)</f>
        <v>Research</v>
      </c>
      <c r="P814" s="1" t="str">
        <f t="shared" si="818"/>
        <v>Anti-Scam</v>
      </c>
      <c r="Q814" s="61" t="str">
        <f t="shared" si="3"/>
        <v>2024</v>
      </c>
      <c r="R814" s="62">
        <f t="shared" si="4"/>
        <v>1</v>
      </c>
      <c r="S814" s="61" t="str">
        <f t="shared" si="5"/>
        <v>2024-Q1</v>
      </c>
      <c r="T814" s="63" t="str">
        <f t="shared" si="6"/>
        <v>2024-01</v>
      </c>
      <c r="U814" s="64" t="str">
        <f t="shared" si="7"/>
        <v>2024-H1</v>
      </c>
      <c r="V814" s="9" t="str">
        <f>VLOOKUP(B814,Bounties!A:E,2,FALSE)</f>
        <v>Anti-Scam Bounty</v>
      </c>
    </row>
    <row r="815" hidden="1">
      <c r="A815" s="67">
        <f>HYPERLINK("https://polkadot.subsquare.io/treasury/child-bounties/579", 579)</f>
        <v>579</v>
      </c>
      <c r="B815" s="1">
        <v>11.0</v>
      </c>
      <c r="C815" s="1" t="s">
        <v>2414</v>
      </c>
      <c r="D815" s="1" t="s">
        <v>222</v>
      </c>
      <c r="E815" s="5">
        <v>141.78</v>
      </c>
      <c r="F815" s="4">
        <v>1012.1434788322449</v>
      </c>
      <c r="G815" s="1" t="s">
        <v>2524</v>
      </c>
      <c r="H815" s="95">
        <v>45295.0</v>
      </c>
      <c r="I815" s="95">
        <v>45304.0</v>
      </c>
      <c r="J815" s="4">
        <v>1061.940685901642</v>
      </c>
      <c r="K815" s="1"/>
      <c r="L815" s="1"/>
      <c r="M815" s="1" t="str">
        <f>VLOOKUP(B815,Bounties!A:D,3,FALSE)</f>
        <v>Research</v>
      </c>
      <c r="N815" s="1" t="str">
        <f>VLOOKUP(B815,Bounties!A:D,4,FALSE)</f>
        <v>Anti-Scam</v>
      </c>
      <c r="O815" s="1" t="str">
        <f t="shared" ref="O815:P815" si="819">IF(ISBLANK(K815),M815,K815)</f>
        <v>Research</v>
      </c>
      <c r="P815" s="1" t="str">
        <f t="shared" si="819"/>
        <v>Anti-Scam</v>
      </c>
      <c r="Q815" s="61" t="str">
        <f t="shared" si="3"/>
        <v>2024</v>
      </c>
      <c r="R815" s="62">
        <f t="shared" si="4"/>
        <v>1</v>
      </c>
      <c r="S815" s="61" t="str">
        <f t="shared" si="5"/>
        <v>2024-Q1</v>
      </c>
      <c r="T815" s="63" t="str">
        <f t="shared" si="6"/>
        <v>2024-01</v>
      </c>
      <c r="U815" s="64" t="str">
        <f t="shared" si="7"/>
        <v>2024-H1</v>
      </c>
      <c r="V815" s="9" t="str">
        <f>VLOOKUP(B815,Bounties!A:E,2,FALSE)</f>
        <v>Anti-Scam Bounty</v>
      </c>
    </row>
    <row r="816" hidden="1">
      <c r="A816" s="67">
        <f>HYPERLINK("https://polkadot.subsquare.io/treasury/child-bounties/578", 578)</f>
        <v>578</v>
      </c>
      <c r="B816" s="1">
        <v>11.0</v>
      </c>
      <c r="C816" s="1" t="s">
        <v>2414</v>
      </c>
      <c r="D816" s="1" t="s">
        <v>221</v>
      </c>
      <c r="E816" s="5">
        <v>47.3933649</v>
      </c>
      <c r="F816" s="4">
        <v>373.52966448520647</v>
      </c>
      <c r="G816" s="1" t="s">
        <v>2463</v>
      </c>
      <c r="H816" s="95">
        <v>45293.0</v>
      </c>
      <c r="I816" s="95">
        <v>45304.0</v>
      </c>
      <c r="J816" s="4">
        <v>356.2932215682201</v>
      </c>
      <c r="K816" s="1"/>
      <c r="L816" s="1"/>
      <c r="M816" s="1" t="str">
        <f>VLOOKUP(B816,Bounties!A:D,3,FALSE)</f>
        <v>Research</v>
      </c>
      <c r="N816" s="1" t="str">
        <f>VLOOKUP(B816,Bounties!A:D,4,FALSE)</f>
        <v>Anti-Scam</v>
      </c>
      <c r="O816" s="1" t="str">
        <f t="shared" ref="O816:P816" si="820">IF(ISBLANK(K816),M816,K816)</f>
        <v>Research</v>
      </c>
      <c r="P816" s="1" t="str">
        <f t="shared" si="820"/>
        <v>Anti-Scam</v>
      </c>
      <c r="Q816" s="61" t="str">
        <f t="shared" si="3"/>
        <v>2024</v>
      </c>
      <c r="R816" s="62">
        <f t="shared" si="4"/>
        <v>1</v>
      </c>
      <c r="S816" s="61" t="str">
        <f t="shared" si="5"/>
        <v>2024-Q1</v>
      </c>
      <c r="T816" s="63" t="str">
        <f t="shared" si="6"/>
        <v>2024-01</v>
      </c>
      <c r="U816" s="64" t="str">
        <f t="shared" si="7"/>
        <v>2024-H1</v>
      </c>
      <c r="V816" s="9" t="str">
        <f>VLOOKUP(B816,Bounties!A:E,2,FALSE)</f>
        <v>Anti-Scam Bounty</v>
      </c>
    </row>
    <row r="817" hidden="1">
      <c r="A817" s="67">
        <f>HYPERLINK("https://polkadot.subsquare.io/treasury/child-bounties/577", 577)</f>
        <v>577</v>
      </c>
      <c r="B817" s="1">
        <v>11.0</v>
      </c>
      <c r="C817" s="1" t="s">
        <v>2414</v>
      </c>
      <c r="D817" s="1" t="s">
        <v>220</v>
      </c>
      <c r="E817" s="5">
        <v>47.3933649</v>
      </c>
      <c r="F817" s="4">
        <v>373.52966448520647</v>
      </c>
      <c r="G817" s="1" t="s">
        <v>2527</v>
      </c>
      <c r="H817" s="95">
        <v>45293.0</v>
      </c>
      <c r="I817" s="95">
        <v>45302.0</v>
      </c>
      <c r="J817" s="4">
        <v>347.25586928748896</v>
      </c>
      <c r="K817" s="1"/>
      <c r="L817" s="1"/>
      <c r="M817" s="1" t="str">
        <f>VLOOKUP(B817,Bounties!A:D,3,FALSE)</f>
        <v>Research</v>
      </c>
      <c r="N817" s="1" t="str">
        <f>VLOOKUP(B817,Bounties!A:D,4,FALSE)</f>
        <v>Anti-Scam</v>
      </c>
      <c r="O817" s="1" t="str">
        <f t="shared" ref="O817:P817" si="821">IF(ISBLANK(K817),M817,K817)</f>
        <v>Research</v>
      </c>
      <c r="P817" s="1" t="str">
        <f t="shared" si="821"/>
        <v>Anti-Scam</v>
      </c>
      <c r="Q817" s="61" t="str">
        <f t="shared" si="3"/>
        <v>2024</v>
      </c>
      <c r="R817" s="62">
        <f t="shared" si="4"/>
        <v>1</v>
      </c>
      <c r="S817" s="61" t="str">
        <f t="shared" si="5"/>
        <v>2024-Q1</v>
      </c>
      <c r="T817" s="63" t="str">
        <f t="shared" si="6"/>
        <v>2024-01</v>
      </c>
      <c r="U817" s="64" t="str">
        <f t="shared" si="7"/>
        <v>2024-H1</v>
      </c>
      <c r="V817" s="9" t="str">
        <f>VLOOKUP(B817,Bounties!A:E,2,FALSE)</f>
        <v>Anti-Scam Bounty</v>
      </c>
    </row>
    <row r="818" hidden="1">
      <c r="A818" s="67">
        <f>HYPERLINK("https://polkadot.subsquare.io/treasury/child-bounties/576", 576)</f>
        <v>576</v>
      </c>
      <c r="B818" s="1">
        <v>11.0</v>
      </c>
      <c r="C818" s="1" t="s">
        <v>2414</v>
      </c>
      <c r="D818" s="1" t="s">
        <v>219</v>
      </c>
      <c r="E818" s="5">
        <v>47.3933649</v>
      </c>
      <c r="F818" s="4">
        <v>373.52966448520647</v>
      </c>
      <c r="G818" s="1" t="s">
        <v>2438</v>
      </c>
      <c r="H818" s="95">
        <v>45293.0</v>
      </c>
      <c r="I818" s="95">
        <v>45302.0</v>
      </c>
      <c r="J818" s="4">
        <v>347.25586928748896</v>
      </c>
      <c r="K818" s="1"/>
      <c r="L818" s="1"/>
      <c r="M818" s="1" t="str">
        <f>VLOOKUP(B818,Bounties!A:D,3,FALSE)</f>
        <v>Research</v>
      </c>
      <c r="N818" s="1" t="str">
        <f>VLOOKUP(B818,Bounties!A:D,4,FALSE)</f>
        <v>Anti-Scam</v>
      </c>
      <c r="O818" s="1" t="str">
        <f t="shared" ref="O818:P818" si="822">IF(ISBLANK(K818),M818,K818)</f>
        <v>Research</v>
      </c>
      <c r="P818" s="1" t="str">
        <f t="shared" si="822"/>
        <v>Anti-Scam</v>
      </c>
      <c r="Q818" s="61" t="str">
        <f t="shared" si="3"/>
        <v>2024</v>
      </c>
      <c r="R818" s="62">
        <f t="shared" si="4"/>
        <v>1</v>
      </c>
      <c r="S818" s="61" t="str">
        <f t="shared" si="5"/>
        <v>2024-Q1</v>
      </c>
      <c r="T818" s="63" t="str">
        <f t="shared" si="6"/>
        <v>2024-01</v>
      </c>
      <c r="U818" s="64" t="str">
        <f t="shared" si="7"/>
        <v>2024-H1</v>
      </c>
      <c r="V818" s="9" t="str">
        <f>VLOOKUP(B818,Bounties!A:E,2,FALSE)</f>
        <v>Anti-Scam Bounty</v>
      </c>
    </row>
    <row r="819" hidden="1">
      <c r="A819" s="67">
        <f>HYPERLINK("https://polkadot.subsquare.io/treasury/child-bounties/575", 575)</f>
        <v>575</v>
      </c>
      <c r="B819" s="1">
        <v>11.0</v>
      </c>
      <c r="C819" s="1" t="s">
        <v>2414</v>
      </c>
      <c r="D819" s="1" t="s">
        <v>218</v>
      </c>
      <c r="E819" s="5">
        <v>324.79</v>
      </c>
      <c r="F819" s="4">
        <v>2559.8245658254623</v>
      </c>
      <c r="G819" s="1" t="s">
        <v>2527</v>
      </c>
      <c r="H819" s="95">
        <v>45292.0</v>
      </c>
      <c r="I819" s="95">
        <v>45300.0</v>
      </c>
      <c r="J819" s="4">
        <v>2458.4244857883455</v>
      </c>
      <c r="K819" s="1"/>
      <c r="L819" s="1"/>
      <c r="M819" s="1" t="str">
        <f>VLOOKUP(B819,Bounties!A:D,3,FALSE)</f>
        <v>Research</v>
      </c>
      <c r="N819" s="1" t="str">
        <f>VLOOKUP(B819,Bounties!A:D,4,FALSE)</f>
        <v>Anti-Scam</v>
      </c>
      <c r="O819" s="1" t="str">
        <f t="shared" ref="O819:P819" si="823">IF(ISBLANK(K819),M819,K819)</f>
        <v>Research</v>
      </c>
      <c r="P819" s="1" t="str">
        <f t="shared" si="823"/>
        <v>Anti-Scam</v>
      </c>
      <c r="Q819" s="61" t="str">
        <f t="shared" si="3"/>
        <v>2024</v>
      </c>
      <c r="R819" s="62">
        <f t="shared" si="4"/>
        <v>1</v>
      </c>
      <c r="S819" s="61" t="str">
        <f t="shared" si="5"/>
        <v>2024-Q1</v>
      </c>
      <c r="T819" s="63" t="str">
        <f t="shared" si="6"/>
        <v>2024-01</v>
      </c>
      <c r="U819" s="64" t="str">
        <f t="shared" si="7"/>
        <v>2024-H1</v>
      </c>
      <c r="V819" s="9" t="str">
        <f>VLOOKUP(B819,Bounties!A:E,2,FALSE)</f>
        <v>Anti-Scam Bounty</v>
      </c>
    </row>
    <row r="820" hidden="1">
      <c r="A820" s="67">
        <f>HYPERLINK("https://polkadot.subsquare.io/treasury/child-bounties/574", 574)</f>
        <v>574</v>
      </c>
      <c r="B820" s="1">
        <v>11.0</v>
      </c>
      <c r="C820" s="1" t="s">
        <v>2414</v>
      </c>
      <c r="D820" s="1" t="s">
        <v>217</v>
      </c>
      <c r="E820" s="5">
        <v>317.82</v>
      </c>
      <c r="F820" s="4">
        <v>2504.890678625107</v>
      </c>
      <c r="G820" s="1" t="s">
        <v>2463</v>
      </c>
      <c r="H820" s="95">
        <v>45292.0</v>
      </c>
      <c r="I820" s="95">
        <v>45304.0</v>
      </c>
      <c r="J820" s="4">
        <v>2389.3030578804014</v>
      </c>
      <c r="K820" s="1"/>
      <c r="L820" s="1"/>
      <c r="M820" s="1" t="str">
        <f>VLOOKUP(B820,Bounties!A:D,3,FALSE)</f>
        <v>Research</v>
      </c>
      <c r="N820" s="1" t="str">
        <f>VLOOKUP(B820,Bounties!A:D,4,FALSE)</f>
        <v>Anti-Scam</v>
      </c>
      <c r="O820" s="1" t="str">
        <f t="shared" ref="O820:P820" si="824">IF(ISBLANK(K820),M820,K820)</f>
        <v>Research</v>
      </c>
      <c r="P820" s="1" t="str">
        <f t="shared" si="824"/>
        <v>Anti-Scam</v>
      </c>
      <c r="Q820" s="61" t="str">
        <f t="shared" si="3"/>
        <v>2024</v>
      </c>
      <c r="R820" s="62">
        <f t="shared" si="4"/>
        <v>1</v>
      </c>
      <c r="S820" s="61" t="str">
        <f t="shared" si="5"/>
        <v>2024-Q1</v>
      </c>
      <c r="T820" s="63" t="str">
        <f t="shared" si="6"/>
        <v>2024-01</v>
      </c>
      <c r="U820" s="64" t="str">
        <f t="shared" si="7"/>
        <v>2024-H1</v>
      </c>
      <c r="V820" s="9" t="str">
        <f>VLOOKUP(B820,Bounties!A:E,2,FALSE)</f>
        <v>Anti-Scam Bounty</v>
      </c>
    </row>
    <row r="821" hidden="1">
      <c r="A821" s="67">
        <f>HYPERLINK("https://polkadot.subsquare.io/treasury/child-bounties/573", 573)</f>
        <v>573</v>
      </c>
      <c r="B821" s="1">
        <v>11.0</v>
      </c>
      <c r="C821" s="1" t="s">
        <v>2414</v>
      </c>
      <c r="D821" s="1" t="s">
        <v>216</v>
      </c>
      <c r="E821" s="5">
        <v>827.53</v>
      </c>
      <c r="F821" s="4">
        <v>6522.157772583962</v>
      </c>
      <c r="G821" s="1" t="s">
        <v>2438</v>
      </c>
      <c r="H821" s="95">
        <v>45292.0</v>
      </c>
      <c r="I821" s="95">
        <v>45302.0</v>
      </c>
      <c r="J821" s="4">
        <v>6063.394108390808</v>
      </c>
      <c r="K821" s="1"/>
      <c r="L821" s="1"/>
      <c r="M821" s="1" t="str">
        <f>VLOOKUP(B821,Bounties!A:D,3,FALSE)</f>
        <v>Research</v>
      </c>
      <c r="N821" s="1" t="str">
        <f>VLOOKUP(B821,Bounties!A:D,4,FALSE)</f>
        <v>Anti-Scam</v>
      </c>
      <c r="O821" s="1" t="str">
        <f t="shared" ref="O821:P821" si="825">IF(ISBLANK(K821),M821,K821)</f>
        <v>Research</v>
      </c>
      <c r="P821" s="1" t="str">
        <f t="shared" si="825"/>
        <v>Anti-Scam</v>
      </c>
      <c r="Q821" s="61" t="str">
        <f t="shared" si="3"/>
        <v>2024</v>
      </c>
      <c r="R821" s="62">
        <f t="shared" si="4"/>
        <v>1</v>
      </c>
      <c r="S821" s="61" t="str">
        <f t="shared" si="5"/>
        <v>2024-Q1</v>
      </c>
      <c r="T821" s="63" t="str">
        <f t="shared" si="6"/>
        <v>2024-01</v>
      </c>
      <c r="U821" s="64" t="str">
        <f t="shared" si="7"/>
        <v>2024-H1</v>
      </c>
      <c r="V821" s="9" t="str">
        <f>VLOOKUP(B821,Bounties!A:E,2,FALSE)</f>
        <v>Anti-Scam Bounty</v>
      </c>
    </row>
    <row r="822" hidden="1">
      <c r="A822" s="67">
        <f>HYPERLINK("https://polkadot.subsquare.io/treasury/child-bounties/572", 572)</f>
        <v>572</v>
      </c>
      <c r="B822" s="1">
        <v>11.0</v>
      </c>
      <c r="C822" s="1" t="s">
        <v>2414</v>
      </c>
      <c r="D822" s="1" t="s">
        <v>215</v>
      </c>
      <c r="E822" s="5">
        <v>59.073724</v>
      </c>
      <c r="F822" s="4">
        <v>451.4309318267517</v>
      </c>
      <c r="G822" s="1" t="s">
        <v>2433</v>
      </c>
      <c r="H822" s="95">
        <v>45291.0</v>
      </c>
      <c r="I822" s="95">
        <v>45300.0</v>
      </c>
      <c r="J822" s="4">
        <v>447.14520012408826</v>
      </c>
      <c r="K822" s="1"/>
      <c r="L822" s="1"/>
      <c r="M822" s="1" t="str">
        <f>VLOOKUP(B822,Bounties!A:D,3,FALSE)</f>
        <v>Research</v>
      </c>
      <c r="N822" s="1" t="str">
        <f>VLOOKUP(B822,Bounties!A:D,4,FALSE)</f>
        <v>Anti-Scam</v>
      </c>
      <c r="O822" s="1" t="str">
        <f t="shared" ref="O822:P822" si="826">IF(ISBLANK(K822),M822,K822)</f>
        <v>Research</v>
      </c>
      <c r="P822" s="1" t="str">
        <f t="shared" si="826"/>
        <v>Anti-Scam</v>
      </c>
      <c r="Q822" s="61" t="str">
        <f t="shared" si="3"/>
        <v>2024</v>
      </c>
      <c r="R822" s="62">
        <f t="shared" si="4"/>
        <v>1</v>
      </c>
      <c r="S822" s="61" t="str">
        <f t="shared" si="5"/>
        <v>2024-Q1</v>
      </c>
      <c r="T822" s="63" t="str">
        <f t="shared" si="6"/>
        <v>2024-01</v>
      </c>
      <c r="U822" s="64" t="str">
        <f t="shared" si="7"/>
        <v>2024-H1</v>
      </c>
      <c r="V822" s="9" t="str">
        <f>VLOOKUP(B822,Bounties!A:E,2,FALSE)</f>
        <v>Anti-Scam Bounty</v>
      </c>
    </row>
    <row r="823" hidden="1">
      <c r="A823" s="67">
        <f>HYPERLINK("https://polkadot.subsquare.io/treasury/child-bounties/571", 571)</f>
        <v>571</v>
      </c>
      <c r="B823" s="1">
        <v>11.0</v>
      </c>
      <c r="C823" s="1" t="s">
        <v>2414</v>
      </c>
      <c r="D823" s="1" t="s">
        <v>214</v>
      </c>
      <c r="E823" s="5">
        <v>141.776938</v>
      </c>
      <c r="F823" s="4">
        <v>1083.4342394409332</v>
      </c>
      <c r="G823" s="1" t="s">
        <v>2433</v>
      </c>
      <c r="H823" s="95">
        <v>45291.0</v>
      </c>
      <c r="I823" s="95">
        <v>45300.0</v>
      </c>
      <c r="J823" s="4">
        <v>1073.1484833255215</v>
      </c>
      <c r="K823" s="1"/>
      <c r="L823" s="1"/>
      <c r="M823" s="1" t="str">
        <f>VLOOKUP(B823,Bounties!A:D,3,FALSE)</f>
        <v>Research</v>
      </c>
      <c r="N823" s="1" t="str">
        <f>VLOOKUP(B823,Bounties!A:D,4,FALSE)</f>
        <v>Anti-Scam</v>
      </c>
      <c r="O823" s="1" t="str">
        <f t="shared" ref="O823:P823" si="827">IF(ISBLANK(K823),M823,K823)</f>
        <v>Research</v>
      </c>
      <c r="P823" s="1" t="str">
        <f t="shared" si="827"/>
        <v>Anti-Scam</v>
      </c>
      <c r="Q823" s="61" t="str">
        <f t="shared" si="3"/>
        <v>2024</v>
      </c>
      <c r="R823" s="62">
        <f t="shared" si="4"/>
        <v>1</v>
      </c>
      <c r="S823" s="61" t="str">
        <f t="shared" si="5"/>
        <v>2024-Q1</v>
      </c>
      <c r="T823" s="63" t="str">
        <f t="shared" si="6"/>
        <v>2024-01</v>
      </c>
      <c r="U823" s="64" t="str">
        <f t="shared" si="7"/>
        <v>2024-H1</v>
      </c>
      <c r="V823" s="9" t="str">
        <f>VLOOKUP(B823,Bounties!A:E,2,FALSE)</f>
        <v>Anti-Scam Bounty</v>
      </c>
    </row>
    <row r="824" hidden="1">
      <c r="A824" s="67">
        <f>HYPERLINK("https://polkadot.subsquare.io/treasury/child-bounties/570", 570)</f>
        <v>570</v>
      </c>
      <c r="B824" s="1">
        <v>11.0</v>
      </c>
      <c r="C824" s="1" t="s">
        <v>2414</v>
      </c>
      <c r="D824" s="1" t="s">
        <v>213</v>
      </c>
      <c r="E824" s="5">
        <v>19.494328</v>
      </c>
      <c r="F824" s="4">
        <v>148.97220047235106</v>
      </c>
      <c r="G824" s="1" t="s">
        <v>2433</v>
      </c>
      <c r="H824" s="95">
        <v>45291.0</v>
      </c>
      <c r="I824" s="95">
        <v>45300.0</v>
      </c>
      <c r="J824" s="4">
        <v>147.5579090772171</v>
      </c>
      <c r="K824" s="1"/>
      <c r="L824" s="1"/>
      <c r="M824" s="1" t="str">
        <f>VLOOKUP(B824,Bounties!A:D,3,FALSE)</f>
        <v>Research</v>
      </c>
      <c r="N824" s="1" t="str">
        <f>VLOOKUP(B824,Bounties!A:D,4,FALSE)</f>
        <v>Anti-Scam</v>
      </c>
      <c r="O824" s="1" t="str">
        <f t="shared" ref="O824:P824" si="828">IF(ISBLANK(K824),M824,K824)</f>
        <v>Research</v>
      </c>
      <c r="P824" s="1" t="str">
        <f t="shared" si="828"/>
        <v>Anti-Scam</v>
      </c>
      <c r="Q824" s="61" t="str">
        <f t="shared" si="3"/>
        <v>2024</v>
      </c>
      <c r="R824" s="62">
        <f t="shared" si="4"/>
        <v>1</v>
      </c>
      <c r="S824" s="61" t="str">
        <f t="shared" si="5"/>
        <v>2024-Q1</v>
      </c>
      <c r="T824" s="63" t="str">
        <f t="shared" si="6"/>
        <v>2024-01</v>
      </c>
      <c r="U824" s="64" t="str">
        <f t="shared" si="7"/>
        <v>2024-H1</v>
      </c>
      <c r="V824" s="9" t="str">
        <f>VLOOKUP(B824,Bounties!A:E,2,FALSE)</f>
        <v>Anti-Scam Bounty</v>
      </c>
    </row>
    <row r="825" hidden="1">
      <c r="A825" s="67">
        <f>HYPERLINK("https://polkadot.subsquare.io/treasury/child-bounties/569", 569)</f>
        <v>569</v>
      </c>
      <c r="B825" s="1">
        <v>11.0</v>
      </c>
      <c r="C825" s="1" t="s">
        <v>2414</v>
      </c>
      <c r="D825" s="1" t="s">
        <v>212</v>
      </c>
      <c r="E825" s="5">
        <v>85.0661626</v>
      </c>
      <c r="F825" s="4">
        <v>650.0605421361954</v>
      </c>
      <c r="G825" s="1" t="s">
        <v>2535</v>
      </c>
      <c r="H825" s="95">
        <v>45291.0</v>
      </c>
      <c r="I825" s="95">
        <v>45302.0</v>
      </c>
      <c r="J825" s="4">
        <v>623.2881818571586</v>
      </c>
      <c r="K825" s="1"/>
      <c r="L825" s="1"/>
      <c r="M825" s="1" t="str">
        <f>VLOOKUP(B825,Bounties!A:D,3,FALSE)</f>
        <v>Research</v>
      </c>
      <c r="N825" s="1" t="str">
        <f>VLOOKUP(B825,Bounties!A:D,4,FALSE)</f>
        <v>Anti-Scam</v>
      </c>
      <c r="O825" s="1" t="str">
        <f t="shared" ref="O825:P825" si="829">IF(ISBLANK(K825),M825,K825)</f>
        <v>Research</v>
      </c>
      <c r="P825" s="1" t="str">
        <f t="shared" si="829"/>
        <v>Anti-Scam</v>
      </c>
      <c r="Q825" s="61" t="str">
        <f t="shared" si="3"/>
        <v>2024</v>
      </c>
      <c r="R825" s="62">
        <f t="shared" si="4"/>
        <v>1</v>
      </c>
      <c r="S825" s="61" t="str">
        <f t="shared" si="5"/>
        <v>2024-Q1</v>
      </c>
      <c r="T825" s="63" t="str">
        <f t="shared" si="6"/>
        <v>2024-01</v>
      </c>
      <c r="U825" s="64" t="str">
        <f t="shared" si="7"/>
        <v>2024-H1</v>
      </c>
      <c r="V825" s="9" t="str">
        <f>VLOOKUP(B825,Bounties!A:E,2,FALSE)</f>
        <v>Anti-Scam Bounty</v>
      </c>
    </row>
    <row r="826" hidden="1">
      <c r="A826" s="67">
        <f>HYPERLINK("https://polkadot.subsquare.io/treasury/child-bounties/568", 568)</f>
        <v>568</v>
      </c>
      <c r="B826" s="1">
        <v>11.0</v>
      </c>
      <c r="C826" s="1" t="s">
        <v>2414</v>
      </c>
      <c r="D826" s="1" t="s">
        <v>211</v>
      </c>
      <c r="E826" s="5">
        <v>170.132325</v>
      </c>
      <c r="F826" s="4">
        <v>1300.1210827440264</v>
      </c>
      <c r="G826" s="1" t="s">
        <v>2438</v>
      </c>
      <c r="H826" s="95">
        <v>45291.0</v>
      </c>
      <c r="I826" s="95">
        <v>45302.0</v>
      </c>
      <c r="J826" s="4">
        <v>1246.5763622488976</v>
      </c>
      <c r="K826" s="1"/>
      <c r="L826" s="1"/>
      <c r="M826" s="1" t="str">
        <f>VLOOKUP(B826,Bounties!A:D,3,FALSE)</f>
        <v>Research</v>
      </c>
      <c r="N826" s="1" t="str">
        <f>VLOOKUP(B826,Bounties!A:D,4,FALSE)</f>
        <v>Anti-Scam</v>
      </c>
      <c r="O826" s="1" t="str">
        <f t="shared" ref="O826:P826" si="830">IF(ISBLANK(K826),M826,K826)</f>
        <v>Research</v>
      </c>
      <c r="P826" s="1" t="str">
        <f t="shared" si="830"/>
        <v>Anti-Scam</v>
      </c>
      <c r="Q826" s="61" t="str">
        <f t="shared" si="3"/>
        <v>2024</v>
      </c>
      <c r="R826" s="62">
        <f t="shared" si="4"/>
        <v>1</v>
      </c>
      <c r="S826" s="61" t="str">
        <f t="shared" si="5"/>
        <v>2024-Q1</v>
      </c>
      <c r="T826" s="63" t="str">
        <f t="shared" si="6"/>
        <v>2024-01</v>
      </c>
      <c r="U826" s="64" t="str">
        <f t="shared" si="7"/>
        <v>2024-H1</v>
      </c>
      <c r="V826" s="9" t="str">
        <f>VLOOKUP(B826,Bounties!A:E,2,FALSE)</f>
        <v>Anti-Scam Bounty</v>
      </c>
    </row>
    <row r="827" hidden="1">
      <c r="A827" s="67">
        <f>HYPERLINK("https://polkadot.subsquare.io/treasury/child-bounties/567", 567)</f>
        <v>567</v>
      </c>
      <c r="B827" s="1">
        <v>11.0</v>
      </c>
      <c r="C827" s="1" t="s">
        <v>2414</v>
      </c>
      <c r="D827" s="1" t="s">
        <v>210</v>
      </c>
      <c r="E827" s="5">
        <v>170.132325</v>
      </c>
      <c r="F827" s="4">
        <v>1300.1210827440264</v>
      </c>
      <c r="G827" s="1" t="s">
        <v>2534</v>
      </c>
      <c r="H827" s="95">
        <v>45291.0</v>
      </c>
      <c r="I827" s="95">
        <v>45300.0</v>
      </c>
      <c r="J827" s="4">
        <v>1390.0132338941576</v>
      </c>
      <c r="K827" s="1"/>
      <c r="L827" s="1"/>
      <c r="M827" s="1" t="str">
        <f>VLOOKUP(B827,Bounties!A:D,3,FALSE)</f>
        <v>Research</v>
      </c>
      <c r="N827" s="1" t="str">
        <f>VLOOKUP(B827,Bounties!A:D,4,FALSE)</f>
        <v>Anti-Scam</v>
      </c>
      <c r="O827" s="1" t="str">
        <f t="shared" ref="O827:P827" si="831">IF(ISBLANK(K827),M827,K827)</f>
        <v>Research</v>
      </c>
      <c r="P827" s="1" t="str">
        <f t="shared" si="831"/>
        <v>Anti-Scam</v>
      </c>
      <c r="Q827" s="61" t="str">
        <f t="shared" si="3"/>
        <v>2024</v>
      </c>
      <c r="R827" s="62">
        <f t="shared" si="4"/>
        <v>1</v>
      </c>
      <c r="S827" s="61" t="str">
        <f t="shared" si="5"/>
        <v>2024-Q1</v>
      </c>
      <c r="T827" s="63" t="str">
        <f t="shared" si="6"/>
        <v>2024-01</v>
      </c>
      <c r="U827" s="64" t="str">
        <f t="shared" si="7"/>
        <v>2024-H1</v>
      </c>
      <c r="V827" s="9" t="str">
        <f>VLOOKUP(B827,Bounties!A:E,2,FALSE)</f>
        <v>Anti-Scam Bounty</v>
      </c>
    </row>
    <row r="828" hidden="1">
      <c r="A828" s="67">
        <f>HYPERLINK("https://polkadot.subsquare.io/treasury/child-bounties/566", 566)</f>
        <v>566</v>
      </c>
      <c r="B828" s="1">
        <v>11.0</v>
      </c>
      <c r="C828" s="1" t="s">
        <v>2414</v>
      </c>
      <c r="D828" s="1" t="s">
        <v>209</v>
      </c>
      <c r="E828" s="5">
        <v>59.073724</v>
      </c>
      <c r="F828" s="4">
        <v>451.4309318267517</v>
      </c>
      <c r="G828" s="1" t="s">
        <v>2534</v>
      </c>
      <c r="H828" s="95">
        <v>45291.0</v>
      </c>
      <c r="I828" s="95">
        <v>45300.0</v>
      </c>
      <c r="J828" s="4">
        <v>482.6434843314514</v>
      </c>
      <c r="K828" s="1"/>
      <c r="L828" s="1"/>
      <c r="M828" s="1" t="str">
        <f>VLOOKUP(B828,Bounties!A:D,3,FALSE)</f>
        <v>Research</v>
      </c>
      <c r="N828" s="1" t="str">
        <f>VLOOKUP(B828,Bounties!A:D,4,FALSE)</f>
        <v>Anti-Scam</v>
      </c>
      <c r="O828" s="1" t="str">
        <f t="shared" ref="O828:P828" si="832">IF(ISBLANK(K828),M828,K828)</f>
        <v>Research</v>
      </c>
      <c r="P828" s="1" t="str">
        <f t="shared" si="832"/>
        <v>Anti-Scam</v>
      </c>
      <c r="Q828" s="61" t="str">
        <f t="shared" si="3"/>
        <v>2024</v>
      </c>
      <c r="R828" s="62">
        <f t="shared" si="4"/>
        <v>1</v>
      </c>
      <c r="S828" s="61" t="str">
        <f t="shared" si="5"/>
        <v>2024-Q1</v>
      </c>
      <c r="T828" s="63" t="str">
        <f t="shared" si="6"/>
        <v>2024-01</v>
      </c>
      <c r="U828" s="64" t="str">
        <f t="shared" si="7"/>
        <v>2024-H1</v>
      </c>
      <c r="V828" s="9" t="str">
        <f>VLOOKUP(B828,Bounties!A:E,2,FALSE)</f>
        <v>Anti-Scam Bounty</v>
      </c>
    </row>
    <row r="829" hidden="1">
      <c r="A829" s="67">
        <f>HYPERLINK("https://polkadot.subsquare.io/treasury/child-bounties/565", 565)</f>
        <v>565</v>
      </c>
      <c r="B829" s="1">
        <v>11.0</v>
      </c>
      <c r="C829" s="1" t="s">
        <v>2414</v>
      </c>
      <c r="D829" s="1" t="s">
        <v>208</v>
      </c>
      <c r="E829" s="5">
        <v>59.073724</v>
      </c>
      <c r="F829" s="4">
        <v>451.4309318267517</v>
      </c>
      <c r="G829" s="1" t="s">
        <v>2528</v>
      </c>
      <c r="H829" s="95">
        <v>45291.0</v>
      </c>
      <c r="I829" s="95">
        <v>45301.0</v>
      </c>
      <c r="J829" s="4">
        <v>447.14520012408826</v>
      </c>
      <c r="K829" s="1"/>
      <c r="L829" s="1"/>
      <c r="M829" s="1" t="str">
        <f>VLOOKUP(B829,Bounties!A:D,3,FALSE)</f>
        <v>Research</v>
      </c>
      <c r="N829" s="1" t="str">
        <f>VLOOKUP(B829,Bounties!A:D,4,FALSE)</f>
        <v>Anti-Scam</v>
      </c>
      <c r="O829" s="1" t="str">
        <f t="shared" ref="O829:P829" si="833">IF(ISBLANK(K829),M829,K829)</f>
        <v>Research</v>
      </c>
      <c r="P829" s="1" t="str">
        <f t="shared" si="833"/>
        <v>Anti-Scam</v>
      </c>
      <c r="Q829" s="61" t="str">
        <f t="shared" si="3"/>
        <v>2024</v>
      </c>
      <c r="R829" s="62">
        <f t="shared" si="4"/>
        <v>1</v>
      </c>
      <c r="S829" s="61" t="str">
        <f t="shared" si="5"/>
        <v>2024-Q1</v>
      </c>
      <c r="T829" s="63" t="str">
        <f t="shared" si="6"/>
        <v>2024-01</v>
      </c>
      <c r="U829" s="64" t="str">
        <f t="shared" si="7"/>
        <v>2024-H1</v>
      </c>
      <c r="V829" s="9" t="str">
        <f>VLOOKUP(B829,Bounties!A:E,2,FALSE)</f>
        <v>Anti-Scam Bounty</v>
      </c>
    </row>
    <row r="830" hidden="1">
      <c r="A830" s="67">
        <f>HYPERLINK("https://polkadot.subsquare.io/treasury/child-bounties/564", 564)</f>
        <v>564</v>
      </c>
      <c r="B830" s="1">
        <v>11.0</v>
      </c>
      <c r="C830" s="1" t="s">
        <v>2414</v>
      </c>
      <c r="D830" s="1" t="s">
        <v>207</v>
      </c>
      <c r="E830" s="5">
        <v>70.888468</v>
      </c>
      <c r="F830" s="4">
        <v>541.7171120786438</v>
      </c>
      <c r="G830" s="1" t="s">
        <v>2531</v>
      </c>
      <c r="H830" s="95">
        <v>45291.0</v>
      </c>
      <c r="I830" s="95">
        <v>45301.0</v>
      </c>
      <c r="J830" s="4">
        <v>539.6728530648785</v>
      </c>
      <c r="K830" s="1"/>
      <c r="L830" s="1"/>
      <c r="M830" s="1" t="str">
        <f>VLOOKUP(B830,Bounties!A:D,3,FALSE)</f>
        <v>Research</v>
      </c>
      <c r="N830" s="1" t="str">
        <f>VLOOKUP(B830,Bounties!A:D,4,FALSE)</f>
        <v>Anti-Scam</v>
      </c>
      <c r="O830" s="1" t="str">
        <f t="shared" ref="O830:P830" si="834">IF(ISBLANK(K830),M830,K830)</f>
        <v>Research</v>
      </c>
      <c r="P830" s="1" t="str">
        <f t="shared" si="834"/>
        <v>Anti-Scam</v>
      </c>
      <c r="Q830" s="61" t="str">
        <f t="shared" si="3"/>
        <v>2024</v>
      </c>
      <c r="R830" s="62">
        <f t="shared" si="4"/>
        <v>1</v>
      </c>
      <c r="S830" s="61" t="str">
        <f t="shared" si="5"/>
        <v>2024-Q1</v>
      </c>
      <c r="T830" s="63" t="str">
        <f t="shared" si="6"/>
        <v>2024-01</v>
      </c>
      <c r="U830" s="64" t="str">
        <f t="shared" si="7"/>
        <v>2024-H1</v>
      </c>
      <c r="V830" s="9" t="str">
        <f>VLOOKUP(B830,Bounties!A:E,2,FALSE)</f>
        <v>Anti-Scam Bounty</v>
      </c>
    </row>
    <row r="831" hidden="1">
      <c r="A831" s="67">
        <f>HYPERLINK("https://polkadot.subsquare.io/treasury/child-bounties/563", 563)</f>
        <v>563</v>
      </c>
      <c r="B831" s="1">
        <v>11.0</v>
      </c>
      <c r="C831" s="1" t="s">
        <v>2414</v>
      </c>
      <c r="D831" s="1" t="s">
        <v>206</v>
      </c>
      <c r="E831" s="5">
        <v>85.0661626</v>
      </c>
      <c r="F831" s="4">
        <v>650.0605421361954</v>
      </c>
      <c r="G831" s="1" t="s">
        <v>2463</v>
      </c>
      <c r="H831" s="95">
        <v>45291.0</v>
      </c>
      <c r="I831" s="95">
        <v>45304.0</v>
      </c>
      <c r="J831" s="4">
        <v>639.5092896052214</v>
      </c>
      <c r="K831" s="1"/>
      <c r="L831" s="1"/>
      <c r="M831" s="1" t="str">
        <f>VLOOKUP(B831,Bounties!A:D,3,FALSE)</f>
        <v>Research</v>
      </c>
      <c r="N831" s="1" t="str">
        <f>VLOOKUP(B831,Bounties!A:D,4,FALSE)</f>
        <v>Anti-Scam</v>
      </c>
      <c r="O831" s="1" t="str">
        <f t="shared" ref="O831:P831" si="835">IF(ISBLANK(K831),M831,K831)</f>
        <v>Research</v>
      </c>
      <c r="P831" s="1" t="str">
        <f t="shared" si="835"/>
        <v>Anti-Scam</v>
      </c>
      <c r="Q831" s="61" t="str">
        <f t="shared" si="3"/>
        <v>2024</v>
      </c>
      <c r="R831" s="62">
        <f t="shared" si="4"/>
        <v>1</v>
      </c>
      <c r="S831" s="61" t="str">
        <f t="shared" si="5"/>
        <v>2024-Q1</v>
      </c>
      <c r="T831" s="63" t="str">
        <f t="shared" si="6"/>
        <v>2024-01</v>
      </c>
      <c r="U831" s="64" t="str">
        <f t="shared" si="7"/>
        <v>2024-H1</v>
      </c>
      <c r="V831" s="9" t="str">
        <f>VLOOKUP(B831,Bounties!A:E,2,FALSE)</f>
        <v>Anti-Scam Bounty</v>
      </c>
    </row>
    <row r="832" hidden="1">
      <c r="A832" s="67">
        <f>HYPERLINK("https://polkadot.subsquare.io/treasury/child-bounties/562", 562)</f>
        <v>562</v>
      </c>
      <c r="B832" s="1">
        <v>11.0</v>
      </c>
      <c r="C832" s="1" t="s">
        <v>2414</v>
      </c>
      <c r="D832" s="1" t="s">
        <v>205</v>
      </c>
      <c r="E832" s="5">
        <v>198.487713</v>
      </c>
      <c r="F832" s="4">
        <v>1516.807933688942</v>
      </c>
      <c r="G832" s="1" t="s">
        <v>2527</v>
      </c>
      <c r="H832" s="95">
        <v>45291.0</v>
      </c>
      <c r="I832" s="95">
        <v>45300.0</v>
      </c>
      <c r="J832" s="4">
        <v>1621.6821102949448</v>
      </c>
      <c r="K832" s="1"/>
      <c r="L832" s="1"/>
      <c r="M832" s="1" t="str">
        <f>VLOOKUP(B832,Bounties!A:D,3,FALSE)</f>
        <v>Research</v>
      </c>
      <c r="N832" s="1" t="str">
        <f>VLOOKUP(B832,Bounties!A:D,4,FALSE)</f>
        <v>Anti-Scam</v>
      </c>
      <c r="O832" s="1" t="str">
        <f t="shared" ref="O832:P832" si="836">IF(ISBLANK(K832),M832,K832)</f>
        <v>Research</v>
      </c>
      <c r="P832" s="1" t="str">
        <f t="shared" si="836"/>
        <v>Anti-Scam</v>
      </c>
      <c r="Q832" s="61" t="str">
        <f t="shared" si="3"/>
        <v>2024</v>
      </c>
      <c r="R832" s="62">
        <f t="shared" si="4"/>
        <v>1</v>
      </c>
      <c r="S832" s="61" t="str">
        <f t="shared" si="5"/>
        <v>2024-Q1</v>
      </c>
      <c r="T832" s="63" t="str">
        <f t="shared" si="6"/>
        <v>2024-01</v>
      </c>
      <c r="U832" s="64" t="str">
        <f t="shared" si="7"/>
        <v>2024-H1</v>
      </c>
      <c r="V832" s="9" t="str">
        <f>VLOOKUP(B832,Bounties!A:E,2,FALSE)</f>
        <v>Anti-Scam Bounty</v>
      </c>
    </row>
    <row r="833" hidden="1">
      <c r="A833" s="67">
        <f>HYPERLINK("https://polkadot.subsquare.io/treasury/child-bounties/561", 561)</f>
        <v>561</v>
      </c>
      <c r="B833" s="1">
        <v>22.0</v>
      </c>
      <c r="C833" s="1" t="s">
        <v>2414</v>
      </c>
      <c r="D833" s="1" t="s">
        <v>204</v>
      </c>
      <c r="E833" s="5">
        <v>5876.0</v>
      </c>
      <c r="F833" s="4">
        <v>51139.237480163574</v>
      </c>
      <c r="G833" s="1" t="s">
        <v>2679</v>
      </c>
      <c r="H833" s="95">
        <v>45285.0</v>
      </c>
      <c r="I833" s="95">
        <v>45327.0</v>
      </c>
      <c r="J833" s="4">
        <v>40779.0284576416</v>
      </c>
      <c r="K833" s="1"/>
      <c r="L833" s="1"/>
      <c r="M833" s="1" t="str">
        <f>VLOOKUP(B833,Bounties!A:D,3,FALSE)</f>
        <v>Development</v>
      </c>
      <c r="N833" s="1" t="str">
        <f>VLOOKUP(B833,Bounties!A:D,4,FALSE)</f>
        <v>Ecosystem Services</v>
      </c>
      <c r="O833" s="1" t="str">
        <f t="shared" ref="O833:P833" si="837">IF(ISBLANK(K833),M833,K833)</f>
        <v>Development</v>
      </c>
      <c r="P833" s="1" t="str">
        <f t="shared" si="837"/>
        <v>Ecosystem Services</v>
      </c>
      <c r="Q833" s="61" t="str">
        <f t="shared" si="3"/>
        <v>2024</v>
      </c>
      <c r="R833" s="62">
        <f t="shared" si="4"/>
        <v>2</v>
      </c>
      <c r="S833" s="61" t="str">
        <f t="shared" si="5"/>
        <v>2024-Q1</v>
      </c>
      <c r="T833" s="63" t="str">
        <f t="shared" si="6"/>
        <v>2024-02</v>
      </c>
      <c r="U833" s="64" t="str">
        <f t="shared" si="7"/>
        <v>2024-H1</v>
      </c>
      <c r="V833" s="9" t="str">
        <f>VLOOKUP(B833,Bounties!A:E,2,FALSE)</f>
        <v>Polkadot Assurance Legion Bounty</v>
      </c>
    </row>
    <row r="834" hidden="1">
      <c r="A834" s="67">
        <f>HYPERLINK("https://polkadot.subsquare.io/treasury/child-bounties/560", 560)</f>
        <v>560</v>
      </c>
      <c r="B834" s="1">
        <v>22.0</v>
      </c>
      <c r="C834" s="1" t="s">
        <v>2414</v>
      </c>
      <c r="D834" s="1" t="s">
        <v>203</v>
      </c>
      <c r="E834" s="5">
        <v>9379.0</v>
      </c>
      <c r="F834" s="4">
        <v>81626.09059333801</v>
      </c>
      <c r="G834" s="1" t="s">
        <v>2680</v>
      </c>
      <c r="H834" s="95">
        <v>45284.0</v>
      </c>
      <c r="I834" s="95">
        <v>45321.0</v>
      </c>
      <c r="J834" s="4">
        <v>63693.512467861176</v>
      </c>
      <c r="K834" s="1"/>
      <c r="L834" s="1"/>
      <c r="M834" s="1" t="str">
        <f>VLOOKUP(B834,Bounties!A:D,3,FALSE)</f>
        <v>Development</v>
      </c>
      <c r="N834" s="1" t="str">
        <f>VLOOKUP(B834,Bounties!A:D,4,FALSE)</f>
        <v>Ecosystem Services</v>
      </c>
      <c r="O834" s="1" t="str">
        <f t="shared" ref="O834:P834" si="838">IF(ISBLANK(K834),M834,K834)</f>
        <v>Development</v>
      </c>
      <c r="P834" s="1" t="str">
        <f t="shared" si="838"/>
        <v>Ecosystem Services</v>
      </c>
      <c r="Q834" s="61" t="str">
        <f t="shared" si="3"/>
        <v>2024</v>
      </c>
      <c r="R834" s="62">
        <f t="shared" si="4"/>
        <v>1</v>
      </c>
      <c r="S834" s="61" t="str">
        <f t="shared" si="5"/>
        <v>2024-Q1</v>
      </c>
      <c r="T834" s="63" t="str">
        <f t="shared" si="6"/>
        <v>2024-01</v>
      </c>
      <c r="U834" s="64" t="str">
        <f t="shared" si="7"/>
        <v>2024-H1</v>
      </c>
      <c r="V834" s="9" t="str">
        <f>VLOOKUP(B834,Bounties!A:E,2,FALSE)</f>
        <v>Polkadot Assurance Legion Bounty</v>
      </c>
    </row>
    <row r="835" hidden="1">
      <c r="A835" s="67">
        <f>HYPERLINK("https://polkadot.subsquare.io/treasury/child-bounties/559", 559)</f>
        <v>559</v>
      </c>
      <c r="B835" s="1">
        <v>24.0</v>
      </c>
      <c r="C835" s="1" t="s">
        <v>2414</v>
      </c>
      <c r="D835" s="1" t="s">
        <v>202</v>
      </c>
      <c r="E835" s="5">
        <v>172.754195459</v>
      </c>
      <c r="F835" s="4">
        <v>1523.5636100125992</v>
      </c>
      <c r="G835" s="1" t="s">
        <v>2497</v>
      </c>
      <c r="H835" s="95">
        <v>45284.0</v>
      </c>
      <c r="I835" s="95">
        <v>45296.0</v>
      </c>
      <c r="J835" s="4">
        <v>1191.2840846022743</v>
      </c>
      <c r="K835" s="1"/>
      <c r="L835" s="1"/>
      <c r="M835" s="1" t="str">
        <f>VLOOKUP(B835,Bounties!A:D,3,FALSE)</f>
        <v>Outreach</v>
      </c>
      <c r="N835" s="1" t="str">
        <f>VLOOKUP(B835,Bounties!A:D,4,FALSE)</f>
        <v>Community Building</v>
      </c>
      <c r="O835" s="1" t="str">
        <f t="shared" ref="O835:P835" si="839">IF(ISBLANK(K835),M835,K835)</f>
        <v>Outreach</v>
      </c>
      <c r="P835" s="1" t="str">
        <f t="shared" si="839"/>
        <v>Community Building</v>
      </c>
      <c r="Q835" s="61" t="str">
        <f t="shared" si="3"/>
        <v>2024</v>
      </c>
      <c r="R835" s="62">
        <f t="shared" si="4"/>
        <v>1</v>
      </c>
      <c r="S835" s="61" t="str">
        <f t="shared" si="5"/>
        <v>2024-Q1</v>
      </c>
      <c r="T835" s="63" t="str">
        <f t="shared" si="6"/>
        <v>2024-01</v>
      </c>
      <c r="U835" s="64" t="str">
        <f t="shared" si="7"/>
        <v>2024-H1</v>
      </c>
      <c r="V835" s="9" t="str">
        <f>VLOOKUP(B835,Bounties!A:E,2,FALSE)</f>
        <v>Moderation Team Bounty</v>
      </c>
    </row>
    <row r="836" hidden="1">
      <c r="A836" s="67">
        <f>HYPERLINK("https://polkadot.subsquare.io/treasury/child-bounties/558", 558)</f>
        <v>558</v>
      </c>
      <c r="B836" s="1">
        <v>24.0</v>
      </c>
      <c r="C836" s="1" t="s">
        <v>2414</v>
      </c>
      <c r="D836" s="1" t="s">
        <v>201</v>
      </c>
      <c r="E836" s="5">
        <v>172.754195459</v>
      </c>
      <c r="F836" s="4">
        <v>1523.5636100125992</v>
      </c>
      <c r="G836" s="1" t="s">
        <v>2548</v>
      </c>
      <c r="H836" s="95">
        <v>45284.0</v>
      </c>
      <c r="I836" s="95">
        <v>45293.0</v>
      </c>
      <c r="J836" s="4">
        <v>1286.2520533274026</v>
      </c>
      <c r="K836" s="1"/>
      <c r="L836" s="1"/>
      <c r="M836" s="1" t="str">
        <f>VLOOKUP(B836,Bounties!A:D,3,FALSE)</f>
        <v>Outreach</v>
      </c>
      <c r="N836" s="1" t="str">
        <f>VLOOKUP(B836,Bounties!A:D,4,FALSE)</f>
        <v>Community Building</v>
      </c>
      <c r="O836" s="1" t="str">
        <f t="shared" ref="O836:P836" si="840">IF(ISBLANK(K836),M836,K836)</f>
        <v>Outreach</v>
      </c>
      <c r="P836" s="1" t="str">
        <f t="shared" si="840"/>
        <v>Community Building</v>
      </c>
      <c r="Q836" s="61" t="str">
        <f t="shared" si="3"/>
        <v>2024</v>
      </c>
      <c r="R836" s="62">
        <f t="shared" si="4"/>
        <v>1</v>
      </c>
      <c r="S836" s="61" t="str">
        <f t="shared" si="5"/>
        <v>2024-Q1</v>
      </c>
      <c r="T836" s="63" t="str">
        <f t="shared" si="6"/>
        <v>2024-01</v>
      </c>
      <c r="U836" s="64" t="str">
        <f t="shared" si="7"/>
        <v>2024-H1</v>
      </c>
      <c r="V836" s="9" t="str">
        <f>VLOOKUP(B836,Bounties!A:E,2,FALSE)</f>
        <v>Moderation Team Bounty</v>
      </c>
    </row>
    <row r="837" hidden="1">
      <c r="A837" s="67">
        <f>HYPERLINK("https://polkadot.subsquare.io/treasury/child-bounties/557", 557)</f>
        <v>557</v>
      </c>
      <c r="B837" s="1">
        <v>24.0</v>
      </c>
      <c r="C837" s="1" t="s">
        <v>2414</v>
      </c>
      <c r="D837" s="1" t="s">
        <v>200</v>
      </c>
      <c r="E837" s="5">
        <v>172.754195459</v>
      </c>
      <c r="F837" s="4">
        <v>1523.5636100125992</v>
      </c>
      <c r="G837" s="1" t="s">
        <v>2463</v>
      </c>
      <c r="H837" s="95">
        <v>45284.0</v>
      </c>
      <c r="I837" s="95">
        <v>45304.0</v>
      </c>
      <c r="J837" s="4">
        <v>1298.7292413059508</v>
      </c>
      <c r="K837" s="1"/>
      <c r="L837" s="1"/>
      <c r="M837" s="1" t="str">
        <f>VLOOKUP(B837,Bounties!A:D,3,FALSE)</f>
        <v>Outreach</v>
      </c>
      <c r="N837" s="1" t="str">
        <f>VLOOKUP(B837,Bounties!A:D,4,FALSE)</f>
        <v>Community Building</v>
      </c>
      <c r="O837" s="1" t="str">
        <f t="shared" ref="O837:P837" si="841">IF(ISBLANK(K837),M837,K837)</f>
        <v>Outreach</v>
      </c>
      <c r="P837" s="1" t="str">
        <f t="shared" si="841"/>
        <v>Community Building</v>
      </c>
      <c r="Q837" s="61" t="str">
        <f t="shared" si="3"/>
        <v>2024</v>
      </c>
      <c r="R837" s="62">
        <f t="shared" si="4"/>
        <v>1</v>
      </c>
      <c r="S837" s="61" t="str">
        <f t="shared" si="5"/>
        <v>2024-Q1</v>
      </c>
      <c r="T837" s="63" t="str">
        <f t="shared" si="6"/>
        <v>2024-01</v>
      </c>
      <c r="U837" s="64" t="str">
        <f t="shared" si="7"/>
        <v>2024-H1</v>
      </c>
      <c r="V837" s="9" t="str">
        <f>VLOOKUP(B837,Bounties!A:E,2,FALSE)</f>
        <v>Moderation Team Bounty</v>
      </c>
    </row>
    <row r="838" hidden="1">
      <c r="A838" s="67">
        <f>HYPERLINK("https://polkadot.subsquare.io/treasury/child-bounties/556", 556)</f>
        <v>556</v>
      </c>
      <c r="B838" s="1">
        <v>24.0</v>
      </c>
      <c r="C838" s="1" t="s">
        <v>2414</v>
      </c>
      <c r="D838" s="1" t="s">
        <v>199</v>
      </c>
      <c r="E838" s="5">
        <v>172.754195459</v>
      </c>
      <c r="F838" s="4">
        <v>1523.5636100125992</v>
      </c>
      <c r="G838" s="1" t="s">
        <v>2524</v>
      </c>
      <c r="H838" s="95">
        <v>45284.0</v>
      </c>
      <c r="I838" s="95">
        <v>45294.0</v>
      </c>
      <c r="J838" s="4">
        <v>1286.2520533274026</v>
      </c>
      <c r="K838" s="1"/>
      <c r="L838" s="1"/>
      <c r="M838" s="1" t="str">
        <f>VLOOKUP(B838,Bounties!A:D,3,FALSE)</f>
        <v>Outreach</v>
      </c>
      <c r="N838" s="1" t="str">
        <f>VLOOKUP(B838,Bounties!A:D,4,FALSE)</f>
        <v>Community Building</v>
      </c>
      <c r="O838" s="1" t="str">
        <f t="shared" ref="O838:P838" si="842">IF(ISBLANK(K838),M838,K838)</f>
        <v>Outreach</v>
      </c>
      <c r="P838" s="1" t="str">
        <f t="shared" si="842"/>
        <v>Community Building</v>
      </c>
      <c r="Q838" s="61" t="str">
        <f t="shared" si="3"/>
        <v>2024</v>
      </c>
      <c r="R838" s="62">
        <f t="shared" si="4"/>
        <v>1</v>
      </c>
      <c r="S838" s="61" t="str">
        <f t="shared" si="5"/>
        <v>2024-Q1</v>
      </c>
      <c r="T838" s="63" t="str">
        <f t="shared" si="6"/>
        <v>2024-01</v>
      </c>
      <c r="U838" s="64" t="str">
        <f t="shared" si="7"/>
        <v>2024-H1</v>
      </c>
      <c r="V838" s="9" t="str">
        <f>VLOOKUP(B838,Bounties!A:E,2,FALSE)</f>
        <v>Moderation Team Bounty</v>
      </c>
    </row>
    <row r="839" hidden="1">
      <c r="A839" s="67">
        <f>HYPERLINK("https://polkadot.subsquare.io/treasury/child-bounties/555", 555)</f>
        <v>555</v>
      </c>
      <c r="B839" s="1">
        <v>24.0</v>
      </c>
      <c r="C839" s="1" t="s">
        <v>2414</v>
      </c>
      <c r="D839" s="1" t="s">
        <v>198</v>
      </c>
      <c r="E839" s="5">
        <v>172.754195459</v>
      </c>
      <c r="F839" s="4">
        <v>1523.5636100125992</v>
      </c>
      <c r="G839" s="1" t="s">
        <v>2528</v>
      </c>
      <c r="H839" s="95">
        <v>45284.0</v>
      </c>
      <c r="I839" s="95">
        <v>45293.0</v>
      </c>
      <c r="J839" s="4">
        <v>1286.2520533274026</v>
      </c>
      <c r="K839" s="1"/>
      <c r="L839" s="1"/>
      <c r="M839" s="1" t="str">
        <f>VLOOKUP(B839,Bounties!A:D,3,FALSE)</f>
        <v>Outreach</v>
      </c>
      <c r="N839" s="1" t="str">
        <f>VLOOKUP(B839,Bounties!A:D,4,FALSE)</f>
        <v>Community Building</v>
      </c>
      <c r="O839" s="1" t="str">
        <f t="shared" ref="O839:P839" si="843">IF(ISBLANK(K839),M839,K839)</f>
        <v>Outreach</v>
      </c>
      <c r="P839" s="1" t="str">
        <f t="shared" si="843"/>
        <v>Community Building</v>
      </c>
      <c r="Q839" s="61" t="str">
        <f t="shared" si="3"/>
        <v>2024</v>
      </c>
      <c r="R839" s="62">
        <f t="shared" si="4"/>
        <v>1</v>
      </c>
      <c r="S839" s="61" t="str">
        <f t="shared" si="5"/>
        <v>2024-Q1</v>
      </c>
      <c r="T839" s="63" t="str">
        <f t="shared" si="6"/>
        <v>2024-01</v>
      </c>
      <c r="U839" s="64" t="str">
        <f t="shared" si="7"/>
        <v>2024-H1</v>
      </c>
      <c r="V839" s="9" t="str">
        <f>VLOOKUP(B839,Bounties!A:E,2,FALSE)</f>
        <v>Moderation Team Bounty</v>
      </c>
    </row>
    <row r="840" hidden="1">
      <c r="A840" s="67">
        <f>HYPERLINK("https://polkadot.subsquare.io/treasury/child-bounties/554", 554)</f>
        <v>554</v>
      </c>
      <c r="B840" s="1">
        <v>24.0</v>
      </c>
      <c r="C840" s="1" t="s">
        <v>2414</v>
      </c>
      <c r="D840" s="1" t="s">
        <v>197</v>
      </c>
      <c r="E840" s="5">
        <v>189.4126357354</v>
      </c>
      <c r="F840" s="4">
        <v>1670.4786724066398</v>
      </c>
      <c r="G840" s="1" t="s">
        <v>2534</v>
      </c>
      <c r="H840" s="95">
        <v>45284.0</v>
      </c>
      <c r="I840" s="95">
        <v>45293.0</v>
      </c>
      <c r="J840" s="4">
        <v>1410.283501326804</v>
      </c>
      <c r="K840" s="1"/>
      <c r="L840" s="1"/>
      <c r="M840" s="1" t="str">
        <f>VLOOKUP(B840,Bounties!A:D,3,FALSE)</f>
        <v>Outreach</v>
      </c>
      <c r="N840" s="1" t="str">
        <f>VLOOKUP(B840,Bounties!A:D,4,FALSE)</f>
        <v>Community Building</v>
      </c>
      <c r="O840" s="1" t="str">
        <f t="shared" ref="O840:P840" si="844">IF(ISBLANK(K840),M840,K840)</f>
        <v>Outreach</v>
      </c>
      <c r="P840" s="1" t="str">
        <f t="shared" si="844"/>
        <v>Community Building</v>
      </c>
      <c r="Q840" s="61" t="str">
        <f t="shared" si="3"/>
        <v>2024</v>
      </c>
      <c r="R840" s="62">
        <f t="shared" si="4"/>
        <v>1</v>
      </c>
      <c r="S840" s="61" t="str">
        <f t="shared" si="5"/>
        <v>2024-Q1</v>
      </c>
      <c r="T840" s="63" t="str">
        <f t="shared" si="6"/>
        <v>2024-01</v>
      </c>
      <c r="U840" s="64" t="str">
        <f t="shared" si="7"/>
        <v>2024-H1</v>
      </c>
      <c r="V840" s="9" t="str">
        <f>VLOOKUP(B840,Bounties!A:E,2,FALSE)</f>
        <v>Moderation Team Bounty</v>
      </c>
    </row>
    <row r="841" hidden="1">
      <c r="A841" s="67">
        <f>HYPERLINK("https://polkadot.subsquare.io/treasury/child-bounties/553", 553)</f>
        <v>553</v>
      </c>
      <c r="B841" s="1">
        <v>24.0</v>
      </c>
      <c r="C841" s="1" t="s">
        <v>2414</v>
      </c>
      <c r="D841" s="1" t="s">
        <v>196</v>
      </c>
      <c r="E841" s="5">
        <v>189.4126357354</v>
      </c>
      <c r="F841" s="4">
        <v>1670.4786724066398</v>
      </c>
      <c r="G841" s="1" t="s">
        <v>2433</v>
      </c>
      <c r="H841" s="95">
        <v>45284.0</v>
      </c>
      <c r="I841" s="95">
        <v>45293.0</v>
      </c>
      <c r="J841" s="4">
        <v>1410.283501326804</v>
      </c>
      <c r="K841" s="1"/>
      <c r="L841" s="1"/>
      <c r="M841" s="1" t="str">
        <f>VLOOKUP(B841,Bounties!A:D,3,FALSE)</f>
        <v>Outreach</v>
      </c>
      <c r="N841" s="1" t="str">
        <f>VLOOKUP(B841,Bounties!A:D,4,FALSE)</f>
        <v>Community Building</v>
      </c>
      <c r="O841" s="1" t="str">
        <f t="shared" ref="O841:P841" si="845">IF(ISBLANK(K841),M841,K841)</f>
        <v>Outreach</v>
      </c>
      <c r="P841" s="1" t="str">
        <f t="shared" si="845"/>
        <v>Community Building</v>
      </c>
      <c r="Q841" s="61" t="str">
        <f t="shared" si="3"/>
        <v>2024</v>
      </c>
      <c r="R841" s="62">
        <f t="shared" si="4"/>
        <v>1</v>
      </c>
      <c r="S841" s="61" t="str">
        <f t="shared" si="5"/>
        <v>2024-Q1</v>
      </c>
      <c r="T841" s="63" t="str">
        <f t="shared" si="6"/>
        <v>2024-01</v>
      </c>
      <c r="U841" s="64" t="str">
        <f t="shared" si="7"/>
        <v>2024-H1</v>
      </c>
      <c r="V841" s="9" t="str">
        <f>VLOOKUP(B841,Bounties!A:E,2,FALSE)</f>
        <v>Moderation Team Bounty</v>
      </c>
    </row>
    <row r="842" hidden="1">
      <c r="A842" s="67">
        <f>HYPERLINK("https://polkadot.subsquare.io/treasury/child-bounties/552", 552)</f>
        <v>552</v>
      </c>
      <c r="B842" s="1">
        <v>24.0</v>
      </c>
      <c r="C842" s="1" t="s">
        <v>2414</v>
      </c>
      <c r="D842" s="1" t="s">
        <v>195</v>
      </c>
      <c r="E842" s="5">
        <v>172.754195459</v>
      </c>
      <c r="F842" s="4">
        <v>1523.5636100125992</v>
      </c>
      <c r="G842" s="1" t="s">
        <v>2551</v>
      </c>
      <c r="H842" s="95">
        <v>45284.0</v>
      </c>
      <c r="I842" s="95">
        <v>45293.0</v>
      </c>
      <c r="J842" s="4">
        <v>1286.2520533274026</v>
      </c>
      <c r="K842" s="1"/>
      <c r="L842" s="1"/>
      <c r="M842" s="1" t="str">
        <f>VLOOKUP(B842,Bounties!A:D,3,FALSE)</f>
        <v>Outreach</v>
      </c>
      <c r="N842" s="1" t="str">
        <f>VLOOKUP(B842,Bounties!A:D,4,FALSE)</f>
        <v>Community Building</v>
      </c>
      <c r="O842" s="1" t="str">
        <f t="shared" ref="O842:P842" si="846">IF(ISBLANK(K842),M842,K842)</f>
        <v>Outreach</v>
      </c>
      <c r="P842" s="1" t="str">
        <f t="shared" si="846"/>
        <v>Community Building</v>
      </c>
      <c r="Q842" s="61" t="str">
        <f t="shared" si="3"/>
        <v>2024</v>
      </c>
      <c r="R842" s="62">
        <f t="shared" si="4"/>
        <v>1</v>
      </c>
      <c r="S842" s="61" t="str">
        <f t="shared" si="5"/>
        <v>2024-Q1</v>
      </c>
      <c r="T842" s="63" t="str">
        <f t="shared" si="6"/>
        <v>2024-01</v>
      </c>
      <c r="U842" s="64" t="str">
        <f t="shared" si="7"/>
        <v>2024-H1</v>
      </c>
      <c r="V842" s="9" t="str">
        <f>VLOOKUP(B842,Bounties!A:E,2,FALSE)</f>
        <v>Moderation Team Bounty</v>
      </c>
    </row>
    <row r="843" hidden="1">
      <c r="A843" s="67">
        <f>HYPERLINK("https://polkadot.subsquare.io/treasury/child-bounties/551", 551)</f>
        <v>551</v>
      </c>
      <c r="B843" s="1">
        <v>24.0</v>
      </c>
      <c r="C843" s="1" t="s">
        <v>2414</v>
      </c>
      <c r="D843" s="1" t="s">
        <v>194</v>
      </c>
      <c r="E843" s="5">
        <v>172.754195459</v>
      </c>
      <c r="F843" s="4">
        <v>1523.5636100125992</v>
      </c>
      <c r="G843" s="1" t="s">
        <v>2437</v>
      </c>
      <c r="H843" s="95">
        <v>45284.0</v>
      </c>
      <c r="I843" s="95">
        <v>45293.0</v>
      </c>
      <c r="J843" s="4">
        <v>1286.2520533274026</v>
      </c>
      <c r="K843" s="1"/>
      <c r="L843" s="1"/>
      <c r="M843" s="1" t="str">
        <f>VLOOKUP(B843,Bounties!A:D,3,FALSE)</f>
        <v>Outreach</v>
      </c>
      <c r="N843" s="1" t="str">
        <f>VLOOKUP(B843,Bounties!A:D,4,FALSE)</f>
        <v>Community Building</v>
      </c>
      <c r="O843" s="1" t="str">
        <f t="shared" ref="O843:P843" si="847">IF(ISBLANK(K843),M843,K843)</f>
        <v>Outreach</v>
      </c>
      <c r="P843" s="1" t="str">
        <f t="shared" si="847"/>
        <v>Community Building</v>
      </c>
      <c r="Q843" s="61" t="str">
        <f t="shared" si="3"/>
        <v>2024</v>
      </c>
      <c r="R843" s="62">
        <f t="shared" si="4"/>
        <v>1</v>
      </c>
      <c r="S843" s="61" t="str">
        <f t="shared" si="5"/>
        <v>2024-Q1</v>
      </c>
      <c r="T843" s="63" t="str">
        <f t="shared" si="6"/>
        <v>2024-01</v>
      </c>
      <c r="U843" s="64" t="str">
        <f t="shared" si="7"/>
        <v>2024-H1</v>
      </c>
      <c r="V843" s="9" t="str">
        <f>VLOOKUP(B843,Bounties!A:E,2,FALSE)</f>
        <v>Moderation Team Bounty</v>
      </c>
    </row>
    <row r="844" hidden="1">
      <c r="A844" s="67">
        <f>HYPERLINK("https://polkadot.subsquare.io/treasury/child-bounties/550", 550)</f>
        <v>550</v>
      </c>
      <c r="B844" s="1">
        <v>24.0</v>
      </c>
      <c r="C844" s="1" t="s">
        <v>2414</v>
      </c>
      <c r="D844" s="1" t="s">
        <v>193</v>
      </c>
      <c r="E844" s="5">
        <v>172.754195459</v>
      </c>
      <c r="F844" s="4">
        <v>1523.5636100125992</v>
      </c>
      <c r="G844" s="1" t="s">
        <v>2550</v>
      </c>
      <c r="H844" s="95">
        <v>45284.0</v>
      </c>
      <c r="I844" s="95">
        <v>45293.0</v>
      </c>
      <c r="J844" s="4">
        <v>1286.2520533274026</v>
      </c>
      <c r="K844" s="1"/>
      <c r="L844" s="1"/>
      <c r="M844" s="1" t="str">
        <f>VLOOKUP(B844,Bounties!A:D,3,FALSE)</f>
        <v>Outreach</v>
      </c>
      <c r="N844" s="1" t="str">
        <f>VLOOKUP(B844,Bounties!A:D,4,FALSE)</f>
        <v>Community Building</v>
      </c>
      <c r="O844" s="1" t="str">
        <f t="shared" ref="O844:P844" si="848">IF(ISBLANK(K844),M844,K844)</f>
        <v>Outreach</v>
      </c>
      <c r="P844" s="1" t="str">
        <f t="shared" si="848"/>
        <v>Community Building</v>
      </c>
      <c r="Q844" s="61" t="str">
        <f t="shared" si="3"/>
        <v>2024</v>
      </c>
      <c r="R844" s="62">
        <f t="shared" si="4"/>
        <v>1</v>
      </c>
      <c r="S844" s="61" t="str">
        <f t="shared" si="5"/>
        <v>2024-Q1</v>
      </c>
      <c r="T844" s="63" t="str">
        <f t="shared" si="6"/>
        <v>2024-01</v>
      </c>
      <c r="U844" s="64" t="str">
        <f t="shared" si="7"/>
        <v>2024-H1</v>
      </c>
      <c r="V844" s="9" t="str">
        <f>VLOOKUP(B844,Bounties!A:E,2,FALSE)</f>
        <v>Moderation Team Bounty</v>
      </c>
    </row>
    <row r="845" hidden="1">
      <c r="A845" s="67">
        <f>HYPERLINK("https://polkadot.subsquare.io/treasury/child-bounties/549", 549)</f>
        <v>549</v>
      </c>
      <c r="B845" s="1">
        <v>24.0</v>
      </c>
      <c r="C845" s="1" t="s">
        <v>2414</v>
      </c>
      <c r="D845" s="1" t="s">
        <v>192</v>
      </c>
      <c r="E845" s="5">
        <v>172.754195459</v>
      </c>
      <c r="F845" s="4">
        <v>1523.5636100125992</v>
      </c>
      <c r="G845" s="1" t="s">
        <v>2438</v>
      </c>
      <c r="H845" s="95">
        <v>45284.0</v>
      </c>
      <c r="I845" s="95">
        <v>45293.0</v>
      </c>
      <c r="J845" s="4">
        <v>1286.2520533274026</v>
      </c>
      <c r="K845" s="1"/>
      <c r="L845" s="1"/>
      <c r="M845" s="1" t="str">
        <f>VLOOKUP(B845,Bounties!A:D,3,FALSE)</f>
        <v>Outreach</v>
      </c>
      <c r="N845" s="1" t="str">
        <f>VLOOKUP(B845,Bounties!A:D,4,FALSE)</f>
        <v>Community Building</v>
      </c>
      <c r="O845" s="1" t="str">
        <f t="shared" ref="O845:P845" si="849">IF(ISBLANK(K845),M845,K845)</f>
        <v>Outreach</v>
      </c>
      <c r="P845" s="1" t="str">
        <f t="shared" si="849"/>
        <v>Community Building</v>
      </c>
      <c r="Q845" s="61" t="str">
        <f t="shared" si="3"/>
        <v>2024</v>
      </c>
      <c r="R845" s="62">
        <f t="shared" si="4"/>
        <v>1</v>
      </c>
      <c r="S845" s="61" t="str">
        <f t="shared" si="5"/>
        <v>2024-Q1</v>
      </c>
      <c r="T845" s="63" t="str">
        <f t="shared" si="6"/>
        <v>2024-01</v>
      </c>
      <c r="U845" s="64" t="str">
        <f t="shared" si="7"/>
        <v>2024-H1</v>
      </c>
      <c r="V845" s="9" t="str">
        <f>VLOOKUP(B845,Bounties!A:E,2,FALSE)</f>
        <v>Moderation Team Bounty</v>
      </c>
    </row>
    <row r="846" hidden="1">
      <c r="A846" s="67">
        <f>HYPERLINK("https://polkadot.subsquare.io/treasury/child-bounties/548", 548)</f>
        <v>548</v>
      </c>
      <c r="B846" s="1">
        <v>24.0</v>
      </c>
      <c r="C846" s="1" t="s">
        <v>2414</v>
      </c>
      <c r="D846" s="1" t="s">
        <v>191</v>
      </c>
      <c r="E846" s="5">
        <v>172.754195459</v>
      </c>
      <c r="F846" s="4">
        <v>1523.5636100125992</v>
      </c>
      <c r="G846" s="1" t="s">
        <v>2535</v>
      </c>
      <c r="H846" s="95">
        <v>45284.0</v>
      </c>
      <c r="I846" s="95">
        <v>45294.0</v>
      </c>
      <c r="J846" s="4">
        <v>1286.2520533274026</v>
      </c>
      <c r="K846" s="1"/>
      <c r="L846" s="1"/>
      <c r="M846" s="1" t="str">
        <f>VLOOKUP(B846,Bounties!A:D,3,FALSE)</f>
        <v>Outreach</v>
      </c>
      <c r="N846" s="1" t="str">
        <f>VLOOKUP(B846,Bounties!A:D,4,FALSE)</f>
        <v>Community Building</v>
      </c>
      <c r="O846" s="1" t="str">
        <f t="shared" ref="O846:P846" si="850">IF(ISBLANK(K846),M846,K846)</f>
        <v>Outreach</v>
      </c>
      <c r="P846" s="1" t="str">
        <f t="shared" si="850"/>
        <v>Community Building</v>
      </c>
      <c r="Q846" s="61" t="str">
        <f t="shared" si="3"/>
        <v>2024</v>
      </c>
      <c r="R846" s="62">
        <f t="shared" si="4"/>
        <v>1</v>
      </c>
      <c r="S846" s="61" t="str">
        <f t="shared" si="5"/>
        <v>2024-Q1</v>
      </c>
      <c r="T846" s="63" t="str">
        <f t="shared" si="6"/>
        <v>2024-01</v>
      </c>
      <c r="U846" s="64" t="str">
        <f t="shared" si="7"/>
        <v>2024-H1</v>
      </c>
      <c r="V846" s="9" t="str">
        <f>VLOOKUP(B846,Bounties!A:E,2,FALSE)</f>
        <v>Moderation Team Bounty</v>
      </c>
    </row>
    <row r="847" hidden="1">
      <c r="A847" s="67">
        <f>HYPERLINK("https://polkadot.subsquare.io/treasury/child-bounties/547", 547)</f>
        <v>547</v>
      </c>
      <c r="B847" s="1">
        <v>24.0</v>
      </c>
      <c r="C847" s="1" t="s">
        <v>2414</v>
      </c>
      <c r="D847" s="1" t="s">
        <v>190</v>
      </c>
      <c r="E847" s="5">
        <v>203.6031589339</v>
      </c>
      <c r="F847" s="4">
        <v>1795.6285403726852</v>
      </c>
      <c r="G847" s="1" t="s">
        <v>2549</v>
      </c>
      <c r="H847" s="95">
        <v>45284.0</v>
      </c>
      <c r="I847" s="95">
        <v>45294.0</v>
      </c>
      <c r="J847" s="4">
        <v>1453.4885709168573</v>
      </c>
      <c r="K847" s="1"/>
      <c r="L847" s="1"/>
      <c r="M847" s="1" t="str">
        <f>VLOOKUP(B847,Bounties!A:D,3,FALSE)</f>
        <v>Outreach</v>
      </c>
      <c r="N847" s="1" t="str">
        <f>VLOOKUP(B847,Bounties!A:D,4,FALSE)</f>
        <v>Community Building</v>
      </c>
      <c r="O847" s="1" t="str">
        <f t="shared" ref="O847:P847" si="851">IF(ISBLANK(K847),M847,K847)</f>
        <v>Outreach</v>
      </c>
      <c r="P847" s="1" t="str">
        <f t="shared" si="851"/>
        <v>Community Building</v>
      </c>
      <c r="Q847" s="61" t="str">
        <f t="shared" si="3"/>
        <v>2024</v>
      </c>
      <c r="R847" s="62">
        <f t="shared" si="4"/>
        <v>1</v>
      </c>
      <c r="S847" s="61" t="str">
        <f t="shared" si="5"/>
        <v>2024-Q1</v>
      </c>
      <c r="T847" s="63" t="str">
        <f t="shared" si="6"/>
        <v>2024-01</v>
      </c>
      <c r="U847" s="64" t="str">
        <f t="shared" si="7"/>
        <v>2024-H1</v>
      </c>
      <c r="V847" s="9" t="str">
        <f>VLOOKUP(B847,Bounties!A:E,2,FALSE)</f>
        <v>Moderation Team Bounty</v>
      </c>
    </row>
    <row r="848" hidden="1">
      <c r="A848" s="67">
        <f>HYPERLINK("https://polkadot.subsquare.io/treasury/child-bounties/546", 546)</f>
        <v>546</v>
      </c>
      <c r="B848" s="1">
        <v>19.0</v>
      </c>
      <c r="C848" s="1" t="s">
        <v>2414</v>
      </c>
      <c r="D848" s="1" t="s">
        <v>1821</v>
      </c>
      <c r="E848" s="5">
        <v>2385.0</v>
      </c>
      <c r="F848" s="4">
        <v>19942.19518661499</v>
      </c>
      <c r="G848" s="1" t="s">
        <v>2498</v>
      </c>
      <c r="H848" s="95">
        <v>45279.0</v>
      </c>
      <c r="I848" s="95">
        <v>45287.0</v>
      </c>
      <c r="J848" s="4">
        <v>19777.911643981934</v>
      </c>
      <c r="K848" s="1"/>
      <c r="L848" s="1"/>
      <c r="M848" s="1" t="str">
        <f>VLOOKUP(B848,Bounties!A:D,3,FALSE)</f>
        <v>Development</v>
      </c>
      <c r="N848" s="1" t="str">
        <f>VLOOKUP(B848,Bounties!A:D,4,FALSE)</f>
        <v>Smart Contracts</v>
      </c>
      <c r="O848" s="1" t="str">
        <f t="shared" ref="O848:P848" si="852">IF(ISBLANK(K848),M848,K848)</f>
        <v>Development</v>
      </c>
      <c r="P848" s="1" t="str">
        <f t="shared" si="852"/>
        <v>Smart Contracts</v>
      </c>
      <c r="Q848" s="61" t="str">
        <f t="shared" si="3"/>
        <v>2023</v>
      </c>
      <c r="R848" s="62">
        <f t="shared" si="4"/>
        <v>12</v>
      </c>
      <c r="S848" s="61" t="str">
        <f t="shared" si="5"/>
        <v>2023-Q4</v>
      </c>
      <c r="T848" s="63" t="str">
        <f t="shared" si="6"/>
        <v>2023-12</v>
      </c>
      <c r="U848" s="64" t="str">
        <f t="shared" si="7"/>
        <v>2023-H2</v>
      </c>
      <c r="V848" s="9" t="str">
        <f>VLOOKUP(B848,Bounties!A:E,2,FALSE)</f>
        <v>Wasm Smart Contracts Bounty</v>
      </c>
    </row>
    <row r="849" hidden="1">
      <c r="A849" s="67">
        <f>HYPERLINK("https://polkadot.subsquare.io/treasury/child-bounties/545", 545)</f>
        <v>545</v>
      </c>
      <c r="B849" s="1">
        <v>17.0</v>
      </c>
      <c r="C849" s="1" t="s">
        <v>2414</v>
      </c>
      <c r="D849" s="1" t="s">
        <v>1820</v>
      </c>
      <c r="E849" s="5">
        <v>317.0</v>
      </c>
      <c r="F849" s="4">
        <v>2200.8343596458435</v>
      </c>
      <c r="G849" s="1" t="s">
        <v>2524</v>
      </c>
      <c r="H849" s="95">
        <v>45277.0</v>
      </c>
      <c r="I849" s="95">
        <v>45287.0</v>
      </c>
      <c r="J849" s="4">
        <v>2628.7622604370117</v>
      </c>
      <c r="K849" s="1"/>
      <c r="L849" s="1" t="s">
        <v>86</v>
      </c>
      <c r="M849" s="1" t="str">
        <f>VLOOKUP(B849,Bounties!A:D,3,FALSE)</f>
        <v>Outreach</v>
      </c>
      <c r="N849" s="1" t="str">
        <f>VLOOKUP(B849,Bounties!A:D,4,FALSE)</f>
        <v>Events/Meetups</v>
      </c>
      <c r="O849" s="1" t="str">
        <f t="shared" ref="O849:P849" si="853">IF(ISBLANK(K849),M849,K849)</f>
        <v>Outreach</v>
      </c>
      <c r="P849" s="1" t="str">
        <f t="shared" si="853"/>
        <v>Events/Conference Attendance &amp; Side Events</v>
      </c>
      <c r="Q849" s="61" t="str">
        <f t="shared" si="3"/>
        <v>2023</v>
      </c>
      <c r="R849" s="62">
        <f t="shared" si="4"/>
        <v>12</v>
      </c>
      <c r="S849" s="61" t="str">
        <f t="shared" si="5"/>
        <v>2023-Q4</v>
      </c>
      <c r="T849" s="63" t="str">
        <f t="shared" si="6"/>
        <v>2023-12</v>
      </c>
      <c r="U849" s="64" t="str">
        <f t="shared" si="7"/>
        <v>2023-H2</v>
      </c>
      <c r="V849" s="9" t="str">
        <f>VLOOKUP(B849,Bounties!A:E,2,FALSE)</f>
        <v>Events Bounty</v>
      </c>
    </row>
    <row r="850" hidden="1">
      <c r="A850" s="67">
        <f>HYPERLINK("https://polkadot.subsquare.io/treasury/child-bounties/544", 544)</f>
        <v>544</v>
      </c>
      <c r="B850" s="1">
        <v>17.0</v>
      </c>
      <c r="C850" s="1" t="s">
        <v>2414</v>
      </c>
      <c r="D850" s="1" t="s">
        <v>1819</v>
      </c>
      <c r="E850" s="5">
        <v>146.1</v>
      </c>
      <c r="F850" s="4">
        <v>1014.3277600765227</v>
      </c>
      <c r="G850" s="1" t="s">
        <v>2524</v>
      </c>
      <c r="H850" s="95">
        <v>45277.0</v>
      </c>
      <c r="I850" s="95">
        <v>45287.0</v>
      </c>
      <c r="J850" s="4">
        <v>1211.5525749206543</v>
      </c>
      <c r="K850" s="1"/>
      <c r="L850" s="1" t="s">
        <v>86</v>
      </c>
      <c r="M850" s="1" t="str">
        <f>VLOOKUP(B850,Bounties!A:D,3,FALSE)</f>
        <v>Outreach</v>
      </c>
      <c r="N850" s="1" t="str">
        <f>VLOOKUP(B850,Bounties!A:D,4,FALSE)</f>
        <v>Events/Meetups</v>
      </c>
      <c r="O850" s="1" t="str">
        <f t="shared" ref="O850:P850" si="854">IF(ISBLANK(K850),M850,K850)</f>
        <v>Outreach</v>
      </c>
      <c r="P850" s="1" t="str">
        <f t="shared" si="854"/>
        <v>Events/Conference Attendance &amp; Side Events</v>
      </c>
      <c r="Q850" s="61" t="str">
        <f t="shared" si="3"/>
        <v>2023</v>
      </c>
      <c r="R850" s="62">
        <f t="shared" si="4"/>
        <v>12</v>
      </c>
      <c r="S850" s="61" t="str">
        <f t="shared" si="5"/>
        <v>2023-Q4</v>
      </c>
      <c r="T850" s="63" t="str">
        <f t="shared" si="6"/>
        <v>2023-12</v>
      </c>
      <c r="U850" s="64" t="str">
        <f t="shared" si="7"/>
        <v>2023-H2</v>
      </c>
      <c r="V850" s="9" t="str">
        <f>VLOOKUP(B850,Bounties!A:E,2,FALSE)</f>
        <v>Events Bounty</v>
      </c>
    </row>
    <row r="851" hidden="1">
      <c r="A851" s="67">
        <f>HYPERLINK("https://polkadot.subsquare.io/treasury/child-bounties/543", 543)</f>
        <v>543</v>
      </c>
      <c r="B851" s="1">
        <v>17.0</v>
      </c>
      <c r="C851" s="1" t="s">
        <v>2414</v>
      </c>
      <c r="D851" s="1" t="s">
        <v>189</v>
      </c>
      <c r="E851" s="5">
        <v>11074.0</v>
      </c>
      <c r="F851" s="4">
        <v>76883.40598964691</v>
      </c>
      <c r="G851" s="1" t="s">
        <v>2681</v>
      </c>
      <c r="H851" s="95">
        <v>45277.0</v>
      </c>
      <c r="I851" s="95">
        <v>45294.0</v>
      </c>
      <c r="J851" s="4">
        <v>79055.41602897644</v>
      </c>
      <c r="K851" s="1"/>
      <c r="L851" s="1" t="s">
        <v>86</v>
      </c>
      <c r="M851" s="1" t="str">
        <f>VLOOKUP(B851,Bounties!A:D,3,FALSE)</f>
        <v>Outreach</v>
      </c>
      <c r="N851" s="1" t="str">
        <f>VLOOKUP(B851,Bounties!A:D,4,FALSE)</f>
        <v>Events/Meetups</v>
      </c>
      <c r="O851" s="1" t="str">
        <f t="shared" ref="O851:P851" si="855">IF(ISBLANK(K851),M851,K851)</f>
        <v>Outreach</v>
      </c>
      <c r="P851" s="1" t="str">
        <f t="shared" si="855"/>
        <v>Events/Conference Attendance &amp; Side Events</v>
      </c>
      <c r="Q851" s="61" t="str">
        <f t="shared" si="3"/>
        <v>2024</v>
      </c>
      <c r="R851" s="62">
        <f t="shared" si="4"/>
        <v>1</v>
      </c>
      <c r="S851" s="61" t="str">
        <f t="shared" si="5"/>
        <v>2024-Q1</v>
      </c>
      <c r="T851" s="63" t="str">
        <f t="shared" si="6"/>
        <v>2024-01</v>
      </c>
      <c r="U851" s="64" t="str">
        <f t="shared" si="7"/>
        <v>2024-H1</v>
      </c>
      <c r="V851" s="9" t="str">
        <f>VLOOKUP(B851,Bounties!A:E,2,FALSE)</f>
        <v>Events Bounty</v>
      </c>
    </row>
    <row r="852" hidden="1">
      <c r="A852" s="67">
        <f>HYPERLINK("https://polkadot.subsquare.io/treasury/child-bounties/542", 542)</f>
        <v>542</v>
      </c>
      <c r="B852" s="1">
        <v>17.0</v>
      </c>
      <c r="C852" s="1" t="s">
        <v>2414</v>
      </c>
      <c r="D852" s="1" t="s">
        <v>188</v>
      </c>
      <c r="E852" s="5">
        <v>935.5</v>
      </c>
      <c r="F852" s="4">
        <v>6494.891304254532</v>
      </c>
      <c r="G852" s="1" t="s">
        <v>2681</v>
      </c>
      <c r="H852" s="95">
        <v>45277.0</v>
      </c>
      <c r="I852" s="95">
        <v>45294.0</v>
      </c>
      <c r="J852" s="4">
        <v>6678.376530170441</v>
      </c>
      <c r="K852" s="1"/>
      <c r="L852" s="1" t="s">
        <v>86</v>
      </c>
      <c r="M852" s="1" t="str">
        <f>VLOOKUP(B852,Bounties!A:D,3,FALSE)</f>
        <v>Outreach</v>
      </c>
      <c r="N852" s="1" t="str">
        <f>VLOOKUP(B852,Bounties!A:D,4,FALSE)</f>
        <v>Events/Meetups</v>
      </c>
      <c r="O852" s="1" t="str">
        <f t="shared" ref="O852:P852" si="856">IF(ISBLANK(K852),M852,K852)</f>
        <v>Outreach</v>
      </c>
      <c r="P852" s="1" t="str">
        <f t="shared" si="856"/>
        <v>Events/Conference Attendance &amp; Side Events</v>
      </c>
      <c r="Q852" s="61" t="str">
        <f t="shared" si="3"/>
        <v>2024</v>
      </c>
      <c r="R852" s="62">
        <f t="shared" si="4"/>
        <v>1</v>
      </c>
      <c r="S852" s="61" t="str">
        <f t="shared" si="5"/>
        <v>2024-Q1</v>
      </c>
      <c r="T852" s="63" t="str">
        <f t="shared" si="6"/>
        <v>2024-01</v>
      </c>
      <c r="U852" s="64" t="str">
        <f t="shared" si="7"/>
        <v>2024-H1</v>
      </c>
      <c r="V852" s="9" t="str">
        <f>VLOOKUP(B852,Bounties!A:E,2,FALSE)</f>
        <v>Events Bounty</v>
      </c>
    </row>
    <row r="853" hidden="1">
      <c r="A853" s="67">
        <f>HYPERLINK("https://polkadot.subsquare.io/treasury/child-bounties/541", 541)</f>
        <v>541</v>
      </c>
      <c r="B853" s="1">
        <v>17.0</v>
      </c>
      <c r="C853" s="1" t="s">
        <v>2414</v>
      </c>
      <c r="D853" s="1" t="s">
        <v>187</v>
      </c>
      <c r="E853" s="5">
        <v>1172.3</v>
      </c>
      <c r="F853" s="4">
        <v>8138.921513605117</v>
      </c>
      <c r="G853" s="1" t="s">
        <v>2682</v>
      </c>
      <c r="H853" s="95">
        <v>45277.0</v>
      </c>
      <c r="I853" s="95">
        <v>45297.0</v>
      </c>
      <c r="J853" s="4">
        <v>8766.398661708832</v>
      </c>
      <c r="K853" s="1"/>
      <c r="L853" s="1" t="s">
        <v>86</v>
      </c>
      <c r="M853" s="1" t="str">
        <f>VLOOKUP(B853,Bounties!A:D,3,FALSE)</f>
        <v>Outreach</v>
      </c>
      <c r="N853" s="1" t="str">
        <f>VLOOKUP(B853,Bounties!A:D,4,FALSE)</f>
        <v>Events/Meetups</v>
      </c>
      <c r="O853" s="1" t="str">
        <f t="shared" ref="O853:P853" si="857">IF(ISBLANK(K853),M853,K853)</f>
        <v>Outreach</v>
      </c>
      <c r="P853" s="1" t="str">
        <f t="shared" si="857"/>
        <v>Events/Conference Attendance &amp; Side Events</v>
      </c>
      <c r="Q853" s="61" t="str">
        <f t="shared" si="3"/>
        <v>2024</v>
      </c>
      <c r="R853" s="62">
        <f t="shared" si="4"/>
        <v>1</v>
      </c>
      <c r="S853" s="61" t="str">
        <f t="shared" si="5"/>
        <v>2024-Q1</v>
      </c>
      <c r="T853" s="63" t="str">
        <f t="shared" si="6"/>
        <v>2024-01</v>
      </c>
      <c r="U853" s="64" t="str">
        <f t="shared" si="7"/>
        <v>2024-H1</v>
      </c>
      <c r="V853" s="9" t="str">
        <f>VLOOKUP(B853,Bounties!A:E,2,FALSE)</f>
        <v>Events Bounty</v>
      </c>
    </row>
    <row r="854" hidden="1">
      <c r="A854" s="67">
        <f>HYPERLINK("https://polkadot.subsquare.io/treasury/child-bounties/540", 540)</f>
        <v>540</v>
      </c>
      <c r="B854" s="1">
        <v>17.0</v>
      </c>
      <c r="C854" s="1" t="s">
        <v>2414</v>
      </c>
      <c r="D854" s="1" t="s">
        <v>186</v>
      </c>
      <c r="E854" s="5">
        <v>288.0</v>
      </c>
      <c r="F854" s="4">
        <v>1999.4962005615234</v>
      </c>
      <c r="G854" s="1" t="s">
        <v>2682</v>
      </c>
      <c r="H854" s="95">
        <v>45277.0</v>
      </c>
      <c r="I854" s="95">
        <v>45297.0</v>
      </c>
      <c r="J854" s="4">
        <v>2153.6490783691406</v>
      </c>
      <c r="K854" s="1"/>
      <c r="L854" s="1" t="s">
        <v>86</v>
      </c>
      <c r="M854" s="1" t="str">
        <f>VLOOKUP(B854,Bounties!A:D,3,FALSE)</f>
        <v>Outreach</v>
      </c>
      <c r="N854" s="1" t="str">
        <f>VLOOKUP(B854,Bounties!A:D,4,FALSE)</f>
        <v>Events/Meetups</v>
      </c>
      <c r="O854" s="1" t="str">
        <f t="shared" ref="O854:P854" si="858">IF(ISBLANK(K854),M854,K854)</f>
        <v>Outreach</v>
      </c>
      <c r="P854" s="1" t="str">
        <f t="shared" si="858"/>
        <v>Events/Conference Attendance &amp; Side Events</v>
      </c>
      <c r="Q854" s="61" t="str">
        <f t="shared" si="3"/>
        <v>2024</v>
      </c>
      <c r="R854" s="62">
        <f t="shared" si="4"/>
        <v>1</v>
      </c>
      <c r="S854" s="61" t="str">
        <f t="shared" si="5"/>
        <v>2024-Q1</v>
      </c>
      <c r="T854" s="63" t="str">
        <f t="shared" si="6"/>
        <v>2024-01</v>
      </c>
      <c r="U854" s="64" t="str">
        <f t="shared" si="7"/>
        <v>2024-H1</v>
      </c>
      <c r="V854" s="9" t="str">
        <f>VLOOKUP(B854,Bounties!A:E,2,FALSE)</f>
        <v>Events Bounty</v>
      </c>
    </row>
    <row r="855" hidden="1">
      <c r="A855" s="67">
        <f>HYPERLINK("https://polkadot.subsquare.io/treasury/child-bounties/539", 539)</f>
        <v>539</v>
      </c>
      <c r="B855" s="1">
        <v>17.0</v>
      </c>
      <c r="C855" s="1" t="s">
        <v>2414</v>
      </c>
      <c r="D855" s="1" t="s">
        <v>185</v>
      </c>
      <c r="E855" s="5">
        <v>744.5</v>
      </c>
      <c r="F855" s="4">
        <v>5168.836532354355</v>
      </c>
      <c r="G855" s="1" t="s">
        <v>2682</v>
      </c>
      <c r="H855" s="95">
        <v>45277.0</v>
      </c>
      <c r="I855" s="95">
        <v>45297.0</v>
      </c>
      <c r="J855" s="4">
        <v>5567.332426548004</v>
      </c>
      <c r="K855" s="1"/>
      <c r="L855" s="1"/>
      <c r="M855" s="1" t="str">
        <f>VLOOKUP(B855,Bounties!A:D,3,FALSE)</f>
        <v>Outreach</v>
      </c>
      <c r="N855" s="1" t="str">
        <f>VLOOKUP(B855,Bounties!A:D,4,FALSE)</f>
        <v>Events/Meetups</v>
      </c>
      <c r="O855" s="1" t="str">
        <f t="shared" ref="O855:P855" si="859">IF(ISBLANK(K855),M855,K855)</f>
        <v>Outreach</v>
      </c>
      <c r="P855" s="1" t="str">
        <f t="shared" si="859"/>
        <v>Events/Meetups</v>
      </c>
      <c r="Q855" s="61" t="str">
        <f t="shared" si="3"/>
        <v>2024</v>
      </c>
      <c r="R855" s="62">
        <f t="shared" si="4"/>
        <v>1</v>
      </c>
      <c r="S855" s="61" t="str">
        <f t="shared" si="5"/>
        <v>2024-Q1</v>
      </c>
      <c r="T855" s="63" t="str">
        <f t="shared" si="6"/>
        <v>2024-01</v>
      </c>
      <c r="U855" s="64" t="str">
        <f t="shared" si="7"/>
        <v>2024-H1</v>
      </c>
      <c r="V855" s="9" t="str">
        <f>VLOOKUP(B855,Bounties!A:E,2,FALSE)</f>
        <v>Events Bounty</v>
      </c>
    </row>
    <row r="856" hidden="1">
      <c r="A856" s="67">
        <f>HYPERLINK("https://polkadot.subsquare.io/treasury/child-bounties/538", 538)</f>
        <v>538</v>
      </c>
      <c r="B856" s="1">
        <v>17.0</v>
      </c>
      <c r="C856" s="1" t="s">
        <v>2414</v>
      </c>
      <c r="D856" s="1" t="s">
        <v>184</v>
      </c>
      <c r="E856" s="5">
        <v>277.0</v>
      </c>
      <c r="F856" s="4">
        <v>1923.1265540122986</v>
      </c>
      <c r="G856" s="1" t="s">
        <v>2682</v>
      </c>
      <c r="H856" s="95">
        <v>45277.0</v>
      </c>
      <c r="I856" s="95">
        <v>45297.0</v>
      </c>
      <c r="J856" s="4">
        <v>2071.3916482925415</v>
      </c>
      <c r="K856" s="1"/>
      <c r="L856" s="1"/>
      <c r="M856" s="1" t="str">
        <f>VLOOKUP(B856,Bounties!A:D,3,FALSE)</f>
        <v>Outreach</v>
      </c>
      <c r="N856" s="1" t="str">
        <f>VLOOKUP(B856,Bounties!A:D,4,FALSE)</f>
        <v>Events/Meetups</v>
      </c>
      <c r="O856" s="1" t="str">
        <f t="shared" ref="O856:P856" si="860">IF(ISBLANK(K856),M856,K856)</f>
        <v>Outreach</v>
      </c>
      <c r="P856" s="1" t="str">
        <f t="shared" si="860"/>
        <v>Events/Meetups</v>
      </c>
      <c r="Q856" s="61" t="str">
        <f t="shared" si="3"/>
        <v>2024</v>
      </c>
      <c r="R856" s="62">
        <f t="shared" si="4"/>
        <v>1</v>
      </c>
      <c r="S856" s="61" t="str">
        <f t="shared" si="5"/>
        <v>2024-Q1</v>
      </c>
      <c r="T856" s="63" t="str">
        <f t="shared" si="6"/>
        <v>2024-01</v>
      </c>
      <c r="U856" s="64" t="str">
        <f t="shared" si="7"/>
        <v>2024-H1</v>
      </c>
      <c r="V856" s="9" t="str">
        <f>VLOOKUP(B856,Bounties!A:E,2,FALSE)</f>
        <v>Events Bounty</v>
      </c>
    </row>
    <row r="857" hidden="1">
      <c r="A857" s="67">
        <f>HYPERLINK("https://polkadot.subsquare.io/treasury/child-bounties/537", 537)</f>
        <v>537</v>
      </c>
      <c r="B857" s="1">
        <v>17.0</v>
      </c>
      <c r="C857" s="1" t="s">
        <v>2414</v>
      </c>
      <c r="D857" s="1" t="s">
        <v>183</v>
      </c>
      <c r="E857" s="5">
        <v>1987.0</v>
      </c>
      <c r="F857" s="4">
        <v>13795.135244846344</v>
      </c>
      <c r="G857" s="1" t="s">
        <v>2501</v>
      </c>
      <c r="H857" s="95">
        <v>45277.0</v>
      </c>
      <c r="I857" s="95">
        <v>45293.0</v>
      </c>
      <c r="J857" s="4">
        <v>15660.492663860321</v>
      </c>
      <c r="K857" s="1"/>
      <c r="L857" s="1"/>
      <c r="M857" s="1" t="str">
        <f>VLOOKUP(B857,Bounties!A:D,3,FALSE)</f>
        <v>Outreach</v>
      </c>
      <c r="N857" s="1" t="str">
        <f>VLOOKUP(B857,Bounties!A:D,4,FALSE)</f>
        <v>Events/Meetups</v>
      </c>
      <c r="O857" s="1" t="str">
        <f t="shared" ref="O857:P857" si="861">IF(ISBLANK(K857),M857,K857)</f>
        <v>Outreach</v>
      </c>
      <c r="P857" s="1" t="str">
        <f t="shared" si="861"/>
        <v>Events/Meetups</v>
      </c>
      <c r="Q857" s="61" t="str">
        <f t="shared" si="3"/>
        <v>2024</v>
      </c>
      <c r="R857" s="62">
        <f t="shared" si="4"/>
        <v>1</v>
      </c>
      <c r="S857" s="61" t="str">
        <f t="shared" si="5"/>
        <v>2024-Q1</v>
      </c>
      <c r="T857" s="63" t="str">
        <f t="shared" si="6"/>
        <v>2024-01</v>
      </c>
      <c r="U857" s="64" t="str">
        <f t="shared" si="7"/>
        <v>2024-H1</v>
      </c>
      <c r="V857" s="9" t="str">
        <f>VLOOKUP(B857,Bounties!A:E,2,FALSE)</f>
        <v>Events Bounty</v>
      </c>
    </row>
    <row r="858" hidden="1">
      <c r="A858" s="67">
        <f>HYPERLINK("https://polkadot.subsquare.io/treasury/child-bounties/536", 536)</f>
        <v>536</v>
      </c>
      <c r="B858" s="1">
        <v>17.0</v>
      </c>
      <c r="C858" s="1" t="s">
        <v>2414</v>
      </c>
      <c r="D858" s="1" t="s">
        <v>1818</v>
      </c>
      <c r="E858" s="5">
        <v>1987.0</v>
      </c>
      <c r="F858" s="4">
        <v>13795.135244846344</v>
      </c>
      <c r="G858" s="1" t="s">
        <v>2503</v>
      </c>
      <c r="H858" s="95">
        <v>45277.0</v>
      </c>
      <c r="I858" s="95">
        <v>45287.0</v>
      </c>
      <c r="J858" s="4">
        <v>16632.90470314026</v>
      </c>
      <c r="K858" s="1"/>
      <c r="L858" s="1"/>
      <c r="M858" s="1" t="str">
        <f>VLOOKUP(B858,Bounties!A:D,3,FALSE)</f>
        <v>Outreach</v>
      </c>
      <c r="N858" s="1" t="str">
        <f>VLOOKUP(B858,Bounties!A:D,4,FALSE)</f>
        <v>Events/Meetups</v>
      </c>
      <c r="O858" s="1" t="str">
        <f t="shared" ref="O858:P858" si="862">IF(ISBLANK(K858),M858,K858)</f>
        <v>Outreach</v>
      </c>
      <c r="P858" s="1" t="str">
        <f t="shared" si="862"/>
        <v>Events/Meetups</v>
      </c>
      <c r="Q858" s="61" t="str">
        <f t="shared" si="3"/>
        <v>2023</v>
      </c>
      <c r="R858" s="62">
        <f t="shared" si="4"/>
        <v>12</v>
      </c>
      <c r="S858" s="61" t="str">
        <f t="shared" si="5"/>
        <v>2023-Q4</v>
      </c>
      <c r="T858" s="63" t="str">
        <f t="shared" si="6"/>
        <v>2023-12</v>
      </c>
      <c r="U858" s="64" t="str">
        <f t="shared" si="7"/>
        <v>2023-H2</v>
      </c>
      <c r="V858" s="9" t="str">
        <f>VLOOKUP(B858,Bounties!A:E,2,FALSE)</f>
        <v>Events Bounty</v>
      </c>
    </row>
    <row r="859" hidden="1">
      <c r="A859" s="67">
        <f>HYPERLINK("https://polkadot.subsquare.io/treasury/child-bounties/535", 535)</f>
        <v>535</v>
      </c>
      <c r="B859" s="1">
        <v>17.0</v>
      </c>
      <c r="C859" s="1" t="s">
        <v>2414</v>
      </c>
      <c r="D859" s="1" t="s">
        <v>1817</v>
      </c>
      <c r="E859" s="5">
        <v>7056.2</v>
      </c>
      <c r="F859" s="4">
        <v>48989.04545278549</v>
      </c>
      <c r="G859" s="1" t="s">
        <v>2628</v>
      </c>
      <c r="H859" s="95">
        <v>45277.0</v>
      </c>
      <c r="I859" s="95">
        <v>45290.0</v>
      </c>
      <c r="J859" s="4">
        <v>59361.664701652524</v>
      </c>
      <c r="K859" s="1"/>
      <c r="L859" s="1"/>
      <c r="M859" s="1" t="str">
        <f>VLOOKUP(B859,Bounties!A:D,3,FALSE)</f>
        <v>Outreach</v>
      </c>
      <c r="N859" s="1" t="str">
        <f>VLOOKUP(B859,Bounties!A:D,4,FALSE)</f>
        <v>Events/Meetups</v>
      </c>
      <c r="O859" s="1" t="str">
        <f t="shared" ref="O859:P859" si="863">IF(ISBLANK(K859),M859,K859)</f>
        <v>Outreach</v>
      </c>
      <c r="P859" s="1" t="str">
        <f t="shared" si="863"/>
        <v>Events/Meetups</v>
      </c>
      <c r="Q859" s="61" t="str">
        <f t="shared" si="3"/>
        <v>2023</v>
      </c>
      <c r="R859" s="62">
        <f t="shared" si="4"/>
        <v>12</v>
      </c>
      <c r="S859" s="61" t="str">
        <f t="shared" si="5"/>
        <v>2023-Q4</v>
      </c>
      <c r="T859" s="63" t="str">
        <f t="shared" si="6"/>
        <v>2023-12</v>
      </c>
      <c r="U859" s="64" t="str">
        <f t="shared" si="7"/>
        <v>2023-H2</v>
      </c>
      <c r="V859" s="9" t="str">
        <f>VLOOKUP(B859,Bounties!A:E,2,FALSE)</f>
        <v>Events Bounty</v>
      </c>
    </row>
    <row r="860" hidden="1">
      <c r="A860" s="67">
        <f>HYPERLINK("https://polkadot.subsquare.io/treasury/child-bounties/534", 534)</f>
        <v>534</v>
      </c>
      <c r="B860" s="1">
        <v>17.0</v>
      </c>
      <c r="C860" s="1" t="s">
        <v>2414</v>
      </c>
      <c r="D860" s="1" t="s">
        <v>182</v>
      </c>
      <c r="E860" s="5">
        <v>433.5</v>
      </c>
      <c r="F860" s="4">
        <v>3009.658343553543</v>
      </c>
      <c r="G860" s="1" t="s">
        <v>2683</v>
      </c>
      <c r="H860" s="95">
        <v>45277.0</v>
      </c>
      <c r="I860" s="95">
        <v>45309.0</v>
      </c>
      <c r="J860" s="4">
        <v>2950.972444295883</v>
      </c>
      <c r="K860" s="1"/>
      <c r="L860" s="1" t="s">
        <v>86</v>
      </c>
      <c r="M860" s="1" t="str">
        <f>VLOOKUP(B860,Bounties!A:D,3,FALSE)</f>
        <v>Outreach</v>
      </c>
      <c r="N860" s="1" t="str">
        <f>VLOOKUP(B860,Bounties!A:D,4,FALSE)</f>
        <v>Events/Meetups</v>
      </c>
      <c r="O860" s="1" t="str">
        <f t="shared" ref="O860:P860" si="864">IF(ISBLANK(K860),M860,K860)</f>
        <v>Outreach</v>
      </c>
      <c r="P860" s="1" t="str">
        <f t="shared" si="864"/>
        <v>Events/Conference Attendance &amp; Side Events</v>
      </c>
      <c r="Q860" s="61" t="str">
        <f t="shared" si="3"/>
        <v>2024</v>
      </c>
      <c r="R860" s="62">
        <f t="shared" si="4"/>
        <v>1</v>
      </c>
      <c r="S860" s="61" t="str">
        <f t="shared" si="5"/>
        <v>2024-Q1</v>
      </c>
      <c r="T860" s="63" t="str">
        <f t="shared" si="6"/>
        <v>2024-01</v>
      </c>
      <c r="U860" s="64" t="str">
        <f t="shared" si="7"/>
        <v>2024-H1</v>
      </c>
      <c r="V860" s="9" t="str">
        <f>VLOOKUP(B860,Bounties!A:E,2,FALSE)</f>
        <v>Events Bounty</v>
      </c>
    </row>
    <row r="861" hidden="1">
      <c r="A861" s="67">
        <f>HYPERLINK("https://polkadot.subsquare.io/treasury/child-bounties/533", 533)</f>
        <v>533</v>
      </c>
      <c r="B861" s="1">
        <v>11.0</v>
      </c>
      <c r="C861" s="1" t="s">
        <v>2414</v>
      </c>
      <c r="D861" s="1" t="s">
        <v>1816</v>
      </c>
      <c r="E861" s="5">
        <v>143.106457</v>
      </c>
      <c r="F861" s="4">
        <v>978.8021949833021</v>
      </c>
      <c r="G861" s="1" t="s">
        <v>2437</v>
      </c>
      <c r="H861" s="95">
        <v>45265.0</v>
      </c>
      <c r="I861" s="95">
        <v>45277.0</v>
      </c>
      <c r="J861" s="4">
        <v>960.9912020519233</v>
      </c>
      <c r="K861" s="1"/>
      <c r="L861" s="1"/>
      <c r="M861" s="1" t="str">
        <f>VLOOKUP(B861,Bounties!A:D,3,FALSE)</f>
        <v>Research</v>
      </c>
      <c r="N861" s="1" t="str">
        <f>VLOOKUP(B861,Bounties!A:D,4,FALSE)</f>
        <v>Anti-Scam</v>
      </c>
      <c r="O861" s="1" t="str">
        <f t="shared" ref="O861:P861" si="865">IF(ISBLANK(K861),M861,K861)</f>
        <v>Research</v>
      </c>
      <c r="P861" s="1" t="str">
        <f t="shared" si="865"/>
        <v>Anti-Scam</v>
      </c>
      <c r="Q861" s="61" t="str">
        <f t="shared" si="3"/>
        <v>2023</v>
      </c>
      <c r="R861" s="62">
        <f t="shared" si="4"/>
        <v>12</v>
      </c>
      <c r="S861" s="61" t="str">
        <f t="shared" si="5"/>
        <v>2023-Q4</v>
      </c>
      <c r="T861" s="63" t="str">
        <f t="shared" si="6"/>
        <v>2023-12</v>
      </c>
      <c r="U861" s="64" t="str">
        <f t="shared" si="7"/>
        <v>2023-H2</v>
      </c>
      <c r="V861" s="9" t="str">
        <f>VLOOKUP(B861,Bounties!A:E,2,FALSE)</f>
        <v>Anti-Scam Bounty</v>
      </c>
    </row>
    <row r="862" hidden="1">
      <c r="A862" s="67">
        <f>HYPERLINK("https://polkadot.subsquare.io/treasury/child-bounties/532", 532)</f>
        <v>532</v>
      </c>
      <c r="B862" s="1">
        <v>22.0</v>
      </c>
      <c r="C862" s="1" t="s">
        <v>2414</v>
      </c>
      <c r="D862" s="1" t="s">
        <v>180</v>
      </c>
      <c r="E862" s="5">
        <v>3000.0</v>
      </c>
      <c r="F862" s="4">
        <v>18739.99786376953</v>
      </c>
      <c r="G862" s="1" t="s">
        <v>2684</v>
      </c>
      <c r="H862" s="95">
        <v>45265.0</v>
      </c>
      <c r="I862" s="95">
        <v>45306.0</v>
      </c>
      <c r="J862" s="4">
        <v>21998.88038635254</v>
      </c>
      <c r="K862" s="1"/>
      <c r="L862" s="1"/>
      <c r="M862" s="1" t="str">
        <f>VLOOKUP(B862,Bounties!A:D,3,FALSE)</f>
        <v>Development</v>
      </c>
      <c r="N862" s="1" t="str">
        <f>VLOOKUP(B862,Bounties!A:D,4,FALSE)</f>
        <v>Ecosystem Services</v>
      </c>
      <c r="O862" s="1" t="str">
        <f t="shared" ref="O862:P862" si="866">IF(ISBLANK(K862),M862,K862)</f>
        <v>Development</v>
      </c>
      <c r="P862" s="1" t="str">
        <f t="shared" si="866"/>
        <v>Ecosystem Services</v>
      </c>
      <c r="Q862" s="61" t="str">
        <f t="shared" si="3"/>
        <v>2024</v>
      </c>
      <c r="R862" s="62">
        <f t="shared" si="4"/>
        <v>1</v>
      </c>
      <c r="S862" s="61" t="str">
        <f t="shared" si="5"/>
        <v>2024-Q1</v>
      </c>
      <c r="T862" s="63" t="str">
        <f t="shared" si="6"/>
        <v>2024-01</v>
      </c>
      <c r="U862" s="64" t="str">
        <f t="shared" si="7"/>
        <v>2024-H1</v>
      </c>
      <c r="V862" s="9" t="str">
        <f>VLOOKUP(B862,Bounties!A:E,2,FALSE)</f>
        <v>Polkadot Assurance Legion Bounty</v>
      </c>
    </row>
    <row r="863" hidden="1">
      <c r="A863" s="67">
        <f>HYPERLINK("https://polkadot.subsquare.io/treasury/child-bounties/531", 531)</f>
        <v>531</v>
      </c>
      <c r="B863" s="1">
        <v>11.0</v>
      </c>
      <c r="C863" s="1" t="s">
        <v>2414</v>
      </c>
      <c r="D863" s="1" t="s">
        <v>1815</v>
      </c>
      <c r="E863" s="5">
        <v>622.7783957484</v>
      </c>
      <c r="F863" s="4">
        <v>3681.5993137583437</v>
      </c>
      <c r="G863" s="1" t="s">
        <v>2437</v>
      </c>
      <c r="H863" s="95">
        <v>45262.0</v>
      </c>
      <c r="I863" s="95">
        <v>45273.0</v>
      </c>
      <c r="J863" s="4">
        <v>4412.949782935081</v>
      </c>
      <c r="K863" s="1"/>
      <c r="L863" s="1"/>
      <c r="M863" s="1" t="str">
        <f>VLOOKUP(B863,Bounties!A:D,3,FALSE)</f>
        <v>Research</v>
      </c>
      <c r="N863" s="1" t="str">
        <f>VLOOKUP(B863,Bounties!A:D,4,FALSE)</f>
        <v>Anti-Scam</v>
      </c>
      <c r="O863" s="1" t="str">
        <f t="shared" ref="O863:P863" si="867">IF(ISBLANK(K863),M863,K863)</f>
        <v>Research</v>
      </c>
      <c r="P863" s="1" t="str">
        <f t="shared" si="867"/>
        <v>Anti-Scam</v>
      </c>
      <c r="Q863" s="61" t="str">
        <f t="shared" si="3"/>
        <v>2023</v>
      </c>
      <c r="R863" s="62">
        <f t="shared" si="4"/>
        <v>12</v>
      </c>
      <c r="S863" s="61" t="str">
        <f t="shared" si="5"/>
        <v>2023-Q4</v>
      </c>
      <c r="T863" s="63" t="str">
        <f t="shared" si="6"/>
        <v>2023-12</v>
      </c>
      <c r="U863" s="64" t="str">
        <f t="shared" si="7"/>
        <v>2023-H2</v>
      </c>
      <c r="V863" s="9" t="str">
        <f>VLOOKUP(B863,Bounties!A:E,2,FALSE)</f>
        <v>Anti-Scam Bounty</v>
      </c>
    </row>
    <row r="864" hidden="1">
      <c r="A864" s="67">
        <f>HYPERLINK("https://polkadot.subsquare.io/treasury/child-bounties/530", 530)</f>
        <v>530</v>
      </c>
      <c r="B864" s="1">
        <v>11.0</v>
      </c>
      <c r="C864" s="1" t="s">
        <v>2414</v>
      </c>
      <c r="D864" s="1" t="s">
        <v>1814</v>
      </c>
      <c r="E864" s="5">
        <v>761.6734643431</v>
      </c>
      <c r="F864" s="4">
        <v>4502.687509356656</v>
      </c>
      <c r="G864" s="1" t="s">
        <v>2463</v>
      </c>
      <c r="H864" s="95">
        <v>45262.0</v>
      </c>
      <c r="I864" s="95">
        <v>45279.0</v>
      </c>
      <c r="J864" s="4">
        <v>6368.738320501188</v>
      </c>
      <c r="K864" s="1"/>
      <c r="L864" s="1"/>
      <c r="M864" s="1" t="str">
        <f>VLOOKUP(B864,Bounties!A:D,3,FALSE)</f>
        <v>Research</v>
      </c>
      <c r="N864" s="1" t="str">
        <f>VLOOKUP(B864,Bounties!A:D,4,FALSE)</f>
        <v>Anti-Scam</v>
      </c>
      <c r="O864" s="1" t="str">
        <f t="shared" ref="O864:P864" si="868">IF(ISBLANK(K864),M864,K864)</f>
        <v>Research</v>
      </c>
      <c r="P864" s="1" t="str">
        <f t="shared" si="868"/>
        <v>Anti-Scam</v>
      </c>
      <c r="Q864" s="61" t="str">
        <f t="shared" si="3"/>
        <v>2023</v>
      </c>
      <c r="R864" s="62">
        <f t="shared" si="4"/>
        <v>12</v>
      </c>
      <c r="S864" s="61" t="str">
        <f t="shared" si="5"/>
        <v>2023-Q4</v>
      </c>
      <c r="T864" s="63" t="str">
        <f t="shared" si="6"/>
        <v>2023-12</v>
      </c>
      <c r="U864" s="64" t="str">
        <f t="shared" si="7"/>
        <v>2023-H2</v>
      </c>
      <c r="V864" s="9" t="str">
        <f>VLOOKUP(B864,Bounties!A:E,2,FALSE)</f>
        <v>Anti-Scam Bounty</v>
      </c>
    </row>
    <row r="865" hidden="1">
      <c r="A865" s="67">
        <f>HYPERLINK("https://polkadot.subsquare.io/treasury/child-bounties/529", 529)</f>
        <v>529</v>
      </c>
      <c r="B865" s="1">
        <v>11.0</v>
      </c>
      <c r="C865" s="1" t="s">
        <v>2414</v>
      </c>
      <c r="D865" s="1" t="s">
        <v>1813</v>
      </c>
      <c r="E865" s="5">
        <v>1294.9697194414</v>
      </c>
      <c r="F865" s="4">
        <v>7655.306707780159</v>
      </c>
      <c r="G865" s="1" t="s">
        <v>2438</v>
      </c>
      <c r="H865" s="95">
        <v>45262.0</v>
      </c>
      <c r="I865" s="95">
        <v>45273.0</v>
      </c>
      <c r="J865" s="4">
        <v>9176.034977014713</v>
      </c>
      <c r="K865" s="1"/>
      <c r="L865" s="1"/>
      <c r="M865" s="1" t="str">
        <f>VLOOKUP(B865,Bounties!A:D,3,FALSE)</f>
        <v>Research</v>
      </c>
      <c r="N865" s="1" t="str">
        <f>VLOOKUP(B865,Bounties!A:D,4,FALSE)</f>
        <v>Anti-Scam</v>
      </c>
      <c r="O865" s="1" t="str">
        <f t="shared" ref="O865:P865" si="869">IF(ISBLANK(K865),M865,K865)</f>
        <v>Research</v>
      </c>
      <c r="P865" s="1" t="str">
        <f t="shared" si="869"/>
        <v>Anti-Scam</v>
      </c>
      <c r="Q865" s="61" t="str">
        <f t="shared" si="3"/>
        <v>2023</v>
      </c>
      <c r="R865" s="62">
        <f t="shared" si="4"/>
        <v>12</v>
      </c>
      <c r="S865" s="61" t="str">
        <f t="shared" si="5"/>
        <v>2023-Q4</v>
      </c>
      <c r="T865" s="63" t="str">
        <f t="shared" si="6"/>
        <v>2023-12</v>
      </c>
      <c r="U865" s="64" t="str">
        <f t="shared" si="7"/>
        <v>2023-H2</v>
      </c>
      <c r="V865" s="9" t="str">
        <f>VLOOKUP(B865,Bounties!A:E,2,FALSE)</f>
        <v>Anti-Scam Bounty</v>
      </c>
    </row>
    <row r="866" hidden="1">
      <c r="A866" s="67">
        <f>HYPERLINK("https://polkadot.subsquare.io/treasury/child-bounties/528", 528)</f>
        <v>528</v>
      </c>
      <c r="B866" s="1">
        <v>11.0</v>
      </c>
      <c r="C866" s="1" t="s">
        <v>2414</v>
      </c>
      <c r="D866" s="1" t="s">
        <v>1812</v>
      </c>
      <c r="E866" s="5">
        <v>320.0609639931</v>
      </c>
      <c r="F866" s="4">
        <v>1783.9817738253632</v>
      </c>
      <c r="G866" s="1" t="s">
        <v>2437</v>
      </c>
      <c r="H866" s="95">
        <v>45259.0</v>
      </c>
      <c r="I866" s="95">
        <v>45268.0</v>
      </c>
      <c r="J866" s="4">
        <v>2349.7516183673865</v>
      </c>
      <c r="K866" s="1"/>
      <c r="L866" s="1"/>
      <c r="M866" s="1" t="str">
        <f>VLOOKUP(B866,Bounties!A:D,3,FALSE)</f>
        <v>Research</v>
      </c>
      <c r="N866" s="1" t="str">
        <f>VLOOKUP(B866,Bounties!A:D,4,FALSE)</f>
        <v>Anti-Scam</v>
      </c>
      <c r="O866" s="1" t="str">
        <f t="shared" ref="O866:P866" si="870">IF(ISBLANK(K866),M866,K866)</f>
        <v>Research</v>
      </c>
      <c r="P866" s="1" t="str">
        <f t="shared" si="870"/>
        <v>Anti-Scam</v>
      </c>
      <c r="Q866" s="61" t="str">
        <f t="shared" si="3"/>
        <v>2023</v>
      </c>
      <c r="R866" s="62">
        <f t="shared" si="4"/>
        <v>12</v>
      </c>
      <c r="S866" s="61" t="str">
        <f t="shared" si="5"/>
        <v>2023-Q4</v>
      </c>
      <c r="T866" s="63" t="str">
        <f t="shared" si="6"/>
        <v>2023-12</v>
      </c>
      <c r="U866" s="64" t="str">
        <f t="shared" si="7"/>
        <v>2023-H2</v>
      </c>
      <c r="V866" s="9" t="str">
        <f>VLOOKUP(B866,Bounties!A:E,2,FALSE)</f>
        <v>Anti-Scam Bounty</v>
      </c>
    </row>
    <row r="867" hidden="1">
      <c r="A867" s="67">
        <f>HYPERLINK("https://polkadot.subsquare.io/treasury/child-bounties/527", 527)</f>
        <v>527</v>
      </c>
      <c r="B867" s="1">
        <v>11.0</v>
      </c>
      <c r="C867" s="1" t="s">
        <v>2414</v>
      </c>
      <c r="D867" s="1" t="s">
        <v>1811</v>
      </c>
      <c r="E867" s="5">
        <v>274.337969137</v>
      </c>
      <c r="F867" s="4">
        <v>1529.1272347077727</v>
      </c>
      <c r="G867" s="1" t="s">
        <v>2438</v>
      </c>
      <c r="H867" s="95">
        <v>45259.0</v>
      </c>
      <c r="I867" s="95">
        <v>45268.0</v>
      </c>
      <c r="J867" s="4">
        <v>1839.9016310725438</v>
      </c>
      <c r="K867" s="1"/>
      <c r="L867" s="1"/>
      <c r="M867" s="1" t="str">
        <f>VLOOKUP(B867,Bounties!A:D,3,FALSE)</f>
        <v>Research</v>
      </c>
      <c r="N867" s="1" t="str">
        <f>VLOOKUP(B867,Bounties!A:D,4,FALSE)</f>
        <v>Anti-Scam</v>
      </c>
      <c r="O867" s="1" t="str">
        <f t="shared" ref="O867:P867" si="871">IF(ISBLANK(K867),M867,K867)</f>
        <v>Research</v>
      </c>
      <c r="P867" s="1" t="str">
        <f t="shared" si="871"/>
        <v>Anti-Scam</v>
      </c>
      <c r="Q867" s="61" t="str">
        <f t="shared" si="3"/>
        <v>2023</v>
      </c>
      <c r="R867" s="62">
        <f t="shared" si="4"/>
        <v>12</v>
      </c>
      <c r="S867" s="61" t="str">
        <f t="shared" si="5"/>
        <v>2023-Q4</v>
      </c>
      <c r="T867" s="63" t="str">
        <f t="shared" si="6"/>
        <v>2023-12</v>
      </c>
      <c r="U867" s="64" t="str">
        <f t="shared" si="7"/>
        <v>2023-H2</v>
      </c>
      <c r="V867" s="9" t="str">
        <f>VLOOKUP(B867,Bounties!A:E,2,FALSE)</f>
        <v>Anti-Scam Bounty</v>
      </c>
    </row>
    <row r="868" hidden="1">
      <c r="A868" s="67">
        <f>HYPERLINK("https://polkadot.subsquare.io/treasury/child-bounties/526", 526)</f>
        <v>526</v>
      </c>
      <c r="B868" s="1">
        <v>11.0</v>
      </c>
      <c r="C868" s="1" t="s">
        <v>2414</v>
      </c>
      <c r="D868" s="1" t="s">
        <v>1810</v>
      </c>
      <c r="E868" s="5">
        <v>95.2562392837</v>
      </c>
      <c r="F868" s="4">
        <v>530.9469564958628</v>
      </c>
      <c r="G868" s="1" t="s">
        <v>2526</v>
      </c>
      <c r="H868" s="95">
        <v>45259.0</v>
      </c>
      <c r="I868" s="95">
        <v>45272.0</v>
      </c>
      <c r="J868" s="4">
        <v>662.6731533169416</v>
      </c>
      <c r="K868" s="1"/>
      <c r="L868" s="1"/>
      <c r="M868" s="1" t="str">
        <f>VLOOKUP(B868,Bounties!A:D,3,FALSE)</f>
        <v>Research</v>
      </c>
      <c r="N868" s="1" t="str">
        <f>VLOOKUP(B868,Bounties!A:D,4,FALSE)</f>
        <v>Anti-Scam</v>
      </c>
      <c r="O868" s="1" t="str">
        <f t="shared" ref="O868:P868" si="872">IF(ISBLANK(K868),M868,K868)</f>
        <v>Research</v>
      </c>
      <c r="P868" s="1" t="str">
        <f t="shared" si="872"/>
        <v>Anti-Scam</v>
      </c>
      <c r="Q868" s="61" t="str">
        <f t="shared" si="3"/>
        <v>2023</v>
      </c>
      <c r="R868" s="62">
        <f t="shared" si="4"/>
        <v>12</v>
      </c>
      <c r="S868" s="61" t="str">
        <f t="shared" si="5"/>
        <v>2023-Q4</v>
      </c>
      <c r="T868" s="63" t="str">
        <f t="shared" si="6"/>
        <v>2023-12</v>
      </c>
      <c r="U868" s="64" t="str">
        <f t="shared" si="7"/>
        <v>2023-H2</v>
      </c>
      <c r="V868" s="9" t="str">
        <f>VLOOKUP(B868,Bounties!A:E,2,FALSE)</f>
        <v>Anti-Scam Bounty</v>
      </c>
    </row>
    <row r="869" hidden="1">
      <c r="A869" s="67">
        <f>HYPERLINK("https://polkadot.subsquare.io/treasury/child-bounties/525", 525)</f>
        <v>525</v>
      </c>
      <c r="B869" s="1">
        <v>11.0</v>
      </c>
      <c r="C869" s="1" t="s">
        <v>2414</v>
      </c>
      <c r="D869" s="1" t="s">
        <v>1809</v>
      </c>
      <c r="E869" s="5">
        <v>228.6149742808</v>
      </c>
      <c r="F869" s="4">
        <v>1274.2726955896246</v>
      </c>
      <c r="G869" s="1" t="s">
        <v>2433</v>
      </c>
      <c r="H869" s="95">
        <v>45259.0</v>
      </c>
      <c r="I869" s="95">
        <v>45268.0</v>
      </c>
      <c r="J869" s="4">
        <v>1533.251359226896</v>
      </c>
      <c r="K869" s="1"/>
      <c r="L869" s="1"/>
      <c r="M869" s="1" t="str">
        <f>VLOOKUP(B869,Bounties!A:D,3,FALSE)</f>
        <v>Research</v>
      </c>
      <c r="N869" s="1" t="str">
        <f>VLOOKUP(B869,Bounties!A:D,4,FALSE)</f>
        <v>Anti-Scam</v>
      </c>
      <c r="O869" s="1" t="str">
        <f t="shared" ref="O869:P869" si="873">IF(ISBLANK(K869),M869,K869)</f>
        <v>Research</v>
      </c>
      <c r="P869" s="1" t="str">
        <f t="shared" si="873"/>
        <v>Anti-Scam</v>
      </c>
      <c r="Q869" s="61" t="str">
        <f t="shared" si="3"/>
        <v>2023</v>
      </c>
      <c r="R869" s="62">
        <f t="shared" si="4"/>
        <v>12</v>
      </c>
      <c r="S869" s="61" t="str">
        <f t="shared" si="5"/>
        <v>2023-Q4</v>
      </c>
      <c r="T869" s="63" t="str">
        <f t="shared" si="6"/>
        <v>2023-12</v>
      </c>
      <c r="U869" s="64" t="str">
        <f t="shared" si="7"/>
        <v>2023-H2</v>
      </c>
      <c r="V869" s="9" t="str">
        <f>VLOOKUP(B869,Bounties!A:E,2,FALSE)</f>
        <v>Anti-Scam Bounty</v>
      </c>
    </row>
    <row r="870" hidden="1">
      <c r="A870" s="67">
        <f>HYPERLINK("https://polkadot.subsquare.io/treasury/child-bounties/524", 524)</f>
        <v>524</v>
      </c>
      <c r="B870" s="1">
        <v>11.0</v>
      </c>
      <c r="C870" s="1" t="s">
        <v>2414</v>
      </c>
      <c r="D870" s="1" t="s">
        <v>1808</v>
      </c>
      <c r="E870" s="5">
        <v>228.6149742808</v>
      </c>
      <c r="F870" s="4">
        <v>1274.2726955896246</v>
      </c>
      <c r="G870" s="1" t="s">
        <v>2524</v>
      </c>
      <c r="H870" s="95">
        <v>45259.0</v>
      </c>
      <c r="I870" s="95">
        <v>45268.0</v>
      </c>
      <c r="J870" s="4">
        <v>1533.251359226896</v>
      </c>
      <c r="K870" s="1"/>
      <c r="L870" s="1"/>
      <c r="M870" s="1" t="str">
        <f>VLOOKUP(B870,Bounties!A:D,3,FALSE)</f>
        <v>Research</v>
      </c>
      <c r="N870" s="1" t="str">
        <f>VLOOKUP(B870,Bounties!A:D,4,FALSE)</f>
        <v>Anti-Scam</v>
      </c>
      <c r="O870" s="1" t="str">
        <f t="shared" ref="O870:P870" si="874">IF(ISBLANK(K870),M870,K870)</f>
        <v>Research</v>
      </c>
      <c r="P870" s="1" t="str">
        <f t="shared" si="874"/>
        <v>Anti-Scam</v>
      </c>
      <c r="Q870" s="61" t="str">
        <f t="shared" si="3"/>
        <v>2023</v>
      </c>
      <c r="R870" s="62">
        <f t="shared" si="4"/>
        <v>12</v>
      </c>
      <c r="S870" s="61" t="str">
        <f t="shared" si="5"/>
        <v>2023-Q4</v>
      </c>
      <c r="T870" s="63" t="str">
        <f t="shared" si="6"/>
        <v>2023-12</v>
      </c>
      <c r="U870" s="64" t="str">
        <f t="shared" si="7"/>
        <v>2023-H2</v>
      </c>
      <c r="V870" s="9" t="str">
        <f>VLOOKUP(B870,Bounties!A:E,2,FALSE)</f>
        <v>Anti-Scam Bounty</v>
      </c>
    </row>
    <row r="871" hidden="1">
      <c r="A871" s="67">
        <f>HYPERLINK("https://polkadot.subsquare.io/treasury/child-bounties/523", 523)</f>
        <v>523</v>
      </c>
      <c r="B871" s="1">
        <v>11.0</v>
      </c>
      <c r="C871" s="1" t="s">
        <v>2414</v>
      </c>
      <c r="D871" s="1" t="s">
        <v>1807</v>
      </c>
      <c r="E871" s="5">
        <v>274.337969137</v>
      </c>
      <c r="F871" s="4">
        <v>1529.1272347077727</v>
      </c>
      <c r="G871" s="1" t="s">
        <v>2534</v>
      </c>
      <c r="H871" s="95">
        <v>45259.0</v>
      </c>
      <c r="I871" s="95">
        <v>45268.0</v>
      </c>
      <c r="J871" s="4">
        <v>1839.9016310725438</v>
      </c>
      <c r="K871" s="1"/>
      <c r="L871" s="1"/>
      <c r="M871" s="1" t="str">
        <f>VLOOKUP(B871,Bounties!A:D,3,FALSE)</f>
        <v>Research</v>
      </c>
      <c r="N871" s="1" t="str">
        <f>VLOOKUP(B871,Bounties!A:D,4,FALSE)</f>
        <v>Anti-Scam</v>
      </c>
      <c r="O871" s="1" t="str">
        <f t="shared" ref="O871:P871" si="875">IF(ISBLANK(K871),M871,K871)</f>
        <v>Research</v>
      </c>
      <c r="P871" s="1" t="str">
        <f t="shared" si="875"/>
        <v>Anti-Scam</v>
      </c>
      <c r="Q871" s="61" t="str">
        <f t="shared" si="3"/>
        <v>2023</v>
      </c>
      <c r="R871" s="62">
        <f t="shared" si="4"/>
        <v>12</v>
      </c>
      <c r="S871" s="61" t="str">
        <f t="shared" si="5"/>
        <v>2023-Q4</v>
      </c>
      <c r="T871" s="63" t="str">
        <f t="shared" si="6"/>
        <v>2023-12</v>
      </c>
      <c r="U871" s="64" t="str">
        <f t="shared" si="7"/>
        <v>2023-H2</v>
      </c>
      <c r="V871" s="9" t="str">
        <f>VLOOKUP(B871,Bounties!A:E,2,FALSE)</f>
        <v>Anti-Scam Bounty</v>
      </c>
    </row>
    <row r="872" hidden="1">
      <c r="A872" s="67">
        <f>HYPERLINK("https://polkadot.subsquare.io/treasury/child-bounties/522", 522)</f>
        <v>522</v>
      </c>
      <c r="B872" s="1">
        <v>11.0</v>
      </c>
      <c r="C872" s="1" t="s">
        <v>2414</v>
      </c>
      <c r="D872" s="1" t="s">
        <v>1806</v>
      </c>
      <c r="E872" s="5">
        <v>95.2562392837</v>
      </c>
      <c r="F872" s="4">
        <v>530.9469564958628</v>
      </c>
      <c r="G872" s="1" t="s">
        <v>2534</v>
      </c>
      <c r="H872" s="95">
        <v>45259.0</v>
      </c>
      <c r="I872" s="95">
        <v>45268.0</v>
      </c>
      <c r="J872" s="4">
        <v>638.8547330114302</v>
      </c>
      <c r="K872" s="1"/>
      <c r="L872" s="1"/>
      <c r="M872" s="1" t="str">
        <f>VLOOKUP(B872,Bounties!A:D,3,FALSE)</f>
        <v>Research</v>
      </c>
      <c r="N872" s="1" t="str">
        <f>VLOOKUP(B872,Bounties!A:D,4,FALSE)</f>
        <v>Anti-Scam</v>
      </c>
      <c r="O872" s="1" t="str">
        <f t="shared" ref="O872:P872" si="876">IF(ISBLANK(K872),M872,K872)</f>
        <v>Research</v>
      </c>
      <c r="P872" s="1" t="str">
        <f t="shared" si="876"/>
        <v>Anti-Scam</v>
      </c>
      <c r="Q872" s="61" t="str">
        <f t="shared" si="3"/>
        <v>2023</v>
      </c>
      <c r="R872" s="62">
        <f t="shared" si="4"/>
        <v>12</v>
      </c>
      <c r="S872" s="61" t="str">
        <f t="shared" si="5"/>
        <v>2023-Q4</v>
      </c>
      <c r="T872" s="63" t="str">
        <f t="shared" si="6"/>
        <v>2023-12</v>
      </c>
      <c r="U872" s="64" t="str">
        <f t="shared" si="7"/>
        <v>2023-H2</v>
      </c>
      <c r="V872" s="9" t="str">
        <f>VLOOKUP(B872,Bounties!A:E,2,FALSE)</f>
        <v>Anti-Scam Bounty</v>
      </c>
    </row>
    <row r="873" hidden="1">
      <c r="A873" s="67">
        <f>HYPERLINK("https://polkadot.subsquare.io/treasury/child-bounties/521", 521)</f>
        <v>521</v>
      </c>
      <c r="B873" s="1">
        <v>11.0</v>
      </c>
      <c r="C873" s="1" t="s">
        <v>2414</v>
      </c>
      <c r="D873" s="1" t="s">
        <v>1805</v>
      </c>
      <c r="E873" s="5">
        <v>76.2049914269</v>
      </c>
      <c r="F873" s="4">
        <v>424.75756519635576</v>
      </c>
      <c r="G873" s="1" t="s">
        <v>2463</v>
      </c>
      <c r="H873" s="95">
        <v>45259.0</v>
      </c>
      <c r="I873" s="95">
        <v>45269.0</v>
      </c>
      <c r="J873" s="4">
        <v>511.0837864087418</v>
      </c>
      <c r="K873" s="1"/>
      <c r="L873" s="1"/>
      <c r="M873" s="1" t="str">
        <f>VLOOKUP(B873,Bounties!A:D,3,FALSE)</f>
        <v>Research</v>
      </c>
      <c r="N873" s="1" t="str">
        <f>VLOOKUP(B873,Bounties!A:D,4,FALSE)</f>
        <v>Anti-Scam</v>
      </c>
      <c r="O873" s="1" t="str">
        <f t="shared" ref="O873:P873" si="877">IF(ISBLANK(K873),M873,K873)</f>
        <v>Research</v>
      </c>
      <c r="P873" s="1" t="str">
        <f t="shared" si="877"/>
        <v>Anti-Scam</v>
      </c>
      <c r="Q873" s="61" t="str">
        <f t="shared" si="3"/>
        <v>2023</v>
      </c>
      <c r="R873" s="62">
        <f t="shared" si="4"/>
        <v>12</v>
      </c>
      <c r="S873" s="61" t="str">
        <f t="shared" si="5"/>
        <v>2023-Q4</v>
      </c>
      <c r="T873" s="63" t="str">
        <f t="shared" si="6"/>
        <v>2023-12</v>
      </c>
      <c r="U873" s="64" t="str">
        <f t="shared" si="7"/>
        <v>2023-H2</v>
      </c>
      <c r="V873" s="9" t="str">
        <f>VLOOKUP(B873,Bounties!A:E,2,FALSE)</f>
        <v>Anti-Scam Bounty</v>
      </c>
    </row>
    <row r="874" hidden="1">
      <c r="A874" s="67">
        <f>HYPERLINK("https://polkadot.subsquare.io/treasury/child-bounties/520", 520)</f>
        <v>520</v>
      </c>
      <c r="B874" s="1">
        <v>11.0</v>
      </c>
      <c r="C874" s="1" t="s">
        <v>2414</v>
      </c>
      <c r="D874" s="1" t="s">
        <v>1804</v>
      </c>
      <c r="E874" s="5">
        <v>76.2049914269</v>
      </c>
      <c r="F874" s="4">
        <v>424.75756519635576</v>
      </c>
      <c r="G874" s="1" t="s">
        <v>2438</v>
      </c>
      <c r="H874" s="95">
        <v>45259.0</v>
      </c>
      <c r="I874" s="95">
        <v>45268.0</v>
      </c>
      <c r="J874" s="4">
        <v>511.0837864087418</v>
      </c>
      <c r="K874" s="1"/>
      <c r="L874" s="1"/>
      <c r="M874" s="1" t="str">
        <f>VLOOKUP(B874,Bounties!A:D,3,FALSE)</f>
        <v>Research</v>
      </c>
      <c r="N874" s="1" t="str">
        <f>VLOOKUP(B874,Bounties!A:D,4,FALSE)</f>
        <v>Anti-Scam</v>
      </c>
      <c r="O874" s="1" t="str">
        <f t="shared" ref="O874:P874" si="878">IF(ISBLANK(K874),M874,K874)</f>
        <v>Research</v>
      </c>
      <c r="P874" s="1" t="str">
        <f t="shared" si="878"/>
        <v>Anti-Scam</v>
      </c>
      <c r="Q874" s="61" t="str">
        <f t="shared" si="3"/>
        <v>2023</v>
      </c>
      <c r="R874" s="62">
        <f t="shared" si="4"/>
        <v>12</v>
      </c>
      <c r="S874" s="61" t="str">
        <f t="shared" si="5"/>
        <v>2023-Q4</v>
      </c>
      <c r="T874" s="63" t="str">
        <f t="shared" si="6"/>
        <v>2023-12</v>
      </c>
      <c r="U874" s="64" t="str">
        <f t="shared" si="7"/>
        <v>2023-H2</v>
      </c>
      <c r="V874" s="9" t="str">
        <f>VLOOKUP(B874,Bounties!A:E,2,FALSE)</f>
        <v>Anti-Scam Bounty</v>
      </c>
    </row>
    <row r="875" hidden="1">
      <c r="A875" s="67">
        <f>HYPERLINK("https://polkadot.subsquare.io/treasury/child-bounties/519", 519)</f>
        <v>519</v>
      </c>
      <c r="B875" s="1">
        <v>11.0</v>
      </c>
      <c r="C875" s="1" t="s">
        <v>2414</v>
      </c>
      <c r="D875" s="1" t="s">
        <v>1803</v>
      </c>
      <c r="E875" s="5">
        <v>76.2049914269</v>
      </c>
      <c r="F875" s="4">
        <v>424.75756519635576</v>
      </c>
      <c r="G875" s="1" t="s">
        <v>2437</v>
      </c>
      <c r="H875" s="95">
        <v>45259.0</v>
      </c>
      <c r="I875" s="95">
        <v>45268.0</v>
      </c>
      <c r="J875" s="4">
        <v>559.464671039644</v>
      </c>
      <c r="K875" s="1"/>
      <c r="L875" s="1"/>
      <c r="M875" s="1" t="str">
        <f>VLOOKUP(B875,Bounties!A:D,3,FALSE)</f>
        <v>Research</v>
      </c>
      <c r="N875" s="1" t="str">
        <f>VLOOKUP(B875,Bounties!A:D,4,FALSE)</f>
        <v>Anti-Scam</v>
      </c>
      <c r="O875" s="1" t="str">
        <f t="shared" ref="O875:P875" si="879">IF(ISBLANK(K875),M875,K875)</f>
        <v>Research</v>
      </c>
      <c r="P875" s="1" t="str">
        <f t="shared" si="879"/>
        <v>Anti-Scam</v>
      </c>
      <c r="Q875" s="61" t="str">
        <f t="shared" si="3"/>
        <v>2023</v>
      </c>
      <c r="R875" s="62">
        <f t="shared" si="4"/>
        <v>12</v>
      </c>
      <c r="S875" s="61" t="str">
        <f t="shared" si="5"/>
        <v>2023-Q4</v>
      </c>
      <c r="T875" s="63" t="str">
        <f t="shared" si="6"/>
        <v>2023-12</v>
      </c>
      <c r="U875" s="64" t="str">
        <f t="shared" si="7"/>
        <v>2023-H2</v>
      </c>
      <c r="V875" s="9" t="str">
        <f>VLOOKUP(B875,Bounties!A:E,2,FALSE)</f>
        <v>Anti-Scam Bounty</v>
      </c>
    </row>
    <row r="876" hidden="1">
      <c r="A876" s="67">
        <f>HYPERLINK("https://polkadot.subsquare.io/treasury/child-bounties/518", 518)</f>
        <v>518</v>
      </c>
      <c r="B876" s="1">
        <v>11.0</v>
      </c>
      <c r="C876" s="1" t="s">
        <v>2414</v>
      </c>
      <c r="D876" s="1" t="s">
        <v>1802</v>
      </c>
      <c r="E876" s="5">
        <v>95.2562392837</v>
      </c>
      <c r="F876" s="4">
        <v>530.9469564958628</v>
      </c>
      <c r="G876" s="1" t="s">
        <v>2433</v>
      </c>
      <c r="H876" s="95">
        <v>45259.0</v>
      </c>
      <c r="I876" s="95">
        <v>45268.0</v>
      </c>
      <c r="J876" s="4">
        <v>638.8547330114302</v>
      </c>
      <c r="K876" s="1"/>
      <c r="L876" s="1"/>
      <c r="M876" s="1" t="str">
        <f>VLOOKUP(B876,Bounties!A:D,3,FALSE)</f>
        <v>Research</v>
      </c>
      <c r="N876" s="1" t="str">
        <f>VLOOKUP(B876,Bounties!A:D,4,FALSE)</f>
        <v>Anti-Scam</v>
      </c>
      <c r="O876" s="1" t="str">
        <f t="shared" ref="O876:P876" si="880">IF(ISBLANK(K876),M876,K876)</f>
        <v>Research</v>
      </c>
      <c r="P876" s="1" t="str">
        <f t="shared" si="880"/>
        <v>Anti-Scam</v>
      </c>
      <c r="Q876" s="61" t="str">
        <f t="shared" si="3"/>
        <v>2023</v>
      </c>
      <c r="R876" s="62">
        <f t="shared" si="4"/>
        <v>12</v>
      </c>
      <c r="S876" s="61" t="str">
        <f t="shared" si="5"/>
        <v>2023-Q4</v>
      </c>
      <c r="T876" s="63" t="str">
        <f t="shared" si="6"/>
        <v>2023-12</v>
      </c>
      <c r="U876" s="64" t="str">
        <f t="shared" si="7"/>
        <v>2023-H2</v>
      </c>
      <c r="V876" s="9" t="str">
        <f>VLOOKUP(B876,Bounties!A:E,2,FALSE)</f>
        <v>Anti-Scam Bounty</v>
      </c>
    </row>
    <row r="877" hidden="1">
      <c r="A877" s="67">
        <f>HYPERLINK("https://polkadot.subsquare.io/treasury/child-bounties/517", 517)</f>
        <v>517</v>
      </c>
      <c r="B877" s="1">
        <v>11.0</v>
      </c>
      <c r="C877" s="1" t="s">
        <v>2414</v>
      </c>
      <c r="D877" s="1" t="s">
        <v>1801</v>
      </c>
      <c r="E877" s="5">
        <v>114.3074871404</v>
      </c>
      <c r="F877" s="4">
        <v>637.1363477948123</v>
      </c>
      <c r="G877" s="1" t="s">
        <v>2531</v>
      </c>
      <c r="H877" s="95">
        <v>45259.0</v>
      </c>
      <c r="I877" s="95">
        <v>45268.0</v>
      </c>
      <c r="J877" s="4">
        <v>766.625679613448</v>
      </c>
      <c r="K877" s="1"/>
      <c r="L877" s="1"/>
      <c r="M877" s="1" t="str">
        <f>VLOOKUP(B877,Bounties!A:D,3,FALSE)</f>
        <v>Research</v>
      </c>
      <c r="N877" s="1" t="str">
        <f>VLOOKUP(B877,Bounties!A:D,4,FALSE)</f>
        <v>Anti-Scam</v>
      </c>
      <c r="O877" s="1" t="str">
        <f t="shared" ref="O877:P877" si="881">IF(ISBLANK(K877),M877,K877)</f>
        <v>Research</v>
      </c>
      <c r="P877" s="1" t="str">
        <f t="shared" si="881"/>
        <v>Anti-Scam</v>
      </c>
      <c r="Q877" s="61" t="str">
        <f t="shared" si="3"/>
        <v>2023</v>
      </c>
      <c r="R877" s="62">
        <f t="shared" si="4"/>
        <v>12</v>
      </c>
      <c r="S877" s="61" t="str">
        <f t="shared" si="5"/>
        <v>2023-Q4</v>
      </c>
      <c r="T877" s="63" t="str">
        <f t="shared" si="6"/>
        <v>2023-12</v>
      </c>
      <c r="U877" s="64" t="str">
        <f t="shared" si="7"/>
        <v>2023-H2</v>
      </c>
      <c r="V877" s="9" t="str">
        <f>VLOOKUP(B877,Bounties!A:E,2,FALSE)</f>
        <v>Anti-Scam Bounty</v>
      </c>
    </row>
    <row r="878" hidden="1">
      <c r="A878" s="67">
        <f>HYPERLINK("https://polkadot.subsquare.io/treasury/child-bounties/516", 516)</f>
        <v>516</v>
      </c>
      <c r="B878" s="1">
        <v>11.0</v>
      </c>
      <c r="C878" s="1" t="s">
        <v>2414</v>
      </c>
      <c r="D878" s="1" t="s">
        <v>1800</v>
      </c>
      <c r="E878" s="5">
        <v>137.1689845685</v>
      </c>
      <c r="F878" s="4">
        <v>764.5636173538863</v>
      </c>
      <c r="G878" s="1" t="s">
        <v>2463</v>
      </c>
      <c r="H878" s="95">
        <v>45259.0</v>
      </c>
      <c r="I878" s="95">
        <v>45269.0</v>
      </c>
      <c r="J878" s="4">
        <v>919.9508155362719</v>
      </c>
      <c r="K878" s="1"/>
      <c r="L878" s="1"/>
      <c r="M878" s="1" t="str">
        <f>VLOOKUP(B878,Bounties!A:D,3,FALSE)</f>
        <v>Research</v>
      </c>
      <c r="N878" s="1" t="str">
        <f>VLOOKUP(B878,Bounties!A:D,4,FALSE)</f>
        <v>Anti-Scam</v>
      </c>
      <c r="O878" s="1" t="str">
        <f t="shared" ref="O878:P878" si="882">IF(ISBLANK(K878),M878,K878)</f>
        <v>Research</v>
      </c>
      <c r="P878" s="1" t="str">
        <f t="shared" si="882"/>
        <v>Anti-Scam</v>
      </c>
      <c r="Q878" s="61" t="str">
        <f t="shared" si="3"/>
        <v>2023</v>
      </c>
      <c r="R878" s="62">
        <f t="shared" si="4"/>
        <v>12</v>
      </c>
      <c r="S878" s="61" t="str">
        <f t="shared" si="5"/>
        <v>2023-Q4</v>
      </c>
      <c r="T878" s="63" t="str">
        <f t="shared" si="6"/>
        <v>2023-12</v>
      </c>
      <c r="U878" s="64" t="str">
        <f t="shared" si="7"/>
        <v>2023-H2</v>
      </c>
      <c r="V878" s="9" t="str">
        <f>VLOOKUP(B878,Bounties!A:E,2,FALSE)</f>
        <v>Anti-Scam Bounty</v>
      </c>
    </row>
    <row r="879" hidden="1">
      <c r="A879" s="67">
        <f>HYPERLINK("https://polkadot.subsquare.io/treasury/child-bounties/515", 515)</f>
        <v>515</v>
      </c>
      <c r="B879" s="1">
        <v>11.0</v>
      </c>
      <c r="C879" s="1" t="s">
        <v>2414</v>
      </c>
      <c r="D879" s="1" t="s">
        <v>1799</v>
      </c>
      <c r="E879" s="5">
        <v>95.2562392837</v>
      </c>
      <c r="F879" s="4">
        <v>530.9469564958628</v>
      </c>
      <c r="G879" s="1" t="s">
        <v>2528</v>
      </c>
      <c r="H879" s="95">
        <v>45259.0</v>
      </c>
      <c r="I879" s="95">
        <v>45268.0</v>
      </c>
      <c r="J879" s="4">
        <v>699.3308388001058</v>
      </c>
      <c r="K879" s="1"/>
      <c r="L879" s="1"/>
      <c r="M879" s="1" t="str">
        <f>VLOOKUP(B879,Bounties!A:D,3,FALSE)</f>
        <v>Research</v>
      </c>
      <c r="N879" s="1" t="str">
        <f>VLOOKUP(B879,Bounties!A:D,4,FALSE)</f>
        <v>Anti-Scam</v>
      </c>
      <c r="O879" s="1" t="str">
        <f t="shared" ref="O879:P879" si="883">IF(ISBLANK(K879),M879,K879)</f>
        <v>Research</v>
      </c>
      <c r="P879" s="1" t="str">
        <f t="shared" si="883"/>
        <v>Anti-Scam</v>
      </c>
      <c r="Q879" s="61" t="str">
        <f t="shared" si="3"/>
        <v>2023</v>
      </c>
      <c r="R879" s="62">
        <f t="shared" si="4"/>
        <v>12</v>
      </c>
      <c r="S879" s="61" t="str">
        <f t="shared" si="5"/>
        <v>2023-Q4</v>
      </c>
      <c r="T879" s="63" t="str">
        <f t="shared" si="6"/>
        <v>2023-12</v>
      </c>
      <c r="U879" s="64" t="str">
        <f t="shared" si="7"/>
        <v>2023-H2</v>
      </c>
      <c r="V879" s="9" t="str">
        <f>VLOOKUP(B879,Bounties!A:E,2,FALSE)</f>
        <v>Anti-Scam Bounty</v>
      </c>
    </row>
    <row r="880" hidden="1">
      <c r="A880" s="67">
        <f>HYPERLINK("https://polkadot.subsquare.io/treasury/child-bounties/514", 514)</f>
        <v>514</v>
      </c>
      <c r="B880" s="1">
        <v>11.0</v>
      </c>
      <c r="C880" s="1" t="s">
        <v>2414</v>
      </c>
      <c r="D880" s="1" t="s">
        <v>1798</v>
      </c>
      <c r="E880" s="5">
        <v>137.1689845685</v>
      </c>
      <c r="F880" s="4">
        <v>764.5636173538863</v>
      </c>
      <c r="G880" s="1" t="s">
        <v>2535</v>
      </c>
      <c r="H880" s="95">
        <v>45259.0</v>
      </c>
      <c r="I880" s="95">
        <v>45268.0</v>
      </c>
      <c r="J880" s="4">
        <v>919.9508155362719</v>
      </c>
      <c r="K880" s="1"/>
      <c r="L880" s="1"/>
      <c r="M880" s="1" t="str">
        <f>VLOOKUP(B880,Bounties!A:D,3,FALSE)</f>
        <v>Research</v>
      </c>
      <c r="N880" s="1" t="str">
        <f>VLOOKUP(B880,Bounties!A:D,4,FALSE)</f>
        <v>Anti-Scam</v>
      </c>
      <c r="O880" s="1" t="str">
        <f t="shared" ref="O880:P880" si="884">IF(ISBLANK(K880),M880,K880)</f>
        <v>Research</v>
      </c>
      <c r="P880" s="1" t="str">
        <f t="shared" si="884"/>
        <v>Anti-Scam</v>
      </c>
      <c r="Q880" s="61" t="str">
        <f t="shared" si="3"/>
        <v>2023</v>
      </c>
      <c r="R880" s="62">
        <f t="shared" si="4"/>
        <v>12</v>
      </c>
      <c r="S880" s="61" t="str">
        <f t="shared" si="5"/>
        <v>2023-Q4</v>
      </c>
      <c r="T880" s="63" t="str">
        <f t="shared" si="6"/>
        <v>2023-12</v>
      </c>
      <c r="U880" s="64" t="str">
        <f t="shared" si="7"/>
        <v>2023-H2</v>
      </c>
      <c r="V880" s="9" t="str">
        <f>VLOOKUP(B880,Bounties!A:E,2,FALSE)</f>
        <v>Anti-Scam Bounty</v>
      </c>
    </row>
    <row r="881" hidden="1">
      <c r="A881" s="67">
        <f>HYPERLINK("https://polkadot.subsquare.io/treasury/child-bounties/513", 513)</f>
        <v>513</v>
      </c>
      <c r="B881" s="1">
        <v>10.0</v>
      </c>
      <c r="C881" s="1" t="s">
        <v>2414</v>
      </c>
      <c r="D881" s="1" t="s">
        <v>1797</v>
      </c>
      <c r="E881" s="5">
        <v>33106.0</v>
      </c>
      <c r="F881" s="4">
        <v>181256.6728811264</v>
      </c>
      <c r="G881" s="1" t="s">
        <v>2685</v>
      </c>
      <c r="H881" s="95">
        <v>45259.0</v>
      </c>
      <c r="I881" s="95">
        <v>45277.0</v>
      </c>
      <c r="J881" s="4">
        <v>229844.86533260345</v>
      </c>
      <c r="K881" s="1"/>
      <c r="L881" s="1"/>
      <c r="M881" s="1" t="str">
        <f>VLOOKUP(B881,Bounties!A:D,3,FALSE)</f>
        <v>Talent &amp; Education</v>
      </c>
      <c r="N881" s="1" t="str">
        <f>VLOOKUP(B881,Bounties!A:D,4,FALSE)</f>
        <v>Incubation</v>
      </c>
      <c r="O881" s="1" t="str">
        <f t="shared" ref="O881:P881" si="885">IF(ISBLANK(K881),M881,K881)</f>
        <v>Talent &amp; Education</v>
      </c>
      <c r="P881" s="1" t="str">
        <f t="shared" si="885"/>
        <v>Incubation</v>
      </c>
      <c r="Q881" s="61" t="str">
        <f t="shared" si="3"/>
        <v>2023</v>
      </c>
      <c r="R881" s="62">
        <f t="shared" si="4"/>
        <v>12</v>
      </c>
      <c r="S881" s="61" t="str">
        <f t="shared" si="5"/>
        <v>2023-Q4</v>
      </c>
      <c r="T881" s="63" t="str">
        <f t="shared" si="6"/>
        <v>2023-12</v>
      </c>
      <c r="U881" s="64" t="str">
        <f t="shared" si="7"/>
        <v>2023-H2</v>
      </c>
      <c r="V881" s="9" t="str">
        <f>VLOOKUP(B881,Bounties!A:E,2,FALSE)</f>
        <v>Polkadot Pioneers Bounty</v>
      </c>
    </row>
    <row r="882" hidden="1">
      <c r="A882" s="67">
        <f>HYPERLINK("https://polkadot.subsquare.io/treasury/child-bounties/512", 512)</f>
        <v>512</v>
      </c>
      <c r="B882" s="1">
        <v>24.0</v>
      </c>
      <c r="C882" s="1" t="s">
        <v>2414</v>
      </c>
      <c r="D882" s="1" t="s">
        <v>1796</v>
      </c>
      <c r="E882" s="5">
        <v>266.0079802394</v>
      </c>
      <c r="F882" s="4">
        <v>1402.0424208078036</v>
      </c>
      <c r="G882" s="1" t="s">
        <v>2437</v>
      </c>
      <c r="H882" s="95">
        <v>45255.0</v>
      </c>
      <c r="I882" s="95">
        <v>45264.0</v>
      </c>
      <c r="J882" s="4">
        <v>1607.57291686184</v>
      </c>
      <c r="K882" s="1"/>
      <c r="L882" s="1"/>
      <c r="M882" s="1" t="str">
        <f>VLOOKUP(B882,Bounties!A:D,3,FALSE)</f>
        <v>Outreach</v>
      </c>
      <c r="N882" s="1" t="str">
        <f>VLOOKUP(B882,Bounties!A:D,4,FALSE)</f>
        <v>Community Building</v>
      </c>
      <c r="O882" s="1" t="str">
        <f t="shared" ref="O882:P882" si="886">IF(ISBLANK(K882),M882,K882)</f>
        <v>Outreach</v>
      </c>
      <c r="P882" s="1" t="str">
        <f t="shared" si="886"/>
        <v>Community Building</v>
      </c>
      <c r="Q882" s="61" t="str">
        <f t="shared" si="3"/>
        <v>2023</v>
      </c>
      <c r="R882" s="62">
        <f t="shared" si="4"/>
        <v>12</v>
      </c>
      <c r="S882" s="61" t="str">
        <f t="shared" si="5"/>
        <v>2023-Q4</v>
      </c>
      <c r="T882" s="63" t="str">
        <f t="shared" si="6"/>
        <v>2023-12</v>
      </c>
      <c r="U882" s="64" t="str">
        <f t="shared" si="7"/>
        <v>2023-H2</v>
      </c>
      <c r="V882" s="9" t="str">
        <f>VLOOKUP(B882,Bounties!A:E,2,FALSE)</f>
        <v>Moderation Team Bounty</v>
      </c>
    </row>
    <row r="883" hidden="1">
      <c r="A883" s="67">
        <f>HYPERLINK("https://polkadot.subsquare.io/treasury/child-bounties/511", 511)</f>
        <v>511</v>
      </c>
      <c r="B883" s="1">
        <v>24.0</v>
      </c>
      <c r="C883" s="1" t="s">
        <v>2414</v>
      </c>
      <c r="D883" s="1" t="s">
        <v>1795</v>
      </c>
      <c r="E883" s="5">
        <v>266.0079802394</v>
      </c>
      <c r="F883" s="4">
        <v>1402.0424208078036</v>
      </c>
      <c r="G883" s="1" t="s">
        <v>2438</v>
      </c>
      <c r="H883" s="95">
        <v>45255.0</v>
      </c>
      <c r="I883" s="95">
        <v>45265.0</v>
      </c>
      <c r="J883" s="4">
        <v>1819.4091335892663</v>
      </c>
      <c r="K883" s="1"/>
      <c r="L883" s="1"/>
      <c r="M883" s="1" t="str">
        <f>VLOOKUP(B883,Bounties!A:D,3,FALSE)</f>
        <v>Outreach</v>
      </c>
      <c r="N883" s="1" t="str">
        <f>VLOOKUP(B883,Bounties!A:D,4,FALSE)</f>
        <v>Community Building</v>
      </c>
      <c r="O883" s="1" t="str">
        <f t="shared" ref="O883:P883" si="887">IF(ISBLANK(K883),M883,K883)</f>
        <v>Outreach</v>
      </c>
      <c r="P883" s="1" t="str">
        <f t="shared" si="887"/>
        <v>Community Building</v>
      </c>
      <c r="Q883" s="61" t="str">
        <f t="shared" si="3"/>
        <v>2023</v>
      </c>
      <c r="R883" s="62">
        <f t="shared" si="4"/>
        <v>12</v>
      </c>
      <c r="S883" s="61" t="str">
        <f t="shared" si="5"/>
        <v>2023-Q4</v>
      </c>
      <c r="T883" s="63" t="str">
        <f t="shared" si="6"/>
        <v>2023-12</v>
      </c>
      <c r="U883" s="64" t="str">
        <f t="shared" si="7"/>
        <v>2023-H2</v>
      </c>
      <c r="V883" s="9" t="str">
        <f>VLOOKUP(B883,Bounties!A:E,2,FALSE)</f>
        <v>Moderation Team Bounty</v>
      </c>
    </row>
    <row r="884" hidden="1">
      <c r="A884" s="67">
        <f>HYPERLINK("https://polkadot.subsquare.io/treasury/child-bounties/510", 510)</f>
        <v>510</v>
      </c>
      <c r="B884" s="1">
        <v>24.0</v>
      </c>
      <c r="C884" s="1" t="s">
        <v>2414</v>
      </c>
      <c r="D884" s="1" t="s">
        <v>1794</v>
      </c>
      <c r="E884" s="5">
        <v>266.0079802394</v>
      </c>
      <c r="F884" s="4">
        <v>1402.0424208078036</v>
      </c>
      <c r="G884" s="1" t="s">
        <v>2463</v>
      </c>
      <c r="H884" s="95">
        <v>45255.0</v>
      </c>
      <c r="I884" s="95">
        <v>45265.0</v>
      </c>
      <c r="J884" s="4">
        <v>1661.662993810668</v>
      </c>
      <c r="K884" s="1"/>
      <c r="L884" s="1"/>
      <c r="M884" s="1" t="str">
        <f>VLOOKUP(B884,Bounties!A:D,3,FALSE)</f>
        <v>Outreach</v>
      </c>
      <c r="N884" s="1" t="str">
        <f>VLOOKUP(B884,Bounties!A:D,4,FALSE)</f>
        <v>Community Building</v>
      </c>
      <c r="O884" s="1" t="str">
        <f t="shared" ref="O884:P884" si="888">IF(ISBLANK(K884),M884,K884)</f>
        <v>Outreach</v>
      </c>
      <c r="P884" s="1" t="str">
        <f t="shared" si="888"/>
        <v>Community Building</v>
      </c>
      <c r="Q884" s="61" t="str">
        <f t="shared" si="3"/>
        <v>2023</v>
      </c>
      <c r="R884" s="62">
        <f t="shared" si="4"/>
        <v>12</v>
      </c>
      <c r="S884" s="61" t="str">
        <f t="shared" si="5"/>
        <v>2023-Q4</v>
      </c>
      <c r="T884" s="63" t="str">
        <f t="shared" si="6"/>
        <v>2023-12</v>
      </c>
      <c r="U884" s="64" t="str">
        <f t="shared" si="7"/>
        <v>2023-H2</v>
      </c>
      <c r="V884" s="9" t="str">
        <f>VLOOKUP(B884,Bounties!A:E,2,FALSE)</f>
        <v>Moderation Team Bounty</v>
      </c>
    </row>
    <row r="885" hidden="1">
      <c r="A885" s="67">
        <f>HYPERLINK("https://polkadot.subsquare.io/treasury/child-bounties/509", 509)</f>
        <v>509</v>
      </c>
      <c r="B885" s="1">
        <v>24.0</v>
      </c>
      <c r="C885" s="1" t="s">
        <v>2414</v>
      </c>
      <c r="D885" s="1" t="s">
        <v>1793</v>
      </c>
      <c r="E885" s="5">
        <v>313.5094052822</v>
      </c>
      <c r="F885" s="4">
        <v>1652.4071388094608</v>
      </c>
      <c r="G885" s="1" t="s">
        <v>2549</v>
      </c>
      <c r="H885" s="95">
        <v>45255.0</v>
      </c>
      <c r="I885" s="95">
        <v>45264.0</v>
      </c>
      <c r="J885" s="4">
        <v>1894.6395091588993</v>
      </c>
      <c r="K885" s="1"/>
      <c r="L885" s="1"/>
      <c r="M885" s="1" t="str">
        <f>VLOOKUP(B885,Bounties!A:D,3,FALSE)</f>
        <v>Outreach</v>
      </c>
      <c r="N885" s="1" t="str">
        <f>VLOOKUP(B885,Bounties!A:D,4,FALSE)</f>
        <v>Community Building</v>
      </c>
      <c r="O885" s="1" t="str">
        <f t="shared" ref="O885:P885" si="889">IF(ISBLANK(K885),M885,K885)</f>
        <v>Outreach</v>
      </c>
      <c r="P885" s="1" t="str">
        <f t="shared" si="889"/>
        <v>Community Building</v>
      </c>
      <c r="Q885" s="61" t="str">
        <f t="shared" si="3"/>
        <v>2023</v>
      </c>
      <c r="R885" s="62">
        <f t="shared" si="4"/>
        <v>12</v>
      </c>
      <c r="S885" s="61" t="str">
        <f t="shared" si="5"/>
        <v>2023-Q4</v>
      </c>
      <c r="T885" s="63" t="str">
        <f t="shared" si="6"/>
        <v>2023-12</v>
      </c>
      <c r="U885" s="64" t="str">
        <f t="shared" si="7"/>
        <v>2023-H2</v>
      </c>
      <c r="V885" s="9" t="str">
        <f>VLOOKUP(B885,Bounties!A:E,2,FALSE)</f>
        <v>Moderation Team Bounty</v>
      </c>
    </row>
    <row r="886" hidden="1">
      <c r="A886" s="67">
        <f>HYPERLINK("https://polkadot.subsquare.io/treasury/child-bounties/508", 508)</f>
        <v>508</v>
      </c>
      <c r="B886" s="1">
        <v>24.0</v>
      </c>
      <c r="C886" s="1" t="s">
        <v>2414</v>
      </c>
      <c r="D886" s="1" t="s">
        <v>1792</v>
      </c>
      <c r="E886" s="5">
        <v>266.0079802394</v>
      </c>
      <c r="F886" s="4">
        <v>1402.0424208078036</v>
      </c>
      <c r="G886" s="1" t="s">
        <v>2497</v>
      </c>
      <c r="H886" s="95">
        <v>45255.0</v>
      </c>
      <c r="I886" s="95">
        <v>45263.0</v>
      </c>
      <c r="J886" s="4">
        <v>1607.57291686184</v>
      </c>
      <c r="K886" s="1"/>
      <c r="L886" s="1"/>
      <c r="M886" s="1" t="str">
        <f>VLOOKUP(B886,Bounties!A:D,3,FALSE)</f>
        <v>Outreach</v>
      </c>
      <c r="N886" s="1" t="str">
        <f>VLOOKUP(B886,Bounties!A:D,4,FALSE)</f>
        <v>Community Building</v>
      </c>
      <c r="O886" s="1" t="str">
        <f t="shared" ref="O886:P886" si="890">IF(ISBLANK(K886),M886,K886)</f>
        <v>Outreach</v>
      </c>
      <c r="P886" s="1" t="str">
        <f t="shared" si="890"/>
        <v>Community Building</v>
      </c>
      <c r="Q886" s="61" t="str">
        <f t="shared" si="3"/>
        <v>2023</v>
      </c>
      <c r="R886" s="62">
        <f t="shared" si="4"/>
        <v>12</v>
      </c>
      <c r="S886" s="61" t="str">
        <f t="shared" si="5"/>
        <v>2023-Q4</v>
      </c>
      <c r="T886" s="63" t="str">
        <f t="shared" si="6"/>
        <v>2023-12</v>
      </c>
      <c r="U886" s="64" t="str">
        <f t="shared" si="7"/>
        <v>2023-H2</v>
      </c>
      <c r="V886" s="9" t="str">
        <f>VLOOKUP(B886,Bounties!A:E,2,FALSE)</f>
        <v>Moderation Team Bounty</v>
      </c>
    </row>
    <row r="887" hidden="1">
      <c r="A887" s="67">
        <f>HYPERLINK("https://polkadot.subsquare.io/treasury/child-bounties/507", 507)</f>
        <v>507</v>
      </c>
      <c r="B887" s="1">
        <v>24.0</v>
      </c>
      <c r="C887" s="1" t="s">
        <v>2414</v>
      </c>
      <c r="D887" s="1" t="s">
        <v>1791</v>
      </c>
      <c r="E887" s="5">
        <v>266.0079802394</v>
      </c>
      <c r="F887" s="4">
        <v>1402.0424208078036</v>
      </c>
      <c r="G887" s="1" t="s">
        <v>2528</v>
      </c>
      <c r="H887" s="95">
        <v>45255.0</v>
      </c>
      <c r="I887" s="95">
        <v>45263.0</v>
      </c>
      <c r="J887" s="4">
        <v>1607.57291686184</v>
      </c>
      <c r="K887" s="1"/>
      <c r="L887" s="1"/>
      <c r="M887" s="1" t="str">
        <f>VLOOKUP(B887,Bounties!A:D,3,FALSE)</f>
        <v>Outreach</v>
      </c>
      <c r="N887" s="1" t="str">
        <f>VLOOKUP(B887,Bounties!A:D,4,FALSE)</f>
        <v>Community Building</v>
      </c>
      <c r="O887" s="1" t="str">
        <f t="shared" ref="O887:P887" si="891">IF(ISBLANK(K887),M887,K887)</f>
        <v>Outreach</v>
      </c>
      <c r="P887" s="1" t="str">
        <f t="shared" si="891"/>
        <v>Community Building</v>
      </c>
      <c r="Q887" s="61" t="str">
        <f t="shared" si="3"/>
        <v>2023</v>
      </c>
      <c r="R887" s="62">
        <f t="shared" si="4"/>
        <v>12</v>
      </c>
      <c r="S887" s="61" t="str">
        <f t="shared" si="5"/>
        <v>2023-Q4</v>
      </c>
      <c r="T887" s="63" t="str">
        <f t="shared" si="6"/>
        <v>2023-12</v>
      </c>
      <c r="U887" s="64" t="str">
        <f t="shared" si="7"/>
        <v>2023-H2</v>
      </c>
      <c r="V887" s="9" t="str">
        <f>VLOOKUP(B887,Bounties!A:E,2,FALSE)</f>
        <v>Moderation Team Bounty</v>
      </c>
    </row>
    <row r="888" hidden="1">
      <c r="A888" s="67">
        <f>HYPERLINK("https://polkadot.subsquare.io/treasury/child-bounties/506", 506)</f>
        <v>506</v>
      </c>
      <c r="B888" s="1">
        <v>24.0</v>
      </c>
      <c r="C888" s="1" t="s">
        <v>2414</v>
      </c>
      <c r="D888" s="1" t="s">
        <v>1790</v>
      </c>
      <c r="E888" s="5">
        <v>266.0079802394</v>
      </c>
      <c r="F888" s="4">
        <v>1402.0424208078036</v>
      </c>
      <c r="G888" s="1" t="s">
        <v>2535</v>
      </c>
      <c r="H888" s="95">
        <v>45255.0</v>
      </c>
      <c r="I888" s="95">
        <v>45263.0</v>
      </c>
      <c r="J888" s="4">
        <v>1607.57291686184</v>
      </c>
      <c r="K888" s="1"/>
      <c r="L888" s="1"/>
      <c r="M888" s="1" t="str">
        <f>VLOOKUP(B888,Bounties!A:D,3,FALSE)</f>
        <v>Outreach</v>
      </c>
      <c r="N888" s="1" t="str">
        <f>VLOOKUP(B888,Bounties!A:D,4,FALSE)</f>
        <v>Community Building</v>
      </c>
      <c r="O888" s="1" t="str">
        <f t="shared" ref="O888:P888" si="892">IF(ISBLANK(K888),M888,K888)</f>
        <v>Outreach</v>
      </c>
      <c r="P888" s="1" t="str">
        <f t="shared" si="892"/>
        <v>Community Building</v>
      </c>
      <c r="Q888" s="61" t="str">
        <f t="shared" si="3"/>
        <v>2023</v>
      </c>
      <c r="R888" s="62">
        <f t="shared" si="4"/>
        <v>12</v>
      </c>
      <c r="S888" s="61" t="str">
        <f t="shared" si="5"/>
        <v>2023-Q4</v>
      </c>
      <c r="T888" s="63" t="str">
        <f t="shared" si="6"/>
        <v>2023-12</v>
      </c>
      <c r="U888" s="64" t="str">
        <f t="shared" si="7"/>
        <v>2023-H2</v>
      </c>
      <c r="V888" s="9" t="str">
        <f>VLOOKUP(B888,Bounties!A:E,2,FALSE)</f>
        <v>Moderation Team Bounty</v>
      </c>
    </row>
    <row r="889" hidden="1">
      <c r="A889" s="67">
        <f>HYPERLINK("https://polkadot.subsquare.io/treasury/child-bounties/505", 505)</f>
        <v>505</v>
      </c>
      <c r="B889" s="1">
        <v>24.0</v>
      </c>
      <c r="C889" s="1" t="s">
        <v>2414</v>
      </c>
      <c r="D889" s="1" t="s">
        <v>1789</v>
      </c>
      <c r="E889" s="5">
        <v>266.0079802394</v>
      </c>
      <c r="F889" s="4">
        <v>1402.0424208078036</v>
      </c>
      <c r="G889" s="1" t="s">
        <v>2548</v>
      </c>
      <c r="H889" s="95">
        <v>45255.0</v>
      </c>
      <c r="I889" s="95">
        <v>45263.0</v>
      </c>
      <c r="J889" s="4">
        <v>1607.57291686184</v>
      </c>
      <c r="K889" s="1"/>
      <c r="L889" s="1"/>
      <c r="M889" s="1" t="str">
        <f>VLOOKUP(B889,Bounties!A:D,3,FALSE)</f>
        <v>Outreach</v>
      </c>
      <c r="N889" s="1" t="str">
        <f>VLOOKUP(B889,Bounties!A:D,4,FALSE)</f>
        <v>Community Building</v>
      </c>
      <c r="O889" s="1" t="str">
        <f t="shared" ref="O889:P889" si="893">IF(ISBLANK(K889),M889,K889)</f>
        <v>Outreach</v>
      </c>
      <c r="P889" s="1" t="str">
        <f t="shared" si="893"/>
        <v>Community Building</v>
      </c>
      <c r="Q889" s="61" t="str">
        <f t="shared" si="3"/>
        <v>2023</v>
      </c>
      <c r="R889" s="62">
        <f t="shared" si="4"/>
        <v>12</v>
      </c>
      <c r="S889" s="61" t="str">
        <f t="shared" si="5"/>
        <v>2023-Q4</v>
      </c>
      <c r="T889" s="63" t="str">
        <f t="shared" si="6"/>
        <v>2023-12</v>
      </c>
      <c r="U889" s="64" t="str">
        <f t="shared" si="7"/>
        <v>2023-H2</v>
      </c>
      <c r="V889" s="9" t="str">
        <f>VLOOKUP(B889,Bounties!A:E,2,FALSE)</f>
        <v>Moderation Team Bounty</v>
      </c>
    </row>
    <row r="890" hidden="1">
      <c r="A890" s="67">
        <f>HYPERLINK("https://polkadot.subsquare.io/treasury/child-bounties/504", 504)</f>
        <v>504</v>
      </c>
      <c r="B890" s="1">
        <v>24.0</v>
      </c>
      <c r="C890" s="1" t="s">
        <v>2414</v>
      </c>
      <c r="D890" s="1" t="s">
        <v>1788</v>
      </c>
      <c r="E890" s="5">
        <v>266.0079802394</v>
      </c>
      <c r="F890" s="4">
        <v>1402.0424208078036</v>
      </c>
      <c r="G890" s="1" t="s">
        <v>2550</v>
      </c>
      <c r="H890" s="95">
        <v>45255.0</v>
      </c>
      <c r="I890" s="95">
        <v>45263.0</v>
      </c>
      <c r="J890" s="4">
        <v>1607.57291686184</v>
      </c>
      <c r="K890" s="1"/>
      <c r="L890" s="1"/>
      <c r="M890" s="1" t="str">
        <f>VLOOKUP(B890,Bounties!A:D,3,FALSE)</f>
        <v>Outreach</v>
      </c>
      <c r="N890" s="1" t="str">
        <f>VLOOKUP(B890,Bounties!A:D,4,FALSE)</f>
        <v>Community Building</v>
      </c>
      <c r="O890" s="1" t="str">
        <f t="shared" ref="O890:P890" si="894">IF(ISBLANK(K890),M890,K890)</f>
        <v>Outreach</v>
      </c>
      <c r="P890" s="1" t="str">
        <f t="shared" si="894"/>
        <v>Community Building</v>
      </c>
      <c r="Q890" s="61" t="str">
        <f t="shared" si="3"/>
        <v>2023</v>
      </c>
      <c r="R890" s="62">
        <f t="shared" si="4"/>
        <v>12</v>
      </c>
      <c r="S890" s="61" t="str">
        <f t="shared" si="5"/>
        <v>2023-Q4</v>
      </c>
      <c r="T890" s="63" t="str">
        <f t="shared" si="6"/>
        <v>2023-12</v>
      </c>
      <c r="U890" s="64" t="str">
        <f t="shared" si="7"/>
        <v>2023-H2</v>
      </c>
      <c r="V890" s="9" t="str">
        <f>VLOOKUP(B890,Bounties!A:E,2,FALSE)</f>
        <v>Moderation Team Bounty</v>
      </c>
    </row>
    <row r="891" hidden="1">
      <c r="A891" s="67">
        <f>HYPERLINK("https://polkadot.subsquare.io/treasury/child-bounties/503", 503)</f>
        <v>503</v>
      </c>
      <c r="B891" s="1">
        <v>24.0</v>
      </c>
      <c r="C891" s="1" t="s">
        <v>2414</v>
      </c>
      <c r="D891" s="1" t="s">
        <v>1787</v>
      </c>
      <c r="E891" s="5">
        <v>266.1596958175</v>
      </c>
      <c r="F891" s="4">
        <v>1402.8420647741318</v>
      </c>
      <c r="G891" s="1" t="s">
        <v>2524</v>
      </c>
      <c r="H891" s="95">
        <v>45255.0</v>
      </c>
      <c r="I891" s="95">
        <v>45263.0</v>
      </c>
      <c r="J891" s="4">
        <v>1608.4897835445615</v>
      </c>
      <c r="K891" s="1"/>
      <c r="L891" s="1"/>
      <c r="M891" s="1" t="str">
        <f>VLOOKUP(B891,Bounties!A:D,3,FALSE)</f>
        <v>Outreach</v>
      </c>
      <c r="N891" s="1" t="str">
        <f>VLOOKUP(B891,Bounties!A:D,4,FALSE)</f>
        <v>Community Building</v>
      </c>
      <c r="O891" s="1" t="str">
        <f t="shared" ref="O891:P891" si="895">IF(ISBLANK(K891),M891,K891)</f>
        <v>Outreach</v>
      </c>
      <c r="P891" s="1" t="str">
        <f t="shared" si="895"/>
        <v>Community Building</v>
      </c>
      <c r="Q891" s="61" t="str">
        <f t="shared" si="3"/>
        <v>2023</v>
      </c>
      <c r="R891" s="62">
        <f t="shared" si="4"/>
        <v>12</v>
      </c>
      <c r="S891" s="61" t="str">
        <f t="shared" si="5"/>
        <v>2023-Q4</v>
      </c>
      <c r="T891" s="63" t="str">
        <f t="shared" si="6"/>
        <v>2023-12</v>
      </c>
      <c r="U891" s="64" t="str">
        <f t="shared" si="7"/>
        <v>2023-H2</v>
      </c>
      <c r="V891" s="9" t="str">
        <f>VLOOKUP(B891,Bounties!A:E,2,FALSE)</f>
        <v>Moderation Team Bounty</v>
      </c>
    </row>
    <row r="892" hidden="1">
      <c r="A892" s="67">
        <f>HYPERLINK("https://polkadot.subsquare.io/treasury/child-bounties/502", 502)</f>
        <v>502</v>
      </c>
      <c r="B892" s="1">
        <v>24.0</v>
      </c>
      <c r="C892" s="1" t="s">
        <v>2414</v>
      </c>
      <c r="D892" s="1" t="s">
        <v>1786</v>
      </c>
      <c r="E892" s="5">
        <v>266.0079802394</v>
      </c>
      <c r="F892" s="4">
        <v>1402.0424208078036</v>
      </c>
      <c r="G892" s="1" t="s">
        <v>2551</v>
      </c>
      <c r="H892" s="95">
        <v>45255.0</v>
      </c>
      <c r="I892" s="95">
        <v>45263.0</v>
      </c>
      <c r="J892" s="4">
        <v>1607.57291686184</v>
      </c>
      <c r="K892" s="1"/>
      <c r="L892" s="1"/>
      <c r="M892" s="1" t="str">
        <f>VLOOKUP(B892,Bounties!A:D,3,FALSE)</f>
        <v>Outreach</v>
      </c>
      <c r="N892" s="1" t="str">
        <f>VLOOKUP(B892,Bounties!A:D,4,FALSE)</f>
        <v>Community Building</v>
      </c>
      <c r="O892" s="1" t="str">
        <f t="shared" ref="O892:P892" si="896">IF(ISBLANK(K892),M892,K892)</f>
        <v>Outreach</v>
      </c>
      <c r="P892" s="1" t="str">
        <f t="shared" si="896"/>
        <v>Community Building</v>
      </c>
      <c r="Q892" s="61" t="str">
        <f t="shared" si="3"/>
        <v>2023</v>
      </c>
      <c r="R892" s="62">
        <f t="shared" si="4"/>
        <v>12</v>
      </c>
      <c r="S892" s="61" t="str">
        <f t="shared" si="5"/>
        <v>2023-Q4</v>
      </c>
      <c r="T892" s="63" t="str">
        <f t="shared" si="6"/>
        <v>2023-12</v>
      </c>
      <c r="U892" s="64" t="str">
        <f t="shared" si="7"/>
        <v>2023-H2</v>
      </c>
      <c r="V892" s="9" t="str">
        <f>VLOOKUP(B892,Bounties!A:E,2,FALSE)</f>
        <v>Moderation Team Bounty</v>
      </c>
    </row>
    <row r="893" hidden="1">
      <c r="A893" s="67">
        <f>HYPERLINK("https://polkadot.subsquare.io/treasury/child-bounties/501", 501)</f>
        <v>501</v>
      </c>
      <c r="B893" s="1">
        <v>24.0</v>
      </c>
      <c r="C893" s="1" t="s">
        <v>2414</v>
      </c>
      <c r="D893" s="1" t="s">
        <v>1785</v>
      </c>
      <c r="E893" s="5">
        <v>291.6587497625</v>
      </c>
      <c r="F893" s="4">
        <v>1537.2393685286352</v>
      </c>
      <c r="G893" s="1" t="s">
        <v>2433</v>
      </c>
      <c r="H893" s="95">
        <v>45255.0</v>
      </c>
      <c r="I893" s="95">
        <v>45263.0</v>
      </c>
      <c r="J893" s="4">
        <v>1762.5888767021795</v>
      </c>
      <c r="K893" s="1"/>
      <c r="L893" s="1"/>
      <c r="M893" s="1" t="str">
        <f>VLOOKUP(B893,Bounties!A:D,3,FALSE)</f>
        <v>Outreach</v>
      </c>
      <c r="N893" s="1" t="str">
        <f>VLOOKUP(B893,Bounties!A:D,4,FALSE)</f>
        <v>Community Building</v>
      </c>
      <c r="O893" s="1" t="str">
        <f t="shared" ref="O893:P893" si="897">IF(ISBLANK(K893),M893,K893)</f>
        <v>Outreach</v>
      </c>
      <c r="P893" s="1" t="str">
        <f t="shared" si="897"/>
        <v>Community Building</v>
      </c>
      <c r="Q893" s="61" t="str">
        <f t="shared" si="3"/>
        <v>2023</v>
      </c>
      <c r="R893" s="62">
        <f t="shared" si="4"/>
        <v>12</v>
      </c>
      <c r="S893" s="61" t="str">
        <f t="shared" si="5"/>
        <v>2023-Q4</v>
      </c>
      <c r="T893" s="63" t="str">
        <f t="shared" si="6"/>
        <v>2023-12</v>
      </c>
      <c r="U893" s="64" t="str">
        <f t="shared" si="7"/>
        <v>2023-H2</v>
      </c>
      <c r="V893" s="9" t="str">
        <f>VLOOKUP(B893,Bounties!A:E,2,FALSE)</f>
        <v>Moderation Team Bounty</v>
      </c>
    </row>
    <row r="894" hidden="1">
      <c r="A894" s="67">
        <f>HYPERLINK("https://polkadot.subsquare.io/treasury/child-bounties/500", 500)</f>
        <v>500</v>
      </c>
      <c r="B894" s="1">
        <v>24.0</v>
      </c>
      <c r="C894" s="1" t="s">
        <v>2414</v>
      </c>
      <c r="D894" s="1" t="s">
        <v>1784</v>
      </c>
      <c r="E894" s="5">
        <v>291.6587497625</v>
      </c>
      <c r="F894" s="4">
        <v>1537.2393685286352</v>
      </c>
      <c r="G894" s="1" t="s">
        <v>2534</v>
      </c>
      <c r="H894" s="95">
        <v>45255.0</v>
      </c>
      <c r="I894" s="95">
        <v>45263.0</v>
      </c>
      <c r="J894" s="4">
        <v>1762.5888767021795</v>
      </c>
      <c r="K894" s="1"/>
      <c r="L894" s="1"/>
      <c r="M894" s="1" t="str">
        <f>VLOOKUP(B894,Bounties!A:D,3,FALSE)</f>
        <v>Outreach</v>
      </c>
      <c r="N894" s="1" t="str">
        <f>VLOOKUP(B894,Bounties!A:D,4,FALSE)</f>
        <v>Community Building</v>
      </c>
      <c r="O894" s="1" t="str">
        <f t="shared" ref="O894:P894" si="898">IF(ISBLANK(K894),M894,K894)</f>
        <v>Outreach</v>
      </c>
      <c r="P894" s="1" t="str">
        <f t="shared" si="898"/>
        <v>Community Building</v>
      </c>
      <c r="Q894" s="61" t="str">
        <f t="shared" si="3"/>
        <v>2023</v>
      </c>
      <c r="R894" s="62">
        <f t="shared" si="4"/>
        <v>12</v>
      </c>
      <c r="S894" s="61" t="str">
        <f t="shared" si="5"/>
        <v>2023-Q4</v>
      </c>
      <c r="T894" s="63" t="str">
        <f t="shared" si="6"/>
        <v>2023-12</v>
      </c>
      <c r="U894" s="64" t="str">
        <f t="shared" si="7"/>
        <v>2023-H2</v>
      </c>
      <c r="V894" s="9" t="str">
        <f>VLOOKUP(B894,Bounties!A:E,2,FALSE)</f>
        <v>Moderation Team Bounty</v>
      </c>
    </row>
    <row r="895" hidden="1">
      <c r="A895" s="67">
        <f>HYPERLINK("https://polkadot.subsquare.io/treasury/child-bounties/499", 499)</f>
        <v>499</v>
      </c>
      <c r="B895" s="1">
        <v>19.0</v>
      </c>
      <c r="C895" s="1" t="s">
        <v>2414</v>
      </c>
      <c r="D895" s="1" t="s">
        <v>1783</v>
      </c>
      <c r="E895" s="5">
        <v>4174.0</v>
      </c>
      <c r="F895" s="4">
        <v>20408.309844970703</v>
      </c>
      <c r="G895" s="1" t="s">
        <v>2564</v>
      </c>
      <c r="H895" s="95">
        <v>45248.0</v>
      </c>
      <c r="I895" s="95">
        <v>45280.0</v>
      </c>
      <c r="J895" s="4">
        <v>33263.15674495697</v>
      </c>
      <c r="K895" s="1"/>
      <c r="L895" s="1"/>
      <c r="M895" s="1" t="str">
        <f>VLOOKUP(B895,Bounties!A:D,3,FALSE)</f>
        <v>Development</v>
      </c>
      <c r="N895" s="1" t="str">
        <f>VLOOKUP(B895,Bounties!A:D,4,FALSE)</f>
        <v>Smart Contracts</v>
      </c>
      <c r="O895" s="1" t="str">
        <f t="shared" ref="O895:P895" si="899">IF(ISBLANK(K895),M895,K895)</f>
        <v>Development</v>
      </c>
      <c r="P895" s="1" t="str">
        <f t="shared" si="899"/>
        <v>Smart Contracts</v>
      </c>
      <c r="Q895" s="61" t="str">
        <f t="shared" si="3"/>
        <v>2023</v>
      </c>
      <c r="R895" s="62">
        <f t="shared" si="4"/>
        <v>12</v>
      </c>
      <c r="S895" s="61" t="str">
        <f t="shared" si="5"/>
        <v>2023-Q4</v>
      </c>
      <c r="T895" s="63" t="str">
        <f t="shared" si="6"/>
        <v>2023-12</v>
      </c>
      <c r="U895" s="64" t="str">
        <f t="shared" si="7"/>
        <v>2023-H2</v>
      </c>
      <c r="V895" s="9" t="str">
        <f>VLOOKUP(B895,Bounties!A:E,2,FALSE)</f>
        <v>Wasm Smart Contracts Bounty</v>
      </c>
    </row>
    <row r="896" hidden="1">
      <c r="A896" s="67">
        <f>HYPERLINK("https://polkadot.subsquare.io/treasury/child-bounties/498", 498)</f>
        <v>498</v>
      </c>
      <c r="B896" s="1">
        <v>19.0</v>
      </c>
      <c r="C896" s="1" t="s">
        <v>2414</v>
      </c>
      <c r="D896" s="1" t="s">
        <v>1782</v>
      </c>
      <c r="E896" s="5">
        <v>1706.0</v>
      </c>
      <c r="F896" s="4">
        <v>9495.693592071533</v>
      </c>
      <c r="G896" s="1" t="s">
        <v>2677</v>
      </c>
      <c r="H896" s="95">
        <v>45242.0</v>
      </c>
      <c r="I896" s="95">
        <v>45250.0</v>
      </c>
      <c r="J896" s="4">
        <v>8757.98626613617</v>
      </c>
      <c r="K896" s="1"/>
      <c r="L896" s="1"/>
      <c r="M896" s="1" t="str">
        <f>VLOOKUP(B896,Bounties!A:D,3,FALSE)</f>
        <v>Development</v>
      </c>
      <c r="N896" s="1" t="str">
        <f>VLOOKUP(B896,Bounties!A:D,4,FALSE)</f>
        <v>Smart Contracts</v>
      </c>
      <c r="O896" s="1" t="str">
        <f t="shared" ref="O896:P896" si="900">IF(ISBLANK(K896),M896,K896)</f>
        <v>Development</v>
      </c>
      <c r="P896" s="1" t="str">
        <f t="shared" si="900"/>
        <v>Smart Contracts</v>
      </c>
      <c r="Q896" s="61" t="str">
        <f t="shared" si="3"/>
        <v>2023</v>
      </c>
      <c r="R896" s="62">
        <f t="shared" si="4"/>
        <v>11</v>
      </c>
      <c r="S896" s="61" t="str">
        <f t="shared" si="5"/>
        <v>2023-Q4</v>
      </c>
      <c r="T896" s="63" t="str">
        <f t="shared" si="6"/>
        <v>2023-11</v>
      </c>
      <c r="U896" s="64" t="str">
        <f t="shared" si="7"/>
        <v>2023-H2</v>
      </c>
      <c r="V896" s="9" t="str">
        <f>VLOOKUP(B896,Bounties!A:E,2,FALSE)</f>
        <v>Wasm Smart Contracts Bounty</v>
      </c>
    </row>
    <row r="897" hidden="1">
      <c r="A897" s="67">
        <f>HYPERLINK("https://polkadot.subsquare.io/treasury/child-bounties/497", 497)</f>
        <v>497</v>
      </c>
      <c r="B897" s="1">
        <v>11.0</v>
      </c>
      <c r="C897" s="1" t="s">
        <v>2414</v>
      </c>
      <c r="D897" s="1" t="s">
        <v>1781</v>
      </c>
      <c r="E897" s="5">
        <v>89.0868597</v>
      </c>
      <c r="F897" s="4">
        <v>425.23118600341303</v>
      </c>
      <c r="G897" s="1" t="s">
        <v>2437</v>
      </c>
      <c r="H897" s="95">
        <v>45233.0</v>
      </c>
      <c r="I897" s="95">
        <v>45241.0</v>
      </c>
      <c r="J897" s="4">
        <v>463.494596139177</v>
      </c>
      <c r="K897" s="1"/>
      <c r="L897" s="1"/>
      <c r="M897" s="1" t="str">
        <f>VLOOKUP(B897,Bounties!A:D,3,FALSE)</f>
        <v>Research</v>
      </c>
      <c r="N897" s="1" t="str">
        <f>VLOOKUP(B897,Bounties!A:D,4,FALSE)</f>
        <v>Anti-Scam</v>
      </c>
      <c r="O897" s="1" t="str">
        <f t="shared" ref="O897:P897" si="901">IF(ISBLANK(K897),M897,K897)</f>
        <v>Research</v>
      </c>
      <c r="P897" s="1" t="str">
        <f t="shared" si="901"/>
        <v>Anti-Scam</v>
      </c>
      <c r="Q897" s="61" t="str">
        <f t="shared" si="3"/>
        <v>2023</v>
      </c>
      <c r="R897" s="62">
        <f t="shared" si="4"/>
        <v>11</v>
      </c>
      <c r="S897" s="61" t="str">
        <f t="shared" si="5"/>
        <v>2023-Q4</v>
      </c>
      <c r="T897" s="63" t="str">
        <f t="shared" si="6"/>
        <v>2023-11</v>
      </c>
      <c r="U897" s="64" t="str">
        <f t="shared" si="7"/>
        <v>2023-H2</v>
      </c>
      <c r="V897" s="9" t="str">
        <f>VLOOKUP(B897,Bounties!A:E,2,FALSE)</f>
        <v>Anti-Scam Bounty</v>
      </c>
    </row>
    <row r="898" hidden="1">
      <c r="A898" s="67">
        <f>HYPERLINK("https://polkadot.subsquare.io/treasury/child-bounties/496", 496)</f>
        <v>496</v>
      </c>
      <c r="B898" s="1">
        <v>11.0</v>
      </c>
      <c r="C898" s="1" t="s">
        <v>2414</v>
      </c>
      <c r="D898" s="1" t="s">
        <v>1780</v>
      </c>
      <c r="E898" s="5">
        <v>89.0868597</v>
      </c>
      <c r="F898" s="4">
        <v>425.23118600341303</v>
      </c>
      <c r="G898" s="1" t="s">
        <v>2438</v>
      </c>
      <c r="H898" s="95">
        <v>45233.0</v>
      </c>
      <c r="I898" s="95">
        <v>45242.0</v>
      </c>
      <c r="J898" s="4">
        <v>495.86255732184395</v>
      </c>
      <c r="K898" s="1"/>
      <c r="L898" s="1"/>
      <c r="M898" s="1" t="str">
        <f>VLOOKUP(B898,Bounties!A:D,3,FALSE)</f>
        <v>Research</v>
      </c>
      <c r="N898" s="1" t="str">
        <f>VLOOKUP(B898,Bounties!A:D,4,FALSE)</f>
        <v>Anti-Scam</v>
      </c>
      <c r="O898" s="1" t="str">
        <f t="shared" ref="O898:P898" si="902">IF(ISBLANK(K898),M898,K898)</f>
        <v>Research</v>
      </c>
      <c r="P898" s="1" t="str">
        <f t="shared" si="902"/>
        <v>Anti-Scam</v>
      </c>
      <c r="Q898" s="61" t="str">
        <f t="shared" si="3"/>
        <v>2023</v>
      </c>
      <c r="R898" s="62">
        <f t="shared" si="4"/>
        <v>11</v>
      </c>
      <c r="S898" s="61" t="str">
        <f t="shared" si="5"/>
        <v>2023-Q4</v>
      </c>
      <c r="T898" s="63" t="str">
        <f t="shared" si="6"/>
        <v>2023-11</v>
      </c>
      <c r="U898" s="64" t="str">
        <f t="shared" si="7"/>
        <v>2023-H2</v>
      </c>
      <c r="V898" s="9" t="str">
        <f>VLOOKUP(B898,Bounties!A:E,2,FALSE)</f>
        <v>Anti-Scam Bounty</v>
      </c>
    </row>
    <row r="899" hidden="1">
      <c r="A899" s="67">
        <f>HYPERLINK("https://polkadot.subsquare.io/treasury/child-bounties/495", 495)</f>
        <v>495</v>
      </c>
      <c r="B899" s="1">
        <v>11.0</v>
      </c>
      <c r="C899" s="1" t="s">
        <v>2414</v>
      </c>
      <c r="D899" s="1" t="s">
        <v>1779</v>
      </c>
      <c r="E899" s="5">
        <v>89.0868597</v>
      </c>
      <c r="F899" s="4">
        <v>425.23118600341303</v>
      </c>
      <c r="G899" s="1" t="s">
        <v>2463</v>
      </c>
      <c r="H899" s="95">
        <v>45233.0</v>
      </c>
      <c r="I899" s="95">
        <v>45242.0</v>
      </c>
      <c r="J899" s="4">
        <v>463.494596139177</v>
      </c>
      <c r="K899" s="1"/>
      <c r="L899" s="1"/>
      <c r="M899" s="1" t="str">
        <f>VLOOKUP(B899,Bounties!A:D,3,FALSE)</f>
        <v>Research</v>
      </c>
      <c r="N899" s="1" t="str">
        <f>VLOOKUP(B899,Bounties!A:D,4,FALSE)</f>
        <v>Anti-Scam</v>
      </c>
      <c r="O899" s="1" t="str">
        <f t="shared" ref="O899:P899" si="903">IF(ISBLANK(K899),M899,K899)</f>
        <v>Research</v>
      </c>
      <c r="P899" s="1" t="str">
        <f t="shared" si="903"/>
        <v>Anti-Scam</v>
      </c>
      <c r="Q899" s="61" t="str">
        <f t="shared" si="3"/>
        <v>2023</v>
      </c>
      <c r="R899" s="62">
        <f t="shared" si="4"/>
        <v>11</v>
      </c>
      <c r="S899" s="61" t="str">
        <f t="shared" si="5"/>
        <v>2023-Q4</v>
      </c>
      <c r="T899" s="63" t="str">
        <f t="shared" si="6"/>
        <v>2023-11</v>
      </c>
      <c r="U899" s="64" t="str">
        <f t="shared" si="7"/>
        <v>2023-H2</v>
      </c>
      <c r="V899" s="9" t="str">
        <f>VLOOKUP(B899,Bounties!A:E,2,FALSE)</f>
        <v>Anti-Scam Bounty</v>
      </c>
    </row>
    <row r="900" hidden="1">
      <c r="A900" s="67">
        <f>HYPERLINK("https://polkadot.subsquare.io/treasury/child-bounties/494", 494)</f>
        <v>494</v>
      </c>
      <c r="B900" s="1">
        <v>11.0</v>
      </c>
      <c r="C900" s="1" t="s">
        <v>2414</v>
      </c>
      <c r="D900" s="1" t="s">
        <v>1778</v>
      </c>
      <c r="E900" s="5">
        <v>108.991825613</v>
      </c>
      <c r="F900" s="4">
        <v>511.2835107118813</v>
      </c>
      <c r="G900" s="1" t="s">
        <v>2437</v>
      </c>
      <c r="H900" s="95">
        <v>45232.0</v>
      </c>
      <c r="I900" s="95">
        <v>45240.0</v>
      </c>
      <c r="J900" s="4">
        <v>585.1082451007977</v>
      </c>
      <c r="K900" s="1"/>
      <c r="L900" s="1"/>
      <c r="M900" s="1" t="str">
        <f>VLOOKUP(B900,Bounties!A:D,3,FALSE)</f>
        <v>Research</v>
      </c>
      <c r="N900" s="1" t="str">
        <f>VLOOKUP(B900,Bounties!A:D,4,FALSE)</f>
        <v>Anti-Scam</v>
      </c>
      <c r="O900" s="1" t="str">
        <f t="shared" ref="O900:P900" si="904">IF(ISBLANK(K900),M900,K900)</f>
        <v>Research</v>
      </c>
      <c r="P900" s="1" t="str">
        <f t="shared" si="904"/>
        <v>Anti-Scam</v>
      </c>
      <c r="Q900" s="61" t="str">
        <f t="shared" si="3"/>
        <v>2023</v>
      </c>
      <c r="R900" s="62">
        <f t="shared" si="4"/>
        <v>11</v>
      </c>
      <c r="S900" s="61" t="str">
        <f t="shared" si="5"/>
        <v>2023-Q4</v>
      </c>
      <c r="T900" s="63" t="str">
        <f t="shared" si="6"/>
        <v>2023-11</v>
      </c>
      <c r="U900" s="64" t="str">
        <f t="shared" si="7"/>
        <v>2023-H2</v>
      </c>
      <c r="V900" s="9" t="str">
        <f>VLOOKUP(B900,Bounties!A:E,2,FALSE)</f>
        <v>Anti-Scam Bounty</v>
      </c>
    </row>
    <row r="901" hidden="1">
      <c r="A901" s="67">
        <f>HYPERLINK("https://polkadot.subsquare.io/treasury/child-bounties/493", 493)</f>
        <v>493</v>
      </c>
      <c r="B901" s="1">
        <v>11.0</v>
      </c>
      <c r="C901" s="1" t="s">
        <v>2414</v>
      </c>
      <c r="D901" s="1" t="s">
        <v>1777</v>
      </c>
      <c r="E901" s="5">
        <v>174.8410535876</v>
      </c>
      <c r="F901" s="4">
        <v>806.9777943455632</v>
      </c>
      <c r="G901" s="1" t="s">
        <v>2437</v>
      </c>
      <c r="H901" s="95">
        <v>45231.0</v>
      </c>
      <c r="I901" s="95">
        <v>45239.0</v>
      </c>
      <c r="J901" s="4">
        <v>997.9735072581028</v>
      </c>
      <c r="K901" s="1"/>
      <c r="L901" s="1"/>
      <c r="M901" s="1" t="str">
        <f>VLOOKUP(B901,Bounties!A:D,3,FALSE)</f>
        <v>Research</v>
      </c>
      <c r="N901" s="1" t="str">
        <f>VLOOKUP(B901,Bounties!A:D,4,FALSE)</f>
        <v>Anti-Scam</v>
      </c>
      <c r="O901" s="1" t="str">
        <f t="shared" ref="O901:P901" si="905">IF(ISBLANK(K901),M901,K901)</f>
        <v>Research</v>
      </c>
      <c r="P901" s="1" t="str">
        <f t="shared" si="905"/>
        <v>Anti-Scam</v>
      </c>
      <c r="Q901" s="61" t="str">
        <f t="shared" si="3"/>
        <v>2023</v>
      </c>
      <c r="R901" s="62">
        <f t="shared" si="4"/>
        <v>11</v>
      </c>
      <c r="S901" s="61" t="str">
        <f t="shared" si="5"/>
        <v>2023-Q4</v>
      </c>
      <c r="T901" s="63" t="str">
        <f t="shared" si="6"/>
        <v>2023-11</v>
      </c>
      <c r="U901" s="64" t="str">
        <f t="shared" si="7"/>
        <v>2023-H2</v>
      </c>
      <c r="V901" s="9" t="str">
        <f>VLOOKUP(B901,Bounties!A:E,2,FALSE)</f>
        <v>Anti-Scam Bounty</v>
      </c>
    </row>
    <row r="902" hidden="1">
      <c r="A902" s="67">
        <f>HYPERLINK("https://polkadot.subsquare.io/treasury/child-bounties/492", 492)</f>
        <v>492</v>
      </c>
      <c r="B902" s="1">
        <v>11.0</v>
      </c>
      <c r="C902" s="1" t="s">
        <v>2414</v>
      </c>
      <c r="D902" s="1" t="s">
        <v>1776</v>
      </c>
      <c r="E902" s="5">
        <v>1636.5611072015</v>
      </c>
      <c r="F902" s="4">
        <v>7553.537601736708</v>
      </c>
      <c r="G902" s="1" t="s">
        <v>2438</v>
      </c>
      <c r="H902" s="95">
        <v>45231.0</v>
      </c>
      <c r="I902" s="95">
        <v>45240.0</v>
      </c>
      <c r="J902" s="4">
        <v>8785.662521471468</v>
      </c>
      <c r="K902" s="1"/>
      <c r="L902" s="1"/>
      <c r="M902" s="1" t="str">
        <f>VLOOKUP(B902,Bounties!A:D,3,FALSE)</f>
        <v>Research</v>
      </c>
      <c r="N902" s="1" t="str">
        <f>VLOOKUP(B902,Bounties!A:D,4,FALSE)</f>
        <v>Anti-Scam</v>
      </c>
      <c r="O902" s="1" t="str">
        <f t="shared" ref="O902:P902" si="906">IF(ISBLANK(K902),M902,K902)</f>
        <v>Research</v>
      </c>
      <c r="P902" s="1" t="str">
        <f t="shared" si="906"/>
        <v>Anti-Scam</v>
      </c>
      <c r="Q902" s="61" t="str">
        <f t="shared" si="3"/>
        <v>2023</v>
      </c>
      <c r="R902" s="62">
        <f t="shared" si="4"/>
        <v>11</v>
      </c>
      <c r="S902" s="61" t="str">
        <f t="shared" si="5"/>
        <v>2023-Q4</v>
      </c>
      <c r="T902" s="63" t="str">
        <f t="shared" si="6"/>
        <v>2023-11</v>
      </c>
      <c r="U902" s="64" t="str">
        <f t="shared" si="7"/>
        <v>2023-H2</v>
      </c>
      <c r="V902" s="9" t="str">
        <f>VLOOKUP(B902,Bounties!A:E,2,FALSE)</f>
        <v>Anti-Scam Bounty</v>
      </c>
    </row>
    <row r="903" hidden="1">
      <c r="A903" s="67">
        <f>HYPERLINK("https://polkadot.subsquare.io/treasury/child-bounties/491", 491)</f>
        <v>491</v>
      </c>
      <c r="B903" s="1">
        <v>11.0</v>
      </c>
      <c r="C903" s="1" t="s">
        <v>2414</v>
      </c>
      <c r="D903" s="1" t="s">
        <v>1775</v>
      </c>
      <c r="E903" s="5">
        <v>996.8707482993</v>
      </c>
      <c r="F903" s="4">
        <v>4601.050732670907</v>
      </c>
      <c r="G903" s="1" t="s">
        <v>2437</v>
      </c>
      <c r="H903" s="95">
        <v>45231.0</v>
      </c>
      <c r="I903" s="95">
        <v>45239.0</v>
      </c>
      <c r="J903" s="4">
        <v>5690.028609126491</v>
      </c>
      <c r="K903" s="1"/>
      <c r="L903" s="1"/>
      <c r="M903" s="1" t="str">
        <f>VLOOKUP(B903,Bounties!A:D,3,FALSE)</f>
        <v>Research</v>
      </c>
      <c r="N903" s="1" t="str">
        <f>VLOOKUP(B903,Bounties!A:D,4,FALSE)</f>
        <v>Anti-Scam</v>
      </c>
      <c r="O903" s="1" t="str">
        <f t="shared" ref="O903:P903" si="907">IF(ISBLANK(K903),M903,K903)</f>
        <v>Research</v>
      </c>
      <c r="P903" s="1" t="str">
        <f t="shared" si="907"/>
        <v>Anti-Scam</v>
      </c>
      <c r="Q903" s="61" t="str">
        <f t="shared" si="3"/>
        <v>2023</v>
      </c>
      <c r="R903" s="62">
        <f t="shared" si="4"/>
        <v>11</v>
      </c>
      <c r="S903" s="61" t="str">
        <f t="shared" si="5"/>
        <v>2023-Q4</v>
      </c>
      <c r="T903" s="63" t="str">
        <f t="shared" si="6"/>
        <v>2023-11</v>
      </c>
      <c r="U903" s="64" t="str">
        <f t="shared" si="7"/>
        <v>2023-H2</v>
      </c>
      <c r="V903" s="9" t="str">
        <f>VLOOKUP(B903,Bounties!A:E,2,FALSE)</f>
        <v>Anti-Scam Bounty</v>
      </c>
    </row>
    <row r="904" hidden="1">
      <c r="A904" s="67">
        <f>HYPERLINK("https://polkadot.subsquare.io/treasury/child-bounties/490", 490)</f>
        <v>490</v>
      </c>
      <c r="B904" s="1">
        <v>11.0</v>
      </c>
      <c r="C904" s="1" t="s">
        <v>2414</v>
      </c>
      <c r="D904" s="1" t="s">
        <v>1774</v>
      </c>
      <c r="E904" s="5">
        <v>465.8831808586</v>
      </c>
      <c r="F904" s="4">
        <v>2150.280920857089</v>
      </c>
      <c r="G904" s="1" t="s">
        <v>2463</v>
      </c>
      <c r="H904" s="95">
        <v>45231.0</v>
      </c>
      <c r="I904" s="95">
        <v>45242.0</v>
      </c>
      <c r="J904" s="4">
        <v>2423.8629298108704</v>
      </c>
      <c r="K904" s="1"/>
      <c r="L904" s="1"/>
      <c r="M904" s="1" t="str">
        <f>VLOOKUP(B904,Bounties!A:D,3,FALSE)</f>
        <v>Research</v>
      </c>
      <c r="N904" s="1" t="str">
        <f>VLOOKUP(B904,Bounties!A:D,4,FALSE)</f>
        <v>Anti-Scam</v>
      </c>
      <c r="O904" s="1" t="str">
        <f t="shared" ref="O904:P904" si="908">IF(ISBLANK(K904),M904,K904)</f>
        <v>Research</v>
      </c>
      <c r="P904" s="1" t="str">
        <f t="shared" si="908"/>
        <v>Anti-Scam</v>
      </c>
      <c r="Q904" s="61" t="str">
        <f t="shared" si="3"/>
        <v>2023</v>
      </c>
      <c r="R904" s="62">
        <f t="shared" si="4"/>
        <v>11</v>
      </c>
      <c r="S904" s="61" t="str">
        <f t="shared" si="5"/>
        <v>2023-Q4</v>
      </c>
      <c r="T904" s="63" t="str">
        <f t="shared" si="6"/>
        <v>2023-11</v>
      </c>
      <c r="U904" s="64" t="str">
        <f t="shared" si="7"/>
        <v>2023-H2</v>
      </c>
      <c r="V904" s="9" t="str">
        <f>VLOOKUP(B904,Bounties!A:E,2,FALSE)</f>
        <v>Anti-Scam Bounty</v>
      </c>
    </row>
    <row r="905" hidden="1">
      <c r="A905" s="67">
        <f>HYPERLINK("https://polkadot.subsquare.io/treasury/child-bounties/489", 489)</f>
        <v>489</v>
      </c>
      <c r="B905" s="1">
        <v>11.0</v>
      </c>
      <c r="C905" s="1" t="s">
        <v>2414</v>
      </c>
      <c r="D905" s="1" t="s">
        <v>1773</v>
      </c>
      <c r="E905" s="5">
        <v>117.2882946282</v>
      </c>
      <c r="F905" s="4">
        <v>541.3433936680995</v>
      </c>
      <c r="G905" s="1" t="s">
        <v>2526</v>
      </c>
      <c r="H905" s="95">
        <v>45230.0</v>
      </c>
      <c r="I905" s="95">
        <v>45242.0</v>
      </c>
      <c r="J905" s="4">
        <v>610.2189585940738</v>
      </c>
      <c r="K905" s="1"/>
      <c r="L905" s="1"/>
      <c r="M905" s="1" t="str">
        <f>VLOOKUP(B905,Bounties!A:D,3,FALSE)</f>
        <v>Research</v>
      </c>
      <c r="N905" s="1" t="str">
        <f>VLOOKUP(B905,Bounties!A:D,4,FALSE)</f>
        <v>Anti-Scam</v>
      </c>
      <c r="O905" s="1" t="str">
        <f t="shared" ref="O905:P905" si="909">IF(ISBLANK(K905),M905,K905)</f>
        <v>Research</v>
      </c>
      <c r="P905" s="1" t="str">
        <f t="shared" si="909"/>
        <v>Anti-Scam</v>
      </c>
      <c r="Q905" s="61" t="str">
        <f t="shared" si="3"/>
        <v>2023</v>
      </c>
      <c r="R905" s="62">
        <f t="shared" si="4"/>
        <v>11</v>
      </c>
      <c r="S905" s="61" t="str">
        <f t="shared" si="5"/>
        <v>2023-Q4</v>
      </c>
      <c r="T905" s="63" t="str">
        <f t="shared" si="6"/>
        <v>2023-11</v>
      </c>
      <c r="U905" s="64" t="str">
        <f t="shared" si="7"/>
        <v>2023-H2</v>
      </c>
      <c r="V905" s="9" t="str">
        <f>VLOOKUP(B905,Bounties!A:E,2,FALSE)</f>
        <v>Anti-Scam Bounty</v>
      </c>
    </row>
    <row r="906" hidden="1">
      <c r="A906" s="67">
        <f>HYPERLINK("https://polkadot.subsquare.io/treasury/child-bounties/488", 488)</f>
        <v>488</v>
      </c>
      <c r="B906" s="1">
        <v>11.0</v>
      </c>
      <c r="C906" s="1" t="s">
        <v>2414</v>
      </c>
      <c r="D906" s="1" t="s">
        <v>1772</v>
      </c>
      <c r="E906" s="5">
        <v>140.7459535538</v>
      </c>
      <c r="F906" s="4">
        <v>649.6120724015348</v>
      </c>
      <c r="G906" s="1" t="s">
        <v>2531</v>
      </c>
      <c r="H906" s="95">
        <v>45230.0</v>
      </c>
      <c r="I906" s="95">
        <v>45241.0</v>
      </c>
      <c r="J906" s="4">
        <v>755.5760941312265</v>
      </c>
      <c r="K906" s="1"/>
      <c r="L906" s="1"/>
      <c r="M906" s="1" t="str">
        <f>VLOOKUP(B906,Bounties!A:D,3,FALSE)</f>
        <v>Research</v>
      </c>
      <c r="N906" s="1" t="str">
        <f>VLOOKUP(B906,Bounties!A:D,4,FALSE)</f>
        <v>Anti-Scam</v>
      </c>
      <c r="O906" s="1" t="str">
        <f t="shared" ref="O906:P906" si="910">IF(ISBLANK(K906),M906,K906)</f>
        <v>Research</v>
      </c>
      <c r="P906" s="1" t="str">
        <f t="shared" si="910"/>
        <v>Anti-Scam</v>
      </c>
      <c r="Q906" s="61" t="str">
        <f t="shared" si="3"/>
        <v>2023</v>
      </c>
      <c r="R906" s="62">
        <f t="shared" si="4"/>
        <v>11</v>
      </c>
      <c r="S906" s="61" t="str">
        <f t="shared" si="5"/>
        <v>2023-Q4</v>
      </c>
      <c r="T906" s="63" t="str">
        <f t="shared" si="6"/>
        <v>2023-11</v>
      </c>
      <c r="U906" s="64" t="str">
        <f t="shared" si="7"/>
        <v>2023-H2</v>
      </c>
      <c r="V906" s="9" t="str">
        <f>VLOOKUP(B906,Bounties!A:E,2,FALSE)</f>
        <v>Anti-Scam Bounty</v>
      </c>
    </row>
    <row r="907" hidden="1">
      <c r="A907" s="67">
        <f>HYPERLINK("https://polkadot.subsquare.io/treasury/child-bounties/487", 487)</f>
        <v>487</v>
      </c>
      <c r="B907" s="1">
        <v>11.0</v>
      </c>
      <c r="C907" s="1" t="s">
        <v>2414</v>
      </c>
      <c r="D907" s="1" t="s">
        <v>1771</v>
      </c>
      <c r="E907" s="5">
        <v>8.4400656814</v>
      </c>
      <c r="F907" s="4">
        <v>38.95507060814748</v>
      </c>
      <c r="G907" s="1" t="s">
        <v>2524</v>
      </c>
      <c r="H907" s="95">
        <v>45230.0</v>
      </c>
      <c r="I907" s="95">
        <v>45242.0</v>
      </c>
      <c r="J907" s="4">
        <v>43.91135626019401</v>
      </c>
      <c r="K907" s="1"/>
      <c r="L907" s="1"/>
      <c r="M907" s="1" t="str">
        <f>VLOOKUP(B907,Bounties!A:D,3,FALSE)</f>
        <v>Research</v>
      </c>
      <c r="N907" s="1" t="str">
        <f>VLOOKUP(B907,Bounties!A:D,4,FALSE)</f>
        <v>Anti-Scam</v>
      </c>
      <c r="O907" s="1" t="str">
        <f t="shared" ref="O907:P907" si="911">IF(ISBLANK(K907),M907,K907)</f>
        <v>Research</v>
      </c>
      <c r="P907" s="1" t="str">
        <f t="shared" si="911"/>
        <v>Anti-Scam</v>
      </c>
      <c r="Q907" s="61" t="str">
        <f t="shared" si="3"/>
        <v>2023</v>
      </c>
      <c r="R907" s="62">
        <f t="shared" si="4"/>
        <v>11</v>
      </c>
      <c r="S907" s="61" t="str">
        <f t="shared" si="5"/>
        <v>2023-Q4</v>
      </c>
      <c r="T907" s="63" t="str">
        <f t="shared" si="6"/>
        <v>2023-11</v>
      </c>
      <c r="U907" s="64" t="str">
        <f t="shared" si="7"/>
        <v>2023-H2</v>
      </c>
      <c r="V907" s="9" t="str">
        <f>VLOOKUP(B907,Bounties!A:E,2,FALSE)</f>
        <v>Anti-Scam Bounty</v>
      </c>
    </row>
    <row r="908" hidden="1">
      <c r="A908" s="67">
        <f>HYPERLINK("https://polkadot.subsquare.io/treasury/child-bounties/486", 486)</f>
        <v>486</v>
      </c>
      <c r="B908" s="1">
        <v>11.0</v>
      </c>
      <c r="C908" s="1" t="s">
        <v>2414</v>
      </c>
      <c r="D908" s="1" t="s">
        <v>1770</v>
      </c>
      <c r="E908" s="5">
        <v>117.2882946282</v>
      </c>
      <c r="F908" s="4">
        <v>541.3433936680995</v>
      </c>
      <c r="G908" s="1" t="s">
        <v>2433</v>
      </c>
      <c r="H908" s="95">
        <v>45230.0</v>
      </c>
      <c r="I908" s="95">
        <v>45239.0</v>
      </c>
      <c r="J908" s="4">
        <v>669.4686879805435</v>
      </c>
      <c r="K908" s="1"/>
      <c r="L908" s="1"/>
      <c r="M908" s="1" t="str">
        <f>VLOOKUP(B908,Bounties!A:D,3,FALSE)</f>
        <v>Research</v>
      </c>
      <c r="N908" s="1" t="str">
        <f>VLOOKUP(B908,Bounties!A:D,4,FALSE)</f>
        <v>Anti-Scam</v>
      </c>
      <c r="O908" s="1" t="str">
        <f t="shared" ref="O908:P908" si="912">IF(ISBLANK(K908),M908,K908)</f>
        <v>Research</v>
      </c>
      <c r="P908" s="1" t="str">
        <f t="shared" si="912"/>
        <v>Anti-Scam</v>
      </c>
      <c r="Q908" s="61" t="str">
        <f t="shared" si="3"/>
        <v>2023</v>
      </c>
      <c r="R908" s="62">
        <f t="shared" si="4"/>
        <v>11</v>
      </c>
      <c r="S908" s="61" t="str">
        <f t="shared" si="5"/>
        <v>2023-Q4</v>
      </c>
      <c r="T908" s="63" t="str">
        <f t="shared" si="6"/>
        <v>2023-11</v>
      </c>
      <c r="U908" s="64" t="str">
        <f t="shared" si="7"/>
        <v>2023-H2</v>
      </c>
      <c r="V908" s="9" t="str">
        <f>VLOOKUP(B908,Bounties!A:E,2,FALSE)</f>
        <v>Anti-Scam Bounty</v>
      </c>
    </row>
    <row r="909" hidden="1">
      <c r="A909" s="67">
        <f>HYPERLINK("https://polkadot.subsquare.io/treasury/child-bounties/485", 485)</f>
        <v>485</v>
      </c>
      <c r="B909" s="1">
        <v>11.0</v>
      </c>
      <c r="C909" s="1" t="s">
        <v>2414</v>
      </c>
      <c r="D909" s="1" t="s">
        <v>1769</v>
      </c>
      <c r="E909" s="5">
        <v>337.7902885292</v>
      </c>
      <c r="F909" s="4">
        <v>1559.0689737640525</v>
      </c>
      <c r="G909" s="1" t="s">
        <v>2438</v>
      </c>
      <c r="H909" s="95">
        <v>45230.0</v>
      </c>
      <c r="I909" s="95">
        <v>45240.0</v>
      </c>
      <c r="J909" s="4">
        <v>1813.3826259153727</v>
      </c>
      <c r="K909" s="1"/>
      <c r="L909" s="1"/>
      <c r="M909" s="1" t="str">
        <f>VLOOKUP(B909,Bounties!A:D,3,FALSE)</f>
        <v>Research</v>
      </c>
      <c r="N909" s="1" t="str">
        <f>VLOOKUP(B909,Bounties!A:D,4,FALSE)</f>
        <v>Anti-Scam</v>
      </c>
      <c r="O909" s="1" t="str">
        <f t="shared" ref="O909:P909" si="913">IF(ISBLANK(K909),M909,K909)</f>
        <v>Research</v>
      </c>
      <c r="P909" s="1" t="str">
        <f t="shared" si="913"/>
        <v>Anti-Scam</v>
      </c>
      <c r="Q909" s="61" t="str">
        <f t="shared" si="3"/>
        <v>2023</v>
      </c>
      <c r="R909" s="62">
        <f t="shared" si="4"/>
        <v>11</v>
      </c>
      <c r="S909" s="61" t="str">
        <f t="shared" si="5"/>
        <v>2023-Q4</v>
      </c>
      <c r="T909" s="63" t="str">
        <f t="shared" si="6"/>
        <v>2023-11</v>
      </c>
      <c r="U909" s="64" t="str">
        <f t="shared" si="7"/>
        <v>2023-H2</v>
      </c>
      <c r="V909" s="9" t="str">
        <f>VLOOKUP(B909,Bounties!A:E,2,FALSE)</f>
        <v>Anti-Scam Bounty</v>
      </c>
    </row>
    <row r="910" hidden="1">
      <c r="A910" s="67">
        <f>HYPERLINK("https://polkadot.subsquare.io/treasury/child-bounties/484", 484)</f>
        <v>484</v>
      </c>
      <c r="B910" s="1">
        <v>11.0</v>
      </c>
      <c r="C910" s="1" t="s">
        <v>2414</v>
      </c>
      <c r="D910" s="1" t="s">
        <v>1768</v>
      </c>
      <c r="E910" s="5">
        <v>168.8951442646</v>
      </c>
      <c r="F910" s="4">
        <v>779.5344868820263</v>
      </c>
      <c r="G910" s="1" t="s">
        <v>2463</v>
      </c>
      <c r="H910" s="95">
        <v>45230.0</v>
      </c>
      <c r="I910" s="95">
        <v>45242.0</v>
      </c>
      <c r="J910" s="4">
        <v>878.7153003754246</v>
      </c>
      <c r="K910" s="1"/>
      <c r="L910" s="1"/>
      <c r="M910" s="1" t="str">
        <f>VLOOKUP(B910,Bounties!A:D,3,FALSE)</f>
        <v>Research</v>
      </c>
      <c r="N910" s="1" t="str">
        <f>VLOOKUP(B910,Bounties!A:D,4,FALSE)</f>
        <v>Anti-Scam</v>
      </c>
      <c r="O910" s="1" t="str">
        <f t="shared" ref="O910:P910" si="914">IF(ISBLANK(K910),M910,K910)</f>
        <v>Research</v>
      </c>
      <c r="P910" s="1" t="str">
        <f t="shared" si="914"/>
        <v>Anti-Scam</v>
      </c>
      <c r="Q910" s="61" t="str">
        <f t="shared" si="3"/>
        <v>2023</v>
      </c>
      <c r="R910" s="62">
        <f t="shared" si="4"/>
        <v>11</v>
      </c>
      <c r="S910" s="61" t="str">
        <f t="shared" si="5"/>
        <v>2023-Q4</v>
      </c>
      <c r="T910" s="63" t="str">
        <f t="shared" si="6"/>
        <v>2023-11</v>
      </c>
      <c r="U910" s="64" t="str">
        <f t="shared" si="7"/>
        <v>2023-H2</v>
      </c>
      <c r="V910" s="9" t="str">
        <f>VLOOKUP(B910,Bounties!A:E,2,FALSE)</f>
        <v>Anti-Scam Bounty</v>
      </c>
    </row>
    <row r="911" hidden="1">
      <c r="A911" s="67">
        <f>HYPERLINK("https://polkadot.subsquare.io/treasury/child-bounties/483", 483)</f>
        <v>483</v>
      </c>
      <c r="B911" s="1">
        <v>19.0</v>
      </c>
      <c r="C911" s="1" t="s">
        <v>2414</v>
      </c>
      <c r="D911" s="1" t="s">
        <v>1767</v>
      </c>
      <c r="E911" s="5">
        <v>20581.0</v>
      </c>
      <c r="F911" s="4">
        <v>94991.47737121582</v>
      </c>
      <c r="G911" s="1" t="s">
        <v>2617</v>
      </c>
      <c r="H911" s="95">
        <v>45230.0</v>
      </c>
      <c r="I911" s="95">
        <v>45238.0</v>
      </c>
      <c r="J911" s="4">
        <v>114289.68802022934</v>
      </c>
      <c r="K911" s="1"/>
      <c r="L911" s="1"/>
      <c r="M911" s="1" t="str">
        <f>VLOOKUP(B911,Bounties!A:D,3,FALSE)</f>
        <v>Development</v>
      </c>
      <c r="N911" s="1" t="str">
        <f>VLOOKUP(B911,Bounties!A:D,4,FALSE)</f>
        <v>Smart Contracts</v>
      </c>
      <c r="O911" s="1" t="str">
        <f t="shared" ref="O911:P911" si="915">IF(ISBLANK(K911),M911,K911)</f>
        <v>Development</v>
      </c>
      <c r="P911" s="1" t="str">
        <f t="shared" si="915"/>
        <v>Smart Contracts</v>
      </c>
      <c r="Q911" s="61" t="str">
        <f t="shared" si="3"/>
        <v>2023</v>
      </c>
      <c r="R911" s="62">
        <f t="shared" si="4"/>
        <v>11</v>
      </c>
      <c r="S911" s="61" t="str">
        <f t="shared" si="5"/>
        <v>2023-Q4</v>
      </c>
      <c r="T911" s="63" t="str">
        <f t="shared" si="6"/>
        <v>2023-11</v>
      </c>
      <c r="U911" s="64" t="str">
        <f t="shared" si="7"/>
        <v>2023-H2</v>
      </c>
      <c r="V911" s="9" t="str">
        <f>VLOOKUP(B911,Bounties!A:E,2,FALSE)</f>
        <v>Wasm Smart Contracts Bounty</v>
      </c>
    </row>
    <row r="912" hidden="1">
      <c r="A912" s="67">
        <f>HYPERLINK("https://polkadot.subsquare.io/treasury/child-bounties/482", 482)</f>
        <v>482</v>
      </c>
      <c r="B912" s="1">
        <v>11.0</v>
      </c>
      <c r="C912" s="1" t="s">
        <v>2414</v>
      </c>
      <c r="D912" s="1" t="s">
        <v>1766</v>
      </c>
      <c r="E912" s="5">
        <v>10.0117288295</v>
      </c>
      <c r="F912" s="4">
        <v>46.20907208367904</v>
      </c>
      <c r="G912" s="1" t="s">
        <v>2438</v>
      </c>
      <c r="H912" s="95">
        <v>45230.0</v>
      </c>
      <c r="I912" s="95">
        <v>45240.0</v>
      </c>
      <c r="J912" s="4">
        <v>53.746646162747666</v>
      </c>
      <c r="K912" s="1"/>
      <c r="L912" s="1"/>
      <c r="M912" s="1" t="str">
        <f>VLOOKUP(B912,Bounties!A:D,3,FALSE)</f>
        <v>Research</v>
      </c>
      <c r="N912" s="1" t="str">
        <f>VLOOKUP(B912,Bounties!A:D,4,FALSE)</f>
        <v>Anti-Scam</v>
      </c>
      <c r="O912" s="1" t="str">
        <f t="shared" ref="O912:P912" si="916">IF(ISBLANK(K912),M912,K912)</f>
        <v>Research</v>
      </c>
      <c r="P912" s="1" t="str">
        <f t="shared" si="916"/>
        <v>Anti-Scam</v>
      </c>
      <c r="Q912" s="61" t="str">
        <f t="shared" si="3"/>
        <v>2023</v>
      </c>
      <c r="R912" s="62">
        <f t="shared" si="4"/>
        <v>11</v>
      </c>
      <c r="S912" s="61" t="str">
        <f t="shared" si="5"/>
        <v>2023-Q4</v>
      </c>
      <c r="T912" s="63" t="str">
        <f t="shared" si="6"/>
        <v>2023-11</v>
      </c>
      <c r="U912" s="64" t="str">
        <f t="shared" si="7"/>
        <v>2023-H2</v>
      </c>
      <c r="V912" s="9" t="str">
        <f>VLOOKUP(B912,Bounties!A:E,2,FALSE)</f>
        <v>Anti-Scam Bounty</v>
      </c>
    </row>
    <row r="913" hidden="1">
      <c r="A913" s="67">
        <f>HYPERLINK("https://polkadot.subsquare.io/treasury/child-bounties/481", 481)</f>
        <v>481</v>
      </c>
      <c r="B913" s="1">
        <v>11.0</v>
      </c>
      <c r="C913" s="1" t="s">
        <v>2414</v>
      </c>
      <c r="D913" s="1" t="s">
        <v>1765</v>
      </c>
      <c r="E913" s="5">
        <v>117.2882946282</v>
      </c>
      <c r="F913" s="4">
        <v>541.3433936680995</v>
      </c>
      <c r="G913" s="1" t="s">
        <v>2534</v>
      </c>
      <c r="H913" s="95">
        <v>45230.0</v>
      </c>
      <c r="I913" s="95">
        <v>45238.0</v>
      </c>
      <c r="J913" s="4">
        <v>651.3212478247763</v>
      </c>
      <c r="K913" s="1"/>
      <c r="L913" s="1"/>
      <c r="M913" s="1" t="str">
        <f>VLOOKUP(B913,Bounties!A:D,3,FALSE)</f>
        <v>Research</v>
      </c>
      <c r="N913" s="1" t="str">
        <f>VLOOKUP(B913,Bounties!A:D,4,FALSE)</f>
        <v>Anti-Scam</v>
      </c>
      <c r="O913" s="1" t="str">
        <f t="shared" ref="O913:P913" si="917">IF(ISBLANK(K913),M913,K913)</f>
        <v>Research</v>
      </c>
      <c r="P913" s="1" t="str">
        <f t="shared" si="917"/>
        <v>Anti-Scam</v>
      </c>
      <c r="Q913" s="61" t="str">
        <f t="shared" si="3"/>
        <v>2023</v>
      </c>
      <c r="R913" s="62">
        <f t="shared" si="4"/>
        <v>11</v>
      </c>
      <c r="S913" s="61" t="str">
        <f t="shared" si="5"/>
        <v>2023-Q4</v>
      </c>
      <c r="T913" s="63" t="str">
        <f t="shared" si="6"/>
        <v>2023-11</v>
      </c>
      <c r="U913" s="64" t="str">
        <f t="shared" si="7"/>
        <v>2023-H2</v>
      </c>
      <c r="V913" s="9" t="str">
        <f>VLOOKUP(B913,Bounties!A:E,2,FALSE)</f>
        <v>Anti-Scam Bounty</v>
      </c>
    </row>
    <row r="914" hidden="1">
      <c r="A914" s="67">
        <f>HYPERLINK("https://polkadot.subsquare.io/treasury/child-bounties/480", 480)</f>
        <v>480</v>
      </c>
      <c r="B914" s="1">
        <v>11.0</v>
      </c>
      <c r="C914" s="1" t="s">
        <v>2414</v>
      </c>
      <c r="D914" s="1" t="s">
        <v>1764</v>
      </c>
      <c r="E914" s="5">
        <v>394.0886699507</v>
      </c>
      <c r="F914" s="4">
        <v>1818.9138027245742</v>
      </c>
      <c r="G914" s="1" t="s">
        <v>2437</v>
      </c>
      <c r="H914" s="95">
        <v>45230.0</v>
      </c>
      <c r="I914" s="95">
        <v>45238.0</v>
      </c>
      <c r="J914" s="4">
        <v>2188.4393926909593</v>
      </c>
      <c r="K914" s="1"/>
      <c r="L914" s="1"/>
      <c r="M914" s="1" t="str">
        <f>VLOOKUP(B914,Bounties!A:D,3,FALSE)</f>
        <v>Research</v>
      </c>
      <c r="N914" s="1" t="str">
        <f>VLOOKUP(B914,Bounties!A:D,4,FALSE)</f>
        <v>Anti-Scam</v>
      </c>
      <c r="O914" s="1" t="str">
        <f t="shared" ref="O914:P914" si="918">IF(ISBLANK(K914),M914,K914)</f>
        <v>Research</v>
      </c>
      <c r="P914" s="1" t="str">
        <f t="shared" si="918"/>
        <v>Anti-Scam</v>
      </c>
      <c r="Q914" s="61" t="str">
        <f t="shared" si="3"/>
        <v>2023</v>
      </c>
      <c r="R914" s="62">
        <f t="shared" si="4"/>
        <v>11</v>
      </c>
      <c r="S914" s="61" t="str">
        <f t="shared" si="5"/>
        <v>2023-Q4</v>
      </c>
      <c r="T914" s="63" t="str">
        <f t="shared" si="6"/>
        <v>2023-11</v>
      </c>
      <c r="U914" s="64" t="str">
        <f t="shared" si="7"/>
        <v>2023-H2</v>
      </c>
      <c r="V914" s="9" t="str">
        <f>VLOOKUP(B914,Bounties!A:E,2,FALSE)</f>
        <v>Anti-Scam Bounty</v>
      </c>
    </row>
    <row r="915" hidden="1">
      <c r="A915" s="67">
        <f>HYPERLINK("https://polkadot.subsquare.io/treasury/child-bounties/479", 479)</f>
        <v>479</v>
      </c>
      <c r="B915" s="1">
        <v>11.0</v>
      </c>
      <c r="C915" s="1" t="s">
        <v>2414</v>
      </c>
      <c r="D915" s="1" t="s">
        <v>1763</v>
      </c>
      <c r="E915" s="5">
        <v>337.7902885292</v>
      </c>
      <c r="F915" s="4">
        <v>1559.0689737640525</v>
      </c>
      <c r="G915" s="1" t="s">
        <v>2534</v>
      </c>
      <c r="H915" s="95">
        <v>45230.0</v>
      </c>
      <c r="I915" s="95">
        <v>45238.0</v>
      </c>
      <c r="J915" s="4">
        <v>1875.8051937352666</v>
      </c>
      <c r="K915" s="1"/>
      <c r="L915" s="1"/>
      <c r="M915" s="1" t="str">
        <f>VLOOKUP(B915,Bounties!A:D,3,FALSE)</f>
        <v>Research</v>
      </c>
      <c r="N915" s="1" t="str">
        <f>VLOOKUP(B915,Bounties!A:D,4,FALSE)</f>
        <v>Anti-Scam</v>
      </c>
      <c r="O915" s="1" t="str">
        <f t="shared" ref="O915:P915" si="919">IF(ISBLANK(K915),M915,K915)</f>
        <v>Research</v>
      </c>
      <c r="P915" s="1" t="str">
        <f t="shared" si="919"/>
        <v>Anti-Scam</v>
      </c>
      <c r="Q915" s="61" t="str">
        <f t="shared" si="3"/>
        <v>2023</v>
      </c>
      <c r="R915" s="62">
        <f t="shared" si="4"/>
        <v>11</v>
      </c>
      <c r="S915" s="61" t="str">
        <f t="shared" si="5"/>
        <v>2023-Q4</v>
      </c>
      <c r="T915" s="63" t="str">
        <f t="shared" si="6"/>
        <v>2023-11</v>
      </c>
      <c r="U915" s="64" t="str">
        <f t="shared" si="7"/>
        <v>2023-H2</v>
      </c>
      <c r="V915" s="9" t="str">
        <f>VLOOKUP(B915,Bounties!A:E,2,FALSE)</f>
        <v>Anti-Scam Bounty</v>
      </c>
    </row>
    <row r="916" hidden="1">
      <c r="A916" s="67">
        <f>HYPERLINK("https://polkadot.subsquare.io/treasury/child-bounties/478", 478)</f>
        <v>478</v>
      </c>
      <c r="B916" s="1">
        <v>19.0</v>
      </c>
      <c r="C916" s="1" t="s">
        <v>2414</v>
      </c>
      <c r="D916" s="1" t="s">
        <v>1762</v>
      </c>
      <c r="E916" s="5">
        <v>5870.0</v>
      </c>
      <c r="F916" s="4">
        <v>27092.948455810547</v>
      </c>
      <c r="G916" s="1" t="s">
        <v>2667</v>
      </c>
      <c r="H916" s="95">
        <v>45230.0</v>
      </c>
      <c r="I916" s="95">
        <v>45238.0</v>
      </c>
      <c r="J916" s="4">
        <v>32597.078309059143</v>
      </c>
      <c r="K916" s="1"/>
      <c r="L916" s="1"/>
      <c r="M916" s="1" t="str">
        <f>VLOOKUP(B916,Bounties!A:D,3,FALSE)</f>
        <v>Development</v>
      </c>
      <c r="N916" s="1" t="str">
        <f>VLOOKUP(B916,Bounties!A:D,4,FALSE)</f>
        <v>Smart Contracts</v>
      </c>
      <c r="O916" s="1" t="str">
        <f t="shared" ref="O916:P916" si="920">IF(ISBLANK(K916),M916,K916)</f>
        <v>Development</v>
      </c>
      <c r="P916" s="1" t="str">
        <f t="shared" si="920"/>
        <v>Smart Contracts</v>
      </c>
      <c r="Q916" s="61" t="str">
        <f t="shared" si="3"/>
        <v>2023</v>
      </c>
      <c r="R916" s="62">
        <f t="shared" si="4"/>
        <v>11</v>
      </c>
      <c r="S916" s="61" t="str">
        <f t="shared" si="5"/>
        <v>2023-Q4</v>
      </c>
      <c r="T916" s="63" t="str">
        <f t="shared" si="6"/>
        <v>2023-11</v>
      </c>
      <c r="U916" s="64" t="str">
        <f t="shared" si="7"/>
        <v>2023-H2</v>
      </c>
      <c r="V916" s="9" t="str">
        <f>VLOOKUP(B916,Bounties!A:E,2,FALSE)</f>
        <v>Wasm Smart Contracts Bounty</v>
      </c>
    </row>
    <row r="917" hidden="1">
      <c r="A917" s="67">
        <f>HYPERLINK("https://polkadot.subsquare.io/treasury/child-bounties/477", 477)</f>
        <v>477</v>
      </c>
      <c r="B917" s="1">
        <v>11.0</v>
      </c>
      <c r="C917" s="1" t="s">
        <v>2414</v>
      </c>
      <c r="D917" s="1" t="s">
        <v>1761</v>
      </c>
      <c r="E917" s="5">
        <v>562.9838214154</v>
      </c>
      <c r="F917" s="4">
        <v>2609.6124197572967</v>
      </c>
      <c r="G917" s="1" t="s">
        <v>2524</v>
      </c>
      <c r="H917" s="95">
        <v>45229.0</v>
      </c>
      <c r="I917" s="95">
        <v>45238.0</v>
      </c>
      <c r="J917" s="4">
        <v>3126.3420295419355</v>
      </c>
      <c r="K917" s="1"/>
      <c r="L917" s="1"/>
      <c r="M917" s="1" t="str">
        <f>VLOOKUP(B917,Bounties!A:D,3,FALSE)</f>
        <v>Research</v>
      </c>
      <c r="N917" s="1" t="str">
        <f>VLOOKUP(B917,Bounties!A:D,4,FALSE)</f>
        <v>Anti-Scam</v>
      </c>
      <c r="O917" s="1" t="str">
        <f t="shared" ref="O917:P917" si="921">IF(ISBLANK(K917),M917,K917)</f>
        <v>Research</v>
      </c>
      <c r="P917" s="1" t="str">
        <f t="shared" si="921"/>
        <v>Anti-Scam</v>
      </c>
      <c r="Q917" s="61" t="str">
        <f t="shared" si="3"/>
        <v>2023</v>
      </c>
      <c r="R917" s="62">
        <f t="shared" si="4"/>
        <v>11</v>
      </c>
      <c r="S917" s="61" t="str">
        <f t="shared" si="5"/>
        <v>2023-Q4</v>
      </c>
      <c r="T917" s="63" t="str">
        <f t="shared" si="6"/>
        <v>2023-11</v>
      </c>
      <c r="U917" s="64" t="str">
        <f t="shared" si="7"/>
        <v>2023-H2</v>
      </c>
      <c r="V917" s="9" t="str">
        <f>VLOOKUP(B917,Bounties!A:E,2,FALSE)</f>
        <v>Anti-Scam Bounty</v>
      </c>
    </row>
    <row r="918" hidden="1">
      <c r="A918" s="67">
        <f>HYPERLINK("https://polkadot.subsquare.io/treasury/child-bounties/476", 476)</f>
        <v>476</v>
      </c>
      <c r="B918" s="1">
        <v>11.0</v>
      </c>
      <c r="C918" s="1" t="s">
        <v>2414</v>
      </c>
      <c r="D918" s="1" t="s">
        <v>1760</v>
      </c>
      <c r="E918" s="5">
        <v>117.2882946282</v>
      </c>
      <c r="F918" s="4">
        <v>543.6692471630788</v>
      </c>
      <c r="G918" s="1" t="s">
        <v>2528</v>
      </c>
      <c r="H918" s="95">
        <v>45229.0</v>
      </c>
      <c r="I918" s="95">
        <v>45238.0</v>
      </c>
      <c r="J918" s="4">
        <v>651.3212478247763</v>
      </c>
      <c r="K918" s="1"/>
      <c r="L918" s="1"/>
      <c r="M918" s="1" t="str">
        <f>VLOOKUP(B918,Bounties!A:D,3,FALSE)</f>
        <v>Research</v>
      </c>
      <c r="N918" s="1" t="str">
        <f>VLOOKUP(B918,Bounties!A:D,4,FALSE)</f>
        <v>Anti-Scam</v>
      </c>
      <c r="O918" s="1" t="str">
        <f t="shared" ref="O918:P918" si="922">IF(ISBLANK(K918),M918,K918)</f>
        <v>Research</v>
      </c>
      <c r="P918" s="1" t="str">
        <f t="shared" si="922"/>
        <v>Anti-Scam</v>
      </c>
      <c r="Q918" s="61" t="str">
        <f t="shared" si="3"/>
        <v>2023</v>
      </c>
      <c r="R918" s="62">
        <f t="shared" si="4"/>
        <v>11</v>
      </c>
      <c r="S918" s="61" t="str">
        <f t="shared" si="5"/>
        <v>2023-Q4</v>
      </c>
      <c r="T918" s="63" t="str">
        <f t="shared" si="6"/>
        <v>2023-11</v>
      </c>
      <c r="U918" s="64" t="str">
        <f t="shared" si="7"/>
        <v>2023-H2</v>
      </c>
      <c r="V918" s="9" t="str">
        <f>VLOOKUP(B918,Bounties!A:E,2,FALSE)</f>
        <v>Anti-Scam Bounty</v>
      </c>
    </row>
    <row r="919" hidden="1">
      <c r="A919" s="67">
        <f>HYPERLINK("https://polkadot.subsquare.io/treasury/child-bounties/475", 475)</f>
        <v>475</v>
      </c>
      <c r="B919" s="1">
        <v>24.0</v>
      </c>
      <c r="C919" s="1" t="s">
        <v>2414</v>
      </c>
      <c r="D919" s="1" t="s">
        <v>1759</v>
      </c>
      <c r="E919" s="5">
        <v>347.6533399553</v>
      </c>
      <c r="F919" s="4">
        <v>1439.0623122490622</v>
      </c>
      <c r="G919" s="1" t="s">
        <v>2437</v>
      </c>
      <c r="H919" s="95">
        <v>45223.0</v>
      </c>
      <c r="I919" s="95">
        <v>45231.0</v>
      </c>
      <c r="J919" s="4">
        <v>1630.8509299972297</v>
      </c>
      <c r="K919" s="1"/>
      <c r="L919" s="1"/>
      <c r="M919" s="1" t="str">
        <f>VLOOKUP(B919,Bounties!A:D,3,FALSE)</f>
        <v>Outreach</v>
      </c>
      <c r="N919" s="1" t="str">
        <f>VLOOKUP(B919,Bounties!A:D,4,FALSE)</f>
        <v>Community Building</v>
      </c>
      <c r="O919" s="1" t="str">
        <f t="shared" ref="O919:P919" si="923">IF(ISBLANK(K919),M919,K919)</f>
        <v>Outreach</v>
      </c>
      <c r="P919" s="1" t="str">
        <f t="shared" si="923"/>
        <v>Community Building</v>
      </c>
      <c r="Q919" s="61" t="str">
        <f t="shared" si="3"/>
        <v>2023</v>
      </c>
      <c r="R919" s="62">
        <f t="shared" si="4"/>
        <v>11</v>
      </c>
      <c r="S919" s="61" t="str">
        <f t="shared" si="5"/>
        <v>2023-Q4</v>
      </c>
      <c r="T919" s="63" t="str">
        <f t="shared" si="6"/>
        <v>2023-11</v>
      </c>
      <c r="U919" s="64" t="str">
        <f t="shared" si="7"/>
        <v>2023-H2</v>
      </c>
      <c r="V919" s="9" t="str">
        <f>VLOOKUP(B919,Bounties!A:E,2,FALSE)</f>
        <v>Moderation Team Bounty</v>
      </c>
    </row>
    <row r="920" hidden="1">
      <c r="A920" s="67">
        <f>HYPERLINK("https://polkadot.subsquare.io/treasury/child-bounties/474", 474)</f>
        <v>474</v>
      </c>
      <c r="B920" s="1">
        <v>24.0</v>
      </c>
      <c r="C920" s="1" t="s">
        <v>2414</v>
      </c>
      <c r="D920" s="1" t="s">
        <v>1758</v>
      </c>
      <c r="E920" s="5">
        <v>347.6533399553</v>
      </c>
      <c r="F920" s="4">
        <v>1439.0623122490622</v>
      </c>
      <c r="G920" s="1" t="s">
        <v>2463</v>
      </c>
      <c r="H920" s="95">
        <v>45223.0</v>
      </c>
      <c r="I920" s="95">
        <v>45236.0</v>
      </c>
      <c r="J920" s="4">
        <v>1756.89572224641</v>
      </c>
      <c r="K920" s="1"/>
      <c r="L920" s="1"/>
      <c r="M920" s="1" t="str">
        <f>VLOOKUP(B920,Bounties!A:D,3,FALSE)</f>
        <v>Outreach</v>
      </c>
      <c r="N920" s="1" t="str">
        <f>VLOOKUP(B920,Bounties!A:D,4,FALSE)</f>
        <v>Community Building</v>
      </c>
      <c r="O920" s="1" t="str">
        <f t="shared" ref="O920:P920" si="924">IF(ISBLANK(K920),M920,K920)</f>
        <v>Outreach</v>
      </c>
      <c r="P920" s="1" t="str">
        <f t="shared" si="924"/>
        <v>Community Building</v>
      </c>
      <c r="Q920" s="61" t="str">
        <f t="shared" si="3"/>
        <v>2023</v>
      </c>
      <c r="R920" s="62">
        <f t="shared" si="4"/>
        <v>11</v>
      </c>
      <c r="S920" s="61" t="str">
        <f t="shared" si="5"/>
        <v>2023-Q4</v>
      </c>
      <c r="T920" s="63" t="str">
        <f t="shared" si="6"/>
        <v>2023-11</v>
      </c>
      <c r="U920" s="64" t="str">
        <f t="shared" si="7"/>
        <v>2023-H2</v>
      </c>
      <c r="V920" s="9" t="str">
        <f>VLOOKUP(B920,Bounties!A:E,2,FALSE)</f>
        <v>Moderation Team Bounty</v>
      </c>
    </row>
    <row r="921" hidden="1">
      <c r="A921" s="67">
        <f>HYPERLINK("https://polkadot.subsquare.io/treasury/child-bounties/473", 473)</f>
        <v>473</v>
      </c>
      <c r="B921" s="1">
        <v>24.0</v>
      </c>
      <c r="C921" s="1" t="s">
        <v>2414</v>
      </c>
      <c r="D921" s="1" t="s">
        <v>1757</v>
      </c>
      <c r="E921" s="5">
        <v>409.7342935187</v>
      </c>
      <c r="F921" s="4">
        <v>1696.037725150488</v>
      </c>
      <c r="G921" s="1" t="s">
        <v>2549</v>
      </c>
      <c r="H921" s="95">
        <v>45223.0</v>
      </c>
      <c r="I921" s="95">
        <v>45231.0</v>
      </c>
      <c r="J921" s="4">
        <v>1922.0743103536602</v>
      </c>
      <c r="K921" s="1"/>
      <c r="L921" s="1"/>
      <c r="M921" s="1" t="str">
        <f>VLOOKUP(B921,Bounties!A:D,3,FALSE)</f>
        <v>Outreach</v>
      </c>
      <c r="N921" s="1" t="str">
        <f>VLOOKUP(B921,Bounties!A:D,4,FALSE)</f>
        <v>Community Building</v>
      </c>
      <c r="O921" s="1" t="str">
        <f t="shared" ref="O921:P921" si="925">IF(ISBLANK(K921),M921,K921)</f>
        <v>Outreach</v>
      </c>
      <c r="P921" s="1" t="str">
        <f t="shared" si="925"/>
        <v>Community Building</v>
      </c>
      <c r="Q921" s="61" t="str">
        <f t="shared" si="3"/>
        <v>2023</v>
      </c>
      <c r="R921" s="62">
        <f t="shared" si="4"/>
        <v>11</v>
      </c>
      <c r="S921" s="61" t="str">
        <f t="shared" si="5"/>
        <v>2023-Q4</v>
      </c>
      <c r="T921" s="63" t="str">
        <f t="shared" si="6"/>
        <v>2023-11</v>
      </c>
      <c r="U921" s="64" t="str">
        <f t="shared" si="7"/>
        <v>2023-H2</v>
      </c>
      <c r="V921" s="9" t="str">
        <f>VLOOKUP(B921,Bounties!A:E,2,FALSE)</f>
        <v>Moderation Team Bounty</v>
      </c>
    </row>
    <row r="922" hidden="1">
      <c r="A922" s="67">
        <f>HYPERLINK("https://polkadot.subsquare.io/treasury/child-bounties/472", 472)</f>
        <v>472</v>
      </c>
      <c r="B922" s="1">
        <v>24.0</v>
      </c>
      <c r="C922" s="1" t="s">
        <v>2414</v>
      </c>
      <c r="D922" s="1" t="s">
        <v>1756</v>
      </c>
      <c r="E922" s="5">
        <v>347.6533399553</v>
      </c>
      <c r="F922" s="4">
        <v>1439.0623122490622</v>
      </c>
      <c r="G922" s="1" t="s">
        <v>2497</v>
      </c>
      <c r="H922" s="95">
        <v>45223.0</v>
      </c>
      <c r="I922" s="95">
        <v>45232.0</v>
      </c>
      <c r="J922" s="4">
        <v>1630.8509299972297</v>
      </c>
      <c r="K922" s="1"/>
      <c r="L922" s="1"/>
      <c r="M922" s="1" t="str">
        <f>VLOOKUP(B922,Bounties!A:D,3,FALSE)</f>
        <v>Outreach</v>
      </c>
      <c r="N922" s="1" t="str">
        <f>VLOOKUP(B922,Bounties!A:D,4,FALSE)</f>
        <v>Community Building</v>
      </c>
      <c r="O922" s="1" t="str">
        <f t="shared" ref="O922:P922" si="926">IF(ISBLANK(K922),M922,K922)</f>
        <v>Outreach</v>
      </c>
      <c r="P922" s="1" t="str">
        <f t="shared" si="926"/>
        <v>Community Building</v>
      </c>
      <c r="Q922" s="61" t="str">
        <f t="shared" si="3"/>
        <v>2023</v>
      </c>
      <c r="R922" s="62">
        <f t="shared" si="4"/>
        <v>11</v>
      </c>
      <c r="S922" s="61" t="str">
        <f t="shared" si="5"/>
        <v>2023-Q4</v>
      </c>
      <c r="T922" s="63" t="str">
        <f t="shared" si="6"/>
        <v>2023-11</v>
      </c>
      <c r="U922" s="64" t="str">
        <f t="shared" si="7"/>
        <v>2023-H2</v>
      </c>
      <c r="V922" s="9" t="str">
        <f>VLOOKUP(B922,Bounties!A:E,2,FALSE)</f>
        <v>Moderation Team Bounty</v>
      </c>
    </row>
    <row r="923" hidden="1">
      <c r="A923" s="67">
        <f>HYPERLINK("https://polkadot.subsquare.io/treasury/child-bounties/471", 471)</f>
        <v>471</v>
      </c>
      <c r="B923" s="1">
        <v>24.0</v>
      </c>
      <c r="C923" s="1" t="s">
        <v>2414</v>
      </c>
      <c r="D923" s="1" t="s">
        <v>1755</v>
      </c>
      <c r="E923" s="5">
        <v>347.6533399553</v>
      </c>
      <c r="F923" s="4">
        <v>1439.0623122490622</v>
      </c>
      <c r="G923" s="1" t="s">
        <v>2438</v>
      </c>
      <c r="H923" s="95">
        <v>45223.0</v>
      </c>
      <c r="I923" s="95">
        <v>45232.0</v>
      </c>
      <c r="J923" s="4">
        <v>1659.4258969848945</v>
      </c>
      <c r="K923" s="1"/>
      <c r="L923" s="1"/>
      <c r="M923" s="1" t="str">
        <f>VLOOKUP(B923,Bounties!A:D,3,FALSE)</f>
        <v>Outreach</v>
      </c>
      <c r="N923" s="1" t="str">
        <f>VLOOKUP(B923,Bounties!A:D,4,FALSE)</f>
        <v>Community Building</v>
      </c>
      <c r="O923" s="1" t="str">
        <f t="shared" ref="O923:P923" si="927">IF(ISBLANK(K923),M923,K923)</f>
        <v>Outreach</v>
      </c>
      <c r="P923" s="1" t="str">
        <f t="shared" si="927"/>
        <v>Community Building</v>
      </c>
      <c r="Q923" s="61" t="str">
        <f t="shared" si="3"/>
        <v>2023</v>
      </c>
      <c r="R923" s="62">
        <f t="shared" si="4"/>
        <v>11</v>
      </c>
      <c r="S923" s="61" t="str">
        <f t="shared" si="5"/>
        <v>2023-Q4</v>
      </c>
      <c r="T923" s="63" t="str">
        <f t="shared" si="6"/>
        <v>2023-11</v>
      </c>
      <c r="U923" s="64" t="str">
        <f t="shared" si="7"/>
        <v>2023-H2</v>
      </c>
      <c r="V923" s="9" t="str">
        <f>VLOOKUP(B923,Bounties!A:E,2,FALSE)</f>
        <v>Moderation Team Bounty</v>
      </c>
    </row>
    <row r="924" hidden="1">
      <c r="A924" s="67">
        <f>HYPERLINK("https://polkadot.subsquare.io/treasury/child-bounties/470", 470)</f>
        <v>470</v>
      </c>
      <c r="B924" s="1">
        <v>24.0</v>
      </c>
      <c r="C924" s="1" t="s">
        <v>2414</v>
      </c>
      <c r="D924" s="1" t="s">
        <v>1754</v>
      </c>
      <c r="E924" s="5">
        <v>347.6533399553</v>
      </c>
      <c r="F924" s="4">
        <v>1439.0623122490622</v>
      </c>
      <c r="G924" s="1" t="s">
        <v>2528</v>
      </c>
      <c r="H924" s="95">
        <v>45223.0</v>
      </c>
      <c r="I924" s="95">
        <v>45232.0</v>
      </c>
      <c r="J924" s="4">
        <v>1630.8509299972297</v>
      </c>
      <c r="K924" s="1"/>
      <c r="L924" s="1"/>
      <c r="M924" s="1" t="str">
        <f>VLOOKUP(B924,Bounties!A:D,3,FALSE)</f>
        <v>Outreach</v>
      </c>
      <c r="N924" s="1" t="str">
        <f>VLOOKUP(B924,Bounties!A:D,4,FALSE)</f>
        <v>Community Building</v>
      </c>
      <c r="O924" s="1" t="str">
        <f t="shared" ref="O924:P924" si="928">IF(ISBLANK(K924),M924,K924)</f>
        <v>Outreach</v>
      </c>
      <c r="P924" s="1" t="str">
        <f t="shared" si="928"/>
        <v>Community Building</v>
      </c>
      <c r="Q924" s="61" t="str">
        <f t="shared" si="3"/>
        <v>2023</v>
      </c>
      <c r="R924" s="62">
        <f t="shared" si="4"/>
        <v>11</v>
      </c>
      <c r="S924" s="61" t="str">
        <f t="shared" si="5"/>
        <v>2023-Q4</v>
      </c>
      <c r="T924" s="63" t="str">
        <f t="shared" si="6"/>
        <v>2023-11</v>
      </c>
      <c r="U924" s="64" t="str">
        <f t="shared" si="7"/>
        <v>2023-H2</v>
      </c>
      <c r="V924" s="9" t="str">
        <f>VLOOKUP(B924,Bounties!A:E,2,FALSE)</f>
        <v>Moderation Team Bounty</v>
      </c>
    </row>
    <row r="925" hidden="1">
      <c r="A925" s="67">
        <f>HYPERLINK("https://polkadot.subsquare.io/treasury/child-bounties/469", 469)</f>
        <v>469</v>
      </c>
      <c r="B925" s="1">
        <v>24.0</v>
      </c>
      <c r="C925" s="1" t="s">
        <v>2414</v>
      </c>
      <c r="D925" s="1" t="s">
        <v>1753</v>
      </c>
      <c r="E925" s="5">
        <v>381.1770548796</v>
      </c>
      <c r="F925" s="4">
        <v>1577.8290352160973</v>
      </c>
      <c r="G925" s="1" t="s">
        <v>2433</v>
      </c>
      <c r="H925" s="95">
        <v>45223.0</v>
      </c>
      <c r="I925" s="95">
        <v>45231.0</v>
      </c>
      <c r="J925" s="4">
        <v>1788.1115553900024</v>
      </c>
      <c r="K925" s="1"/>
      <c r="L925" s="1"/>
      <c r="M925" s="1" t="str">
        <f>VLOOKUP(B925,Bounties!A:D,3,FALSE)</f>
        <v>Outreach</v>
      </c>
      <c r="N925" s="1" t="str">
        <f>VLOOKUP(B925,Bounties!A:D,4,FALSE)</f>
        <v>Community Building</v>
      </c>
      <c r="O925" s="1" t="str">
        <f t="shared" ref="O925:P925" si="929">IF(ISBLANK(K925),M925,K925)</f>
        <v>Outreach</v>
      </c>
      <c r="P925" s="1" t="str">
        <f t="shared" si="929"/>
        <v>Community Building</v>
      </c>
      <c r="Q925" s="61" t="str">
        <f t="shared" si="3"/>
        <v>2023</v>
      </c>
      <c r="R925" s="62">
        <f t="shared" si="4"/>
        <v>11</v>
      </c>
      <c r="S925" s="61" t="str">
        <f t="shared" si="5"/>
        <v>2023-Q4</v>
      </c>
      <c r="T925" s="63" t="str">
        <f t="shared" si="6"/>
        <v>2023-11</v>
      </c>
      <c r="U925" s="64" t="str">
        <f t="shared" si="7"/>
        <v>2023-H2</v>
      </c>
      <c r="V925" s="9" t="str">
        <f>VLOOKUP(B925,Bounties!A:E,2,FALSE)</f>
        <v>Moderation Team Bounty</v>
      </c>
    </row>
    <row r="926" hidden="1">
      <c r="A926" s="67">
        <f>HYPERLINK("https://polkadot.subsquare.io/treasury/child-bounties/468", 468)</f>
        <v>468</v>
      </c>
      <c r="B926" s="1">
        <v>24.0</v>
      </c>
      <c r="C926" s="1" t="s">
        <v>2414</v>
      </c>
      <c r="D926" s="1" t="s">
        <v>1752</v>
      </c>
      <c r="E926" s="5">
        <v>381.1770548796</v>
      </c>
      <c r="F926" s="4">
        <v>1577.8290352160973</v>
      </c>
      <c r="G926" s="1" t="s">
        <v>2534</v>
      </c>
      <c r="H926" s="95">
        <v>45223.0</v>
      </c>
      <c r="I926" s="95">
        <v>45231.0</v>
      </c>
      <c r="J926" s="4">
        <v>1788.1115553900024</v>
      </c>
      <c r="K926" s="1"/>
      <c r="L926" s="1"/>
      <c r="M926" s="1" t="str">
        <f>VLOOKUP(B926,Bounties!A:D,3,FALSE)</f>
        <v>Outreach</v>
      </c>
      <c r="N926" s="1" t="str">
        <f>VLOOKUP(B926,Bounties!A:D,4,FALSE)</f>
        <v>Community Building</v>
      </c>
      <c r="O926" s="1" t="str">
        <f t="shared" ref="O926:P926" si="930">IF(ISBLANK(K926),M926,K926)</f>
        <v>Outreach</v>
      </c>
      <c r="P926" s="1" t="str">
        <f t="shared" si="930"/>
        <v>Community Building</v>
      </c>
      <c r="Q926" s="61" t="str">
        <f t="shared" si="3"/>
        <v>2023</v>
      </c>
      <c r="R926" s="62">
        <f t="shared" si="4"/>
        <v>11</v>
      </c>
      <c r="S926" s="61" t="str">
        <f t="shared" si="5"/>
        <v>2023-Q4</v>
      </c>
      <c r="T926" s="63" t="str">
        <f t="shared" si="6"/>
        <v>2023-11</v>
      </c>
      <c r="U926" s="64" t="str">
        <f t="shared" si="7"/>
        <v>2023-H2</v>
      </c>
      <c r="V926" s="9" t="str">
        <f>VLOOKUP(B926,Bounties!A:E,2,FALSE)</f>
        <v>Moderation Team Bounty</v>
      </c>
    </row>
    <row r="927" hidden="1">
      <c r="A927" s="67">
        <f>HYPERLINK("https://polkadot.subsquare.io/treasury/child-bounties/467", 467)</f>
        <v>467</v>
      </c>
      <c r="B927" s="1">
        <v>24.0</v>
      </c>
      <c r="C927" s="1" t="s">
        <v>2414</v>
      </c>
      <c r="D927" s="1" t="s">
        <v>1751</v>
      </c>
      <c r="E927" s="5">
        <v>347.6533399553</v>
      </c>
      <c r="F927" s="4">
        <v>1439.0623122490622</v>
      </c>
      <c r="G927" s="1" t="s">
        <v>2535</v>
      </c>
      <c r="H927" s="95">
        <v>45223.0</v>
      </c>
      <c r="I927" s="95">
        <v>45234.0</v>
      </c>
      <c r="J927" s="4">
        <v>1714.4482870506806</v>
      </c>
      <c r="K927" s="1"/>
      <c r="L927" s="1"/>
      <c r="M927" s="1" t="str">
        <f>VLOOKUP(B927,Bounties!A:D,3,FALSE)</f>
        <v>Outreach</v>
      </c>
      <c r="N927" s="1" t="str">
        <f>VLOOKUP(B927,Bounties!A:D,4,FALSE)</f>
        <v>Community Building</v>
      </c>
      <c r="O927" s="1" t="str">
        <f t="shared" ref="O927:P927" si="931">IF(ISBLANK(K927),M927,K927)</f>
        <v>Outreach</v>
      </c>
      <c r="P927" s="1" t="str">
        <f t="shared" si="931"/>
        <v>Community Building</v>
      </c>
      <c r="Q927" s="61" t="str">
        <f t="shared" si="3"/>
        <v>2023</v>
      </c>
      <c r="R927" s="62">
        <f t="shared" si="4"/>
        <v>11</v>
      </c>
      <c r="S927" s="61" t="str">
        <f t="shared" si="5"/>
        <v>2023-Q4</v>
      </c>
      <c r="T927" s="63" t="str">
        <f t="shared" si="6"/>
        <v>2023-11</v>
      </c>
      <c r="U927" s="64" t="str">
        <f t="shared" si="7"/>
        <v>2023-H2</v>
      </c>
      <c r="V927" s="9" t="str">
        <f>VLOOKUP(B927,Bounties!A:E,2,FALSE)</f>
        <v>Moderation Team Bounty</v>
      </c>
    </row>
    <row r="928" hidden="1">
      <c r="A928" s="67">
        <f>HYPERLINK("https://polkadot.subsquare.io/treasury/child-bounties/466", 466)</f>
        <v>466</v>
      </c>
      <c r="B928" s="1">
        <v>24.0</v>
      </c>
      <c r="C928" s="1" t="s">
        <v>2414</v>
      </c>
      <c r="D928" s="1" t="s">
        <v>1750</v>
      </c>
      <c r="E928" s="5">
        <v>347.6533399553</v>
      </c>
      <c r="F928" s="4">
        <v>1439.0623122490622</v>
      </c>
      <c r="G928" s="1" t="s">
        <v>2548</v>
      </c>
      <c r="H928" s="95">
        <v>45223.0</v>
      </c>
      <c r="I928" s="95">
        <v>45231.0</v>
      </c>
      <c r="J928" s="4">
        <v>1630.8509299972297</v>
      </c>
      <c r="K928" s="1"/>
      <c r="L928" s="1"/>
      <c r="M928" s="1" t="str">
        <f>VLOOKUP(B928,Bounties!A:D,3,FALSE)</f>
        <v>Outreach</v>
      </c>
      <c r="N928" s="1" t="str">
        <f>VLOOKUP(B928,Bounties!A:D,4,FALSE)</f>
        <v>Community Building</v>
      </c>
      <c r="O928" s="1" t="str">
        <f t="shared" ref="O928:P928" si="932">IF(ISBLANK(K928),M928,K928)</f>
        <v>Outreach</v>
      </c>
      <c r="P928" s="1" t="str">
        <f t="shared" si="932"/>
        <v>Community Building</v>
      </c>
      <c r="Q928" s="61" t="str">
        <f t="shared" si="3"/>
        <v>2023</v>
      </c>
      <c r="R928" s="62">
        <f t="shared" si="4"/>
        <v>11</v>
      </c>
      <c r="S928" s="61" t="str">
        <f t="shared" si="5"/>
        <v>2023-Q4</v>
      </c>
      <c r="T928" s="63" t="str">
        <f t="shared" si="6"/>
        <v>2023-11</v>
      </c>
      <c r="U928" s="64" t="str">
        <f t="shared" si="7"/>
        <v>2023-H2</v>
      </c>
      <c r="V928" s="9" t="str">
        <f>VLOOKUP(B928,Bounties!A:E,2,FALSE)</f>
        <v>Moderation Team Bounty</v>
      </c>
    </row>
    <row r="929" hidden="1">
      <c r="A929" s="67">
        <f>HYPERLINK("https://polkadot.subsquare.io/treasury/child-bounties/465", 465)</f>
        <v>465</v>
      </c>
      <c r="B929" s="1">
        <v>24.0</v>
      </c>
      <c r="C929" s="1" t="s">
        <v>2414</v>
      </c>
      <c r="D929" s="1" t="s">
        <v>1749</v>
      </c>
      <c r="E929" s="5">
        <v>347.6533399553</v>
      </c>
      <c r="F929" s="4">
        <v>1439.0623122490622</v>
      </c>
      <c r="G929" s="1" t="s">
        <v>2550</v>
      </c>
      <c r="H929" s="95">
        <v>45223.0</v>
      </c>
      <c r="I929" s="95">
        <v>45231.0</v>
      </c>
      <c r="J929" s="4">
        <v>1630.8509299972297</v>
      </c>
      <c r="K929" s="1"/>
      <c r="L929" s="1"/>
      <c r="M929" s="1" t="str">
        <f>VLOOKUP(B929,Bounties!A:D,3,FALSE)</f>
        <v>Outreach</v>
      </c>
      <c r="N929" s="1" t="str">
        <f>VLOOKUP(B929,Bounties!A:D,4,FALSE)</f>
        <v>Community Building</v>
      </c>
      <c r="O929" s="1" t="str">
        <f t="shared" ref="O929:P929" si="933">IF(ISBLANK(K929),M929,K929)</f>
        <v>Outreach</v>
      </c>
      <c r="P929" s="1" t="str">
        <f t="shared" si="933"/>
        <v>Community Building</v>
      </c>
      <c r="Q929" s="61" t="str">
        <f t="shared" si="3"/>
        <v>2023</v>
      </c>
      <c r="R929" s="62">
        <f t="shared" si="4"/>
        <v>11</v>
      </c>
      <c r="S929" s="61" t="str">
        <f t="shared" si="5"/>
        <v>2023-Q4</v>
      </c>
      <c r="T929" s="63" t="str">
        <f t="shared" si="6"/>
        <v>2023-11</v>
      </c>
      <c r="U929" s="64" t="str">
        <f t="shared" si="7"/>
        <v>2023-H2</v>
      </c>
      <c r="V929" s="9" t="str">
        <f>VLOOKUP(B929,Bounties!A:E,2,FALSE)</f>
        <v>Moderation Team Bounty</v>
      </c>
    </row>
    <row r="930" hidden="1">
      <c r="A930" s="67">
        <f>HYPERLINK("https://polkadot.subsquare.io/treasury/child-bounties/464", 464)</f>
        <v>464</v>
      </c>
      <c r="B930" s="1">
        <v>24.0</v>
      </c>
      <c r="C930" s="1" t="s">
        <v>2414</v>
      </c>
      <c r="D930" s="1" t="s">
        <v>1748</v>
      </c>
      <c r="E930" s="5">
        <v>347.6533399553</v>
      </c>
      <c r="F930" s="4">
        <v>1439.0623122490622</v>
      </c>
      <c r="G930" s="1" t="s">
        <v>2524</v>
      </c>
      <c r="H930" s="95">
        <v>45223.0</v>
      </c>
      <c r="I930" s="95">
        <v>45231.0</v>
      </c>
      <c r="J930" s="4">
        <v>1630.8509299972297</v>
      </c>
      <c r="K930" s="1"/>
      <c r="L930" s="1"/>
      <c r="M930" s="1" t="str">
        <f>VLOOKUP(B930,Bounties!A:D,3,FALSE)</f>
        <v>Outreach</v>
      </c>
      <c r="N930" s="1" t="str">
        <f>VLOOKUP(B930,Bounties!A:D,4,FALSE)</f>
        <v>Community Building</v>
      </c>
      <c r="O930" s="1" t="str">
        <f t="shared" ref="O930:P930" si="934">IF(ISBLANK(K930),M930,K930)</f>
        <v>Outreach</v>
      </c>
      <c r="P930" s="1" t="str">
        <f t="shared" si="934"/>
        <v>Community Building</v>
      </c>
      <c r="Q930" s="61" t="str">
        <f t="shared" si="3"/>
        <v>2023</v>
      </c>
      <c r="R930" s="62">
        <f t="shared" si="4"/>
        <v>11</v>
      </c>
      <c r="S930" s="61" t="str">
        <f t="shared" si="5"/>
        <v>2023-Q4</v>
      </c>
      <c r="T930" s="63" t="str">
        <f t="shared" si="6"/>
        <v>2023-11</v>
      </c>
      <c r="U930" s="64" t="str">
        <f t="shared" si="7"/>
        <v>2023-H2</v>
      </c>
      <c r="V930" s="9" t="str">
        <f>VLOOKUP(B930,Bounties!A:E,2,FALSE)</f>
        <v>Moderation Team Bounty</v>
      </c>
    </row>
    <row r="931" hidden="1">
      <c r="A931" s="67">
        <f>HYPERLINK("https://polkadot.subsquare.io/treasury/child-bounties/463", 463)</f>
        <v>463</v>
      </c>
      <c r="B931" s="1">
        <v>24.0</v>
      </c>
      <c r="C931" s="1" t="s">
        <v>2414</v>
      </c>
      <c r="D931" s="1" t="s">
        <v>1747</v>
      </c>
      <c r="E931" s="5">
        <v>347.6533399553</v>
      </c>
      <c r="F931" s="4">
        <v>1439.0623122490622</v>
      </c>
      <c r="G931" s="1" t="s">
        <v>2551</v>
      </c>
      <c r="H931" s="95">
        <v>45223.0</v>
      </c>
      <c r="I931" s="95">
        <v>45231.0</v>
      </c>
      <c r="J931" s="4">
        <v>1630.8509299972297</v>
      </c>
      <c r="K931" s="1"/>
      <c r="L931" s="1"/>
      <c r="M931" s="1" t="str">
        <f>VLOOKUP(B931,Bounties!A:D,3,FALSE)</f>
        <v>Outreach</v>
      </c>
      <c r="N931" s="1" t="str">
        <f>VLOOKUP(B931,Bounties!A:D,4,FALSE)</f>
        <v>Community Building</v>
      </c>
      <c r="O931" s="1" t="str">
        <f t="shared" ref="O931:P931" si="935">IF(ISBLANK(K931),M931,K931)</f>
        <v>Outreach</v>
      </c>
      <c r="P931" s="1" t="str">
        <f t="shared" si="935"/>
        <v>Community Building</v>
      </c>
      <c r="Q931" s="61" t="str">
        <f t="shared" si="3"/>
        <v>2023</v>
      </c>
      <c r="R931" s="62">
        <f t="shared" si="4"/>
        <v>11</v>
      </c>
      <c r="S931" s="61" t="str">
        <f t="shared" si="5"/>
        <v>2023-Q4</v>
      </c>
      <c r="T931" s="63" t="str">
        <f t="shared" si="6"/>
        <v>2023-11</v>
      </c>
      <c r="U931" s="64" t="str">
        <f t="shared" si="7"/>
        <v>2023-H2</v>
      </c>
      <c r="V931" s="9" t="str">
        <f>VLOOKUP(B931,Bounties!A:E,2,FALSE)</f>
        <v>Moderation Team Bounty</v>
      </c>
    </row>
    <row r="932" hidden="1">
      <c r="A932" s="67">
        <f>HYPERLINK("https://polkadot.subsquare.io/treasury/child-bounties/462", 462)</f>
        <v>462</v>
      </c>
      <c r="B932" s="1">
        <v>19.0</v>
      </c>
      <c r="C932" s="1" t="s">
        <v>2414</v>
      </c>
      <c r="D932" s="1" t="s">
        <v>1746</v>
      </c>
      <c r="E932" s="5">
        <v>30150.0</v>
      </c>
      <c r="F932" s="4">
        <v>124801.7025232315</v>
      </c>
      <c r="G932" s="1" t="s">
        <v>2686</v>
      </c>
      <c r="H932" s="95">
        <v>45223.0</v>
      </c>
      <c r="I932" s="95">
        <v>45231.0</v>
      </c>
      <c r="J932" s="4">
        <v>141434.4402551651</v>
      </c>
      <c r="K932" s="1"/>
      <c r="L932" s="1"/>
      <c r="M932" s="1" t="str">
        <f>VLOOKUP(B932,Bounties!A:D,3,FALSE)</f>
        <v>Development</v>
      </c>
      <c r="N932" s="1" t="str">
        <f>VLOOKUP(B932,Bounties!A:D,4,FALSE)</f>
        <v>Smart Contracts</v>
      </c>
      <c r="O932" s="1" t="str">
        <f t="shared" ref="O932:P932" si="936">IF(ISBLANK(K932),M932,K932)</f>
        <v>Development</v>
      </c>
      <c r="P932" s="1" t="str">
        <f t="shared" si="936"/>
        <v>Smart Contracts</v>
      </c>
      <c r="Q932" s="61" t="str">
        <f t="shared" si="3"/>
        <v>2023</v>
      </c>
      <c r="R932" s="62">
        <f t="shared" si="4"/>
        <v>11</v>
      </c>
      <c r="S932" s="61" t="str">
        <f t="shared" si="5"/>
        <v>2023-Q4</v>
      </c>
      <c r="T932" s="63" t="str">
        <f t="shared" si="6"/>
        <v>2023-11</v>
      </c>
      <c r="U932" s="64" t="str">
        <f t="shared" si="7"/>
        <v>2023-H2</v>
      </c>
      <c r="V932" s="9" t="str">
        <f>VLOOKUP(B932,Bounties!A:E,2,FALSE)</f>
        <v>Wasm Smart Contracts Bounty</v>
      </c>
    </row>
    <row r="933" hidden="1">
      <c r="A933" s="67">
        <f>HYPERLINK("https://polkadot.subsquare.io/treasury/child-bounties/461", 461)</f>
        <v>461</v>
      </c>
      <c r="B933" s="1">
        <v>19.0</v>
      </c>
      <c r="C933" s="1" t="s">
        <v>2414</v>
      </c>
      <c r="D933" s="1" t="s">
        <v>1745</v>
      </c>
      <c r="E933" s="5">
        <v>12690.0</v>
      </c>
      <c r="F933" s="4">
        <v>53759.99022960663</v>
      </c>
      <c r="G933" s="1" t="s">
        <v>2564</v>
      </c>
      <c r="H933" s="95">
        <v>45222.0</v>
      </c>
      <c r="I933" s="95">
        <v>45249.0</v>
      </c>
      <c r="J933" s="4">
        <v>65643.65575790405</v>
      </c>
      <c r="K933" s="1"/>
      <c r="L933" s="1"/>
      <c r="M933" s="1" t="str">
        <f>VLOOKUP(B933,Bounties!A:D,3,FALSE)</f>
        <v>Development</v>
      </c>
      <c r="N933" s="1" t="str">
        <f>VLOOKUP(B933,Bounties!A:D,4,FALSE)</f>
        <v>Smart Contracts</v>
      </c>
      <c r="O933" s="1" t="str">
        <f t="shared" ref="O933:P933" si="937">IF(ISBLANK(K933),M933,K933)</f>
        <v>Development</v>
      </c>
      <c r="P933" s="1" t="str">
        <f t="shared" si="937"/>
        <v>Smart Contracts</v>
      </c>
      <c r="Q933" s="61" t="str">
        <f t="shared" si="3"/>
        <v>2023</v>
      </c>
      <c r="R933" s="62">
        <f t="shared" si="4"/>
        <v>11</v>
      </c>
      <c r="S933" s="61" t="str">
        <f t="shared" si="5"/>
        <v>2023-Q4</v>
      </c>
      <c r="T933" s="63" t="str">
        <f t="shared" si="6"/>
        <v>2023-11</v>
      </c>
      <c r="U933" s="64" t="str">
        <f t="shared" si="7"/>
        <v>2023-H2</v>
      </c>
      <c r="V933" s="9" t="str">
        <f>VLOOKUP(B933,Bounties!A:E,2,FALSE)</f>
        <v>Wasm Smart Contracts Bounty</v>
      </c>
    </row>
    <row r="934" hidden="1">
      <c r="A934" s="67">
        <f>HYPERLINK("https://polkadot.subsquare.io/treasury/child-bounties/460", 460)</f>
        <v>460</v>
      </c>
      <c r="B934" s="1">
        <v>19.0</v>
      </c>
      <c r="C934" s="1" t="s">
        <v>2414</v>
      </c>
      <c r="D934" s="1" t="s">
        <v>1744</v>
      </c>
      <c r="E934" s="5">
        <v>8068.0</v>
      </c>
      <c r="F934" s="4">
        <v>29501.037145614624</v>
      </c>
      <c r="G934" s="1" t="s">
        <v>2646</v>
      </c>
      <c r="H934" s="95">
        <v>45214.0</v>
      </c>
      <c r="I934" s="95">
        <v>45222.0</v>
      </c>
      <c r="J934" s="4">
        <v>34179.32239341736</v>
      </c>
      <c r="K934" s="1"/>
      <c r="L934" s="1"/>
      <c r="M934" s="1" t="str">
        <f>VLOOKUP(B934,Bounties!A:D,3,FALSE)</f>
        <v>Development</v>
      </c>
      <c r="N934" s="1" t="str">
        <f>VLOOKUP(B934,Bounties!A:D,4,FALSE)</f>
        <v>Smart Contracts</v>
      </c>
      <c r="O934" s="1" t="str">
        <f t="shared" ref="O934:P934" si="938">IF(ISBLANK(K934),M934,K934)</f>
        <v>Development</v>
      </c>
      <c r="P934" s="1" t="str">
        <f t="shared" si="938"/>
        <v>Smart Contracts</v>
      </c>
      <c r="Q934" s="61" t="str">
        <f t="shared" si="3"/>
        <v>2023</v>
      </c>
      <c r="R934" s="62">
        <f t="shared" si="4"/>
        <v>10</v>
      </c>
      <c r="S934" s="61" t="str">
        <f t="shared" si="5"/>
        <v>2023-Q4</v>
      </c>
      <c r="T934" s="63" t="str">
        <f t="shared" si="6"/>
        <v>2023-10</v>
      </c>
      <c r="U934" s="64" t="str">
        <f t="shared" si="7"/>
        <v>2023-H2</v>
      </c>
      <c r="V934" s="9" t="str">
        <f>VLOOKUP(B934,Bounties!A:E,2,FALSE)</f>
        <v>Wasm Smart Contracts Bounty</v>
      </c>
    </row>
    <row r="935" hidden="1">
      <c r="A935" s="67">
        <f>HYPERLINK("https://polkadot.subsquare.io/treasury/child-bounties/459", 459)</f>
        <v>459</v>
      </c>
      <c r="B935" s="1">
        <v>19.0</v>
      </c>
      <c r="C935" s="1" t="s">
        <v>2414</v>
      </c>
      <c r="D935" s="1" t="s">
        <v>1743</v>
      </c>
      <c r="E935" s="5">
        <v>2437.0</v>
      </c>
      <c r="F935" s="4">
        <v>8911.009856700897</v>
      </c>
      <c r="G935" s="1" t="s">
        <v>2498</v>
      </c>
      <c r="H935" s="95">
        <v>45214.0</v>
      </c>
      <c r="I935" s="95">
        <v>45223.0</v>
      </c>
      <c r="J935" s="4">
        <v>10324.12105512619</v>
      </c>
      <c r="K935" s="1"/>
      <c r="L935" s="1"/>
      <c r="M935" s="1" t="str">
        <f>VLOOKUP(B935,Bounties!A:D,3,FALSE)</f>
        <v>Development</v>
      </c>
      <c r="N935" s="1" t="str">
        <f>VLOOKUP(B935,Bounties!A:D,4,FALSE)</f>
        <v>Smart Contracts</v>
      </c>
      <c r="O935" s="1" t="str">
        <f t="shared" ref="O935:P935" si="939">IF(ISBLANK(K935),M935,K935)</f>
        <v>Development</v>
      </c>
      <c r="P935" s="1" t="str">
        <f t="shared" si="939"/>
        <v>Smart Contracts</v>
      </c>
      <c r="Q935" s="61" t="str">
        <f t="shared" si="3"/>
        <v>2023</v>
      </c>
      <c r="R935" s="62">
        <f t="shared" si="4"/>
        <v>10</v>
      </c>
      <c r="S935" s="61" t="str">
        <f t="shared" si="5"/>
        <v>2023-Q4</v>
      </c>
      <c r="T935" s="63" t="str">
        <f t="shared" si="6"/>
        <v>2023-10</v>
      </c>
      <c r="U935" s="64" t="str">
        <f t="shared" si="7"/>
        <v>2023-H2</v>
      </c>
      <c r="V935" s="9" t="str">
        <f>VLOOKUP(B935,Bounties!A:E,2,FALSE)</f>
        <v>Wasm Smart Contracts Bounty</v>
      </c>
    </row>
    <row r="936" hidden="1">
      <c r="A936" s="67">
        <f>HYPERLINK("https://polkadot.subsquare.io/treasury/child-bounties/458", 458)</f>
        <v>458</v>
      </c>
      <c r="B936" s="1">
        <v>10.0</v>
      </c>
      <c r="C936" s="1" t="s">
        <v>2414</v>
      </c>
      <c r="D936" s="1" t="s">
        <v>1742</v>
      </c>
      <c r="E936" s="5">
        <v>29427.0</v>
      </c>
      <c r="F936" s="4">
        <v>108145.9004073143</v>
      </c>
      <c r="G936" s="1" t="s">
        <v>2685</v>
      </c>
      <c r="H936" s="95">
        <v>45214.0</v>
      </c>
      <c r="I936" s="95">
        <v>45228.0</v>
      </c>
      <c r="J936" s="4">
        <v>139216.48340177536</v>
      </c>
      <c r="K936" s="1"/>
      <c r="L936" s="1"/>
      <c r="M936" s="1" t="str">
        <f>VLOOKUP(B936,Bounties!A:D,3,FALSE)</f>
        <v>Talent &amp; Education</v>
      </c>
      <c r="N936" s="1" t="str">
        <f>VLOOKUP(B936,Bounties!A:D,4,FALSE)</f>
        <v>Incubation</v>
      </c>
      <c r="O936" s="1" t="str">
        <f t="shared" ref="O936:P936" si="940">IF(ISBLANK(K936),M936,K936)</f>
        <v>Talent &amp; Education</v>
      </c>
      <c r="P936" s="1" t="str">
        <f t="shared" si="940"/>
        <v>Incubation</v>
      </c>
      <c r="Q936" s="61" t="str">
        <f t="shared" si="3"/>
        <v>2023</v>
      </c>
      <c r="R936" s="62">
        <f t="shared" si="4"/>
        <v>10</v>
      </c>
      <c r="S936" s="61" t="str">
        <f t="shared" si="5"/>
        <v>2023-Q4</v>
      </c>
      <c r="T936" s="63" t="str">
        <f t="shared" si="6"/>
        <v>2023-10</v>
      </c>
      <c r="U936" s="64" t="str">
        <f t="shared" si="7"/>
        <v>2023-H2</v>
      </c>
      <c r="V936" s="9" t="str">
        <f>VLOOKUP(B936,Bounties!A:E,2,FALSE)</f>
        <v>Polkadot Pioneers Bounty</v>
      </c>
    </row>
    <row r="937" hidden="1">
      <c r="A937" s="67">
        <f>HYPERLINK("https://polkadot.subsquare.io/treasury/child-bounties/457", 457)</f>
        <v>457</v>
      </c>
      <c r="B937" s="1">
        <v>24.0</v>
      </c>
      <c r="C937" s="1" t="s">
        <v>2414</v>
      </c>
      <c r="D937" s="1" t="s">
        <v>1741</v>
      </c>
      <c r="E937" s="5">
        <v>610.3038309115</v>
      </c>
      <c r="F937" s="4">
        <v>2242.9013258557607</v>
      </c>
      <c r="G937" s="1" t="s">
        <v>2437</v>
      </c>
      <c r="H937" s="95">
        <v>45213.0</v>
      </c>
      <c r="I937" s="95">
        <v>45221.0</v>
      </c>
      <c r="J937" s="4">
        <v>2615.1849981028618</v>
      </c>
      <c r="K937" s="1"/>
      <c r="L937" s="1"/>
      <c r="M937" s="1" t="str">
        <f>VLOOKUP(B937,Bounties!A:D,3,FALSE)</f>
        <v>Outreach</v>
      </c>
      <c r="N937" s="1" t="str">
        <f>VLOOKUP(B937,Bounties!A:D,4,FALSE)</f>
        <v>Community Building</v>
      </c>
      <c r="O937" s="1" t="str">
        <f t="shared" ref="O937:P937" si="941">IF(ISBLANK(K937),M937,K937)</f>
        <v>Outreach</v>
      </c>
      <c r="P937" s="1" t="str">
        <f t="shared" si="941"/>
        <v>Community Building</v>
      </c>
      <c r="Q937" s="61" t="str">
        <f t="shared" si="3"/>
        <v>2023</v>
      </c>
      <c r="R937" s="62">
        <f t="shared" si="4"/>
        <v>10</v>
      </c>
      <c r="S937" s="61" t="str">
        <f t="shared" si="5"/>
        <v>2023-Q4</v>
      </c>
      <c r="T937" s="63" t="str">
        <f t="shared" si="6"/>
        <v>2023-10</v>
      </c>
      <c r="U937" s="64" t="str">
        <f t="shared" si="7"/>
        <v>2023-H2</v>
      </c>
      <c r="V937" s="9" t="str">
        <f>VLOOKUP(B937,Bounties!A:E,2,FALSE)</f>
        <v>Moderation Team Bounty</v>
      </c>
    </row>
    <row r="938" hidden="1">
      <c r="A938" s="67">
        <f>HYPERLINK("https://polkadot.subsquare.io/treasury/child-bounties/456", 456)</f>
        <v>456</v>
      </c>
      <c r="B938" s="1">
        <v>24.0</v>
      </c>
      <c r="C938" s="1" t="s">
        <v>2414</v>
      </c>
      <c r="D938" s="1" t="s">
        <v>1740</v>
      </c>
      <c r="E938" s="5">
        <v>610.3038309115</v>
      </c>
      <c r="F938" s="4">
        <v>2242.9013258557607</v>
      </c>
      <c r="G938" s="1" t="s">
        <v>2535</v>
      </c>
      <c r="H938" s="95">
        <v>45213.0</v>
      </c>
      <c r="I938" s="95">
        <v>45222.0</v>
      </c>
      <c r="J938" s="4">
        <v>2615.1849981028618</v>
      </c>
      <c r="K938" s="1"/>
      <c r="L938" s="1"/>
      <c r="M938" s="1" t="str">
        <f>VLOOKUP(B938,Bounties!A:D,3,FALSE)</f>
        <v>Outreach</v>
      </c>
      <c r="N938" s="1" t="str">
        <f>VLOOKUP(B938,Bounties!A:D,4,FALSE)</f>
        <v>Community Building</v>
      </c>
      <c r="O938" s="1" t="str">
        <f t="shared" ref="O938:P938" si="942">IF(ISBLANK(K938),M938,K938)</f>
        <v>Outreach</v>
      </c>
      <c r="P938" s="1" t="str">
        <f t="shared" si="942"/>
        <v>Community Building</v>
      </c>
      <c r="Q938" s="61" t="str">
        <f t="shared" si="3"/>
        <v>2023</v>
      </c>
      <c r="R938" s="62">
        <f t="shared" si="4"/>
        <v>10</v>
      </c>
      <c r="S938" s="61" t="str">
        <f t="shared" si="5"/>
        <v>2023-Q4</v>
      </c>
      <c r="T938" s="63" t="str">
        <f t="shared" si="6"/>
        <v>2023-10</v>
      </c>
      <c r="U938" s="64" t="str">
        <f t="shared" si="7"/>
        <v>2023-H2</v>
      </c>
      <c r="V938" s="9" t="str">
        <f>VLOOKUP(B938,Bounties!A:E,2,FALSE)</f>
        <v>Moderation Team Bounty</v>
      </c>
    </row>
    <row r="939" hidden="1">
      <c r="A939" s="67">
        <f>HYPERLINK("https://polkadot.subsquare.io/treasury/child-bounties/455", 455)</f>
        <v>455</v>
      </c>
      <c r="B939" s="1">
        <v>24.0</v>
      </c>
      <c r="C939" s="1" t="s">
        <v>2414</v>
      </c>
      <c r="D939" s="1" t="s">
        <v>1739</v>
      </c>
      <c r="E939" s="5">
        <v>742.4042272127</v>
      </c>
      <c r="F939" s="4">
        <v>2728.3778033137523</v>
      </c>
      <c r="G939" s="1" t="s">
        <v>2549</v>
      </c>
      <c r="H939" s="95">
        <v>45213.0</v>
      </c>
      <c r="I939" s="95">
        <v>45221.0</v>
      </c>
      <c r="J939" s="4">
        <v>3181.242356999626</v>
      </c>
      <c r="K939" s="1"/>
      <c r="L939" s="1"/>
      <c r="M939" s="1" t="str">
        <f>VLOOKUP(B939,Bounties!A:D,3,FALSE)</f>
        <v>Outreach</v>
      </c>
      <c r="N939" s="1" t="str">
        <f>VLOOKUP(B939,Bounties!A:D,4,FALSE)</f>
        <v>Community Building</v>
      </c>
      <c r="O939" s="1" t="str">
        <f t="shared" ref="O939:P939" si="943">IF(ISBLANK(K939),M939,K939)</f>
        <v>Outreach</v>
      </c>
      <c r="P939" s="1" t="str">
        <f t="shared" si="943"/>
        <v>Community Building</v>
      </c>
      <c r="Q939" s="61" t="str">
        <f t="shared" si="3"/>
        <v>2023</v>
      </c>
      <c r="R939" s="62">
        <f t="shared" si="4"/>
        <v>10</v>
      </c>
      <c r="S939" s="61" t="str">
        <f t="shared" si="5"/>
        <v>2023-Q4</v>
      </c>
      <c r="T939" s="63" t="str">
        <f t="shared" si="6"/>
        <v>2023-10</v>
      </c>
      <c r="U939" s="64" t="str">
        <f t="shared" si="7"/>
        <v>2023-H2</v>
      </c>
      <c r="V939" s="9" t="str">
        <f>VLOOKUP(B939,Bounties!A:E,2,FALSE)</f>
        <v>Moderation Team Bounty</v>
      </c>
    </row>
    <row r="940" hidden="1">
      <c r="A940" s="67">
        <f>HYPERLINK("https://polkadot.subsquare.io/treasury/child-bounties/454", 454)</f>
        <v>454</v>
      </c>
      <c r="B940" s="1">
        <v>24.0</v>
      </c>
      <c r="C940" s="1" t="s">
        <v>2414</v>
      </c>
      <c r="D940" s="1" t="s">
        <v>1738</v>
      </c>
      <c r="E940" s="5">
        <v>610.3038309115</v>
      </c>
      <c r="F940" s="4">
        <v>2242.9013258557607</v>
      </c>
      <c r="G940" s="1" t="s">
        <v>2524</v>
      </c>
      <c r="H940" s="95">
        <v>45213.0</v>
      </c>
      <c r="I940" s="95">
        <v>45221.0</v>
      </c>
      <c r="J940" s="4">
        <v>2615.1849981028618</v>
      </c>
      <c r="K940" s="1"/>
      <c r="L940" s="1"/>
      <c r="M940" s="1" t="str">
        <f>VLOOKUP(B940,Bounties!A:D,3,FALSE)</f>
        <v>Outreach</v>
      </c>
      <c r="N940" s="1" t="str">
        <f>VLOOKUP(B940,Bounties!A:D,4,FALSE)</f>
        <v>Community Building</v>
      </c>
      <c r="O940" s="1" t="str">
        <f t="shared" ref="O940:P940" si="944">IF(ISBLANK(K940),M940,K940)</f>
        <v>Outreach</v>
      </c>
      <c r="P940" s="1" t="str">
        <f t="shared" si="944"/>
        <v>Community Building</v>
      </c>
      <c r="Q940" s="61" t="str">
        <f t="shared" si="3"/>
        <v>2023</v>
      </c>
      <c r="R940" s="62">
        <f t="shared" si="4"/>
        <v>10</v>
      </c>
      <c r="S940" s="61" t="str">
        <f t="shared" si="5"/>
        <v>2023-Q4</v>
      </c>
      <c r="T940" s="63" t="str">
        <f t="shared" si="6"/>
        <v>2023-10</v>
      </c>
      <c r="U940" s="64" t="str">
        <f t="shared" si="7"/>
        <v>2023-H2</v>
      </c>
      <c r="V940" s="9" t="str">
        <f>VLOOKUP(B940,Bounties!A:E,2,FALSE)</f>
        <v>Moderation Team Bounty</v>
      </c>
    </row>
    <row r="941" hidden="1">
      <c r="A941" s="67">
        <f>HYPERLINK("https://polkadot.subsquare.io/treasury/child-bounties/453", 453)</f>
        <v>453</v>
      </c>
      <c r="B941" s="1">
        <v>24.0</v>
      </c>
      <c r="C941" s="1" t="s">
        <v>2414</v>
      </c>
      <c r="D941" s="1" t="s">
        <v>1737</v>
      </c>
      <c r="E941" s="5">
        <v>610.3038309115</v>
      </c>
      <c r="F941" s="4">
        <v>2242.9013258557607</v>
      </c>
      <c r="G941" s="1" t="s">
        <v>2551</v>
      </c>
      <c r="H941" s="95">
        <v>45213.0</v>
      </c>
      <c r="I941" s="95">
        <v>45221.0</v>
      </c>
      <c r="J941" s="4">
        <v>2615.1849981028618</v>
      </c>
      <c r="K941" s="1"/>
      <c r="L941" s="1"/>
      <c r="M941" s="1" t="str">
        <f>VLOOKUP(B941,Bounties!A:D,3,FALSE)</f>
        <v>Outreach</v>
      </c>
      <c r="N941" s="1" t="str">
        <f>VLOOKUP(B941,Bounties!A:D,4,FALSE)</f>
        <v>Community Building</v>
      </c>
      <c r="O941" s="1" t="str">
        <f t="shared" ref="O941:P941" si="945">IF(ISBLANK(K941),M941,K941)</f>
        <v>Outreach</v>
      </c>
      <c r="P941" s="1" t="str">
        <f t="shared" si="945"/>
        <v>Community Building</v>
      </c>
      <c r="Q941" s="61" t="str">
        <f t="shared" si="3"/>
        <v>2023</v>
      </c>
      <c r="R941" s="62">
        <f t="shared" si="4"/>
        <v>10</v>
      </c>
      <c r="S941" s="61" t="str">
        <f t="shared" si="5"/>
        <v>2023-Q4</v>
      </c>
      <c r="T941" s="63" t="str">
        <f t="shared" si="6"/>
        <v>2023-10</v>
      </c>
      <c r="U941" s="64" t="str">
        <f t="shared" si="7"/>
        <v>2023-H2</v>
      </c>
      <c r="V941" s="9" t="str">
        <f>VLOOKUP(B941,Bounties!A:E,2,FALSE)</f>
        <v>Moderation Team Bounty</v>
      </c>
    </row>
    <row r="942" hidden="1">
      <c r="A942" s="67">
        <f>HYPERLINK("https://polkadot.subsquare.io/treasury/child-bounties/452", 452)</f>
        <v>452</v>
      </c>
      <c r="B942" s="1">
        <v>24.0</v>
      </c>
      <c r="C942" s="1" t="s">
        <v>2414</v>
      </c>
      <c r="D942" s="1" t="s">
        <v>1736</v>
      </c>
      <c r="E942" s="5">
        <v>610.3038309115</v>
      </c>
      <c r="F942" s="4">
        <v>2242.9013258557607</v>
      </c>
      <c r="G942" s="1" t="s">
        <v>2528</v>
      </c>
      <c r="H942" s="95">
        <v>45213.0</v>
      </c>
      <c r="I942" s="95">
        <v>45221.0</v>
      </c>
      <c r="J942" s="4">
        <v>2615.1849981028618</v>
      </c>
      <c r="K942" s="1"/>
      <c r="L942" s="1"/>
      <c r="M942" s="1" t="str">
        <f>VLOOKUP(B942,Bounties!A:D,3,FALSE)</f>
        <v>Outreach</v>
      </c>
      <c r="N942" s="1" t="str">
        <f>VLOOKUP(B942,Bounties!A:D,4,FALSE)</f>
        <v>Community Building</v>
      </c>
      <c r="O942" s="1" t="str">
        <f t="shared" ref="O942:P942" si="946">IF(ISBLANK(K942),M942,K942)</f>
        <v>Outreach</v>
      </c>
      <c r="P942" s="1" t="str">
        <f t="shared" si="946"/>
        <v>Community Building</v>
      </c>
      <c r="Q942" s="61" t="str">
        <f t="shared" si="3"/>
        <v>2023</v>
      </c>
      <c r="R942" s="62">
        <f t="shared" si="4"/>
        <v>10</v>
      </c>
      <c r="S942" s="61" t="str">
        <f t="shared" si="5"/>
        <v>2023-Q4</v>
      </c>
      <c r="T942" s="63" t="str">
        <f t="shared" si="6"/>
        <v>2023-10</v>
      </c>
      <c r="U942" s="64" t="str">
        <f t="shared" si="7"/>
        <v>2023-H2</v>
      </c>
      <c r="V942" s="9" t="str">
        <f>VLOOKUP(B942,Bounties!A:E,2,FALSE)</f>
        <v>Moderation Team Bounty</v>
      </c>
    </row>
    <row r="943" hidden="1">
      <c r="A943" s="67">
        <f>HYPERLINK("https://polkadot.subsquare.io/treasury/child-bounties/451", 451)</f>
        <v>451</v>
      </c>
      <c r="B943" s="1">
        <v>24.0</v>
      </c>
      <c r="C943" s="1" t="s">
        <v>2414</v>
      </c>
      <c r="D943" s="1" t="s">
        <v>1735</v>
      </c>
      <c r="E943" s="5">
        <v>681.6380449141</v>
      </c>
      <c r="F943" s="4">
        <v>2505.0586236828995</v>
      </c>
      <c r="G943" s="1" t="s">
        <v>2433</v>
      </c>
      <c r="H943" s="95">
        <v>45213.0</v>
      </c>
      <c r="I943" s="95">
        <v>45221.0</v>
      </c>
      <c r="J943" s="4">
        <v>2920.8559719069085</v>
      </c>
      <c r="K943" s="1"/>
      <c r="L943" s="1"/>
      <c r="M943" s="1" t="str">
        <f>VLOOKUP(B943,Bounties!A:D,3,FALSE)</f>
        <v>Outreach</v>
      </c>
      <c r="N943" s="1" t="str">
        <f>VLOOKUP(B943,Bounties!A:D,4,FALSE)</f>
        <v>Community Building</v>
      </c>
      <c r="O943" s="1" t="str">
        <f t="shared" ref="O943:P943" si="947">IF(ISBLANK(K943),M943,K943)</f>
        <v>Outreach</v>
      </c>
      <c r="P943" s="1" t="str">
        <f t="shared" si="947"/>
        <v>Community Building</v>
      </c>
      <c r="Q943" s="61" t="str">
        <f t="shared" si="3"/>
        <v>2023</v>
      </c>
      <c r="R943" s="62">
        <f t="shared" si="4"/>
        <v>10</v>
      </c>
      <c r="S943" s="61" t="str">
        <f t="shared" si="5"/>
        <v>2023-Q4</v>
      </c>
      <c r="T943" s="63" t="str">
        <f t="shared" si="6"/>
        <v>2023-10</v>
      </c>
      <c r="U943" s="64" t="str">
        <f t="shared" si="7"/>
        <v>2023-H2</v>
      </c>
      <c r="V943" s="9" t="str">
        <f>VLOOKUP(B943,Bounties!A:E,2,FALSE)</f>
        <v>Moderation Team Bounty</v>
      </c>
    </row>
    <row r="944" hidden="1">
      <c r="A944" s="67">
        <f>HYPERLINK("https://polkadot.subsquare.io/treasury/child-bounties/450", 450)</f>
        <v>450</v>
      </c>
      <c r="B944" s="1">
        <v>24.0</v>
      </c>
      <c r="C944" s="1" t="s">
        <v>2414</v>
      </c>
      <c r="D944" s="1" t="s">
        <v>1734</v>
      </c>
      <c r="E944" s="5">
        <v>681.6380449141</v>
      </c>
      <c r="F944" s="4">
        <v>2505.0586236828995</v>
      </c>
      <c r="G944" s="1" t="s">
        <v>2534</v>
      </c>
      <c r="H944" s="95">
        <v>45213.0</v>
      </c>
      <c r="I944" s="95">
        <v>45221.0</v>
      </c>
      <c r="J944" s="4">
        <v>2920.8559719069085</v>
      </c>
      <c r="K944" s="1"/>
      <c r="L944" s="1"/>
      <c r="M944" s="1" t="str">
        <f>VLOOKUP(B944,Bounties!A:D,3,FALSE)</f>
        <v>Outreach</v>
      </c>
      <c r="N944" s="1" t="str">
        <f>VLOOKUP(B944,Bounties!A:D,4,FALSE)</f>
        <v>Community Building</v>
      </c>
      <c r="O944" s="1" t="str">
        <f t="shared" ref="O944:P944" si="948">IF(ISBLANK(K944),M944,K944)</f>
        <v>Outreach</v>
      </c>
      <c r="P944" s="1" t="str">
        <f t="shared" si="948"/>
        <v>Community Building</v>
      </c>
      <c r="Q944" s="61" t="str">
        <f t="shared" si="3"/>
        <v>2023</v>
      </c>
      <c r="R944" s="62">
        <f t="shared" si="4"/>
        <v>10</v>
      </c>
      <c r="S944" s="61" t="str">
        <f t="shared" si="5"/>
        <v>2023-Q4</v>
      </c>
      <c r="T944" s="63" t="str">
        <f t="shared" si="6"/>
        <v>2023-10</v>
      </c>
      <c r="U944" s="64" t="str">
        <f t="shared" si="7"/>
        <v>2023-H2</v>
      </c>
      <c r="V944" s="9" t="str">
        <f>VLOOKUP(B944,Bounties!A:E,2,FALSE)</f>
        <v>Moderation Team Bounty</v>
      </c>
    </row>
    <row r="945" hidden="1">
      <c r="A945" s="67">
        <f>HYPERLINK("https://polkadot.subsquare.io/treasury/child-bounties/449", 449)</f>
        <v>449</v>
      </c>
      <c r="B945" s="1">
        <v>24.0</v>
      </c>
      <c r="C945" s="1" t="s">
        <v>2414</v>
      </c>
      <c r="D945" s="1" t="s">
        <v>1733</v>
      </c>
      <c r="E945" s="5">
        <v>610.3038309115</v>
      </c>
      <c r="F945" s="4">
        <v>2242.9013258557607</v>
      </c>
      <c r="G945" s="1" t="s">
        <v>2463</v>
      </c>
      <c r="H945" s="95">
        <v>45213.0</v>
      </c>
      <c r="I945" s="95">
        <v>45222.0</v>
      </c>
      <c r="J945" s="4">
        <v>2615.1849981028618</v>
      </c>
      <c r="K945" s="1"/>
      <c r="L945" s="1"/>
      <c r="M945" s="1" t="str">
        <f>VLOOKUP(B945,Bounties!A:D,3,FALSE)</f>
        <v>Outreach</v>
      </c>
      <c r="N945" s="1" t="str">
        <f>VLOOKUP(B945,Bounties!A:D,4,FALSE)</f>
        <v>Community Building</v>
      </c>
      <c r="O945" s="1" t="str">
        <f t="shared" ref="O945:P945" si="949">IF(ISBLANK(K945),M945,K945)</f>
        <v>Outreach</v>
      </c>
      <c r="P945" s="1" t="str">
        <f t="shared" si="949"/>
        <v>Community Building</v>
      </c>
      <c r="Q945" s="61" t="str">
        <f t="shared" si="3"/>
        <v>2023</v>
      </c>
      <c r="R945" s="62">
        <f t="shared" si="4"/>
        <v>10</v>
      </c>
      <c r="S945" s="61" t="str">
        <f t="shared" si="5"/>
        <v>2023-Q4</v>
      </c>
      <c r="T945" s="63" t="str">
        <f t="shared" si="6"/>
        <v>2023-10</v>
      </c>
      <c r="U945" s="64" t="str">
        <f t="shared" si="7"/>
        <v>2023-H2</v>
      </c>
      <c r="V945" s="9" t="str">
        <f>VLOOKUP(B945,Bounties!A:E,2,FALSE)</f>
        <v>Moderation Team Bounty</v>
      </c>
    </row>
    <row r="946" hidden="1">
      <c r="A946" s="67">
        <f>HYPERLINK("https://polkadot.subsquare.io/treasury/child-bounties/448", 448)</f>
        <v>448</v>
      </c>
      <c r="B946" s="1">
        <v>24.0</v>
      </c>
      <c r="C946" s="1" t="s">
        <v>2414</v>
      </c>
      <c r="D946" s="1" t="s">
        <v>1732</v>
      </c>
      <c r="E946" s="5">
        <v>610.3038309115</v>
      </c>
      <c r="F946" s="4">
        <v>2242.9013258557607</v>
      </c>
      <c r="G946" s="1" t="s">
        <v>2548</v>
      </c>
      <c r="H946" s="95">
        <v>45213.0</v>
      </c>
      <c r="I946" s="95">
        <v>45221.0</v>
      </c>
      <c r="J946" s="4">
        <v>2615.1849981028618</v>
      </c>
      <c r="K946" s="1"/>
      <c r="L946" s="1"/>
      <c r="M946" s="1" t="str">
        <f>VLOOKUP(B946,Bounties!A:D,3,FALSE)</f>
        <v>Outreach</v>
      </c>
      <c r="N946" s="1" t="str">
        <f>VLOOKUP(B946,Bounties!A:D,4,FALSE)</f>
        <v>Community Building</v>
      </c>
      <c r="O946" s="1" t="str">
        <f t="shared" ref="O946:P946" si="950">IF(ISBLANK(K946),M946,K946)</f>
        <v>Outreach</v>
      </c>
      <c r="P946" s="1" t="str">
        <f t="shared" si="950"/>
        <v>Community Building</v>
      </c>
      <c r="Q946" s="61" t="str">
        <f t="shared" si="3"/>
        <v>2023</v>
      </c>
      <c r="R946" s="62">
        <f t="shared" si="4"/>
        <v>10</v>
      </c>
      <c r="S946" s="61" t="str">
        <f t="shared" si="5"/>
        <v>2023-Q4</v>
      </c>
      <c r="T946" s="63" t="str">
        <f t="shared" si="6"/>
        <v>2023-10</v>
      </c>
      <c r="U946" s="64" t="str">
        <f t="shared" si="7"/>
        <v>2023-H2</v>
      </c>
      <c r="V946" s="9" t="str">
        <f>VLOOKUP(B946,Bounties!A:E,2,FALSE)</f>
        <v>Moderation Team Bounty</v>
      </c>
    </row>
    <row r="947" hidden="1">
      <c r="A947" s="67">
        <f>HYPERLINK("https://polkadot.subsquare.io/treasury/child-bounties/447", 447)</f>
        <v>447</v>
      </c>
      <c r="B947" s="1">
        <v>24.0</v>
      </c>
      <c r="C947" s="1" t="s">
        <v>2414</v>
      </c>
      <c r="D947" s="1" t="s">
        <v>1731</v>
      </c>
      <c r="E947" s="5">
        <v>610.3038309115</v>
      </c>
      <c r="F947" s="4">
        <v>2242.9013258557607</v>
      </c>
      <c r="G947" s="1" t="s">
        <v>2550</v>
      </c>
      <c r="H947" s="95">
        <v>45213.0</v>
      </c>
      <c r="I947" s="95">
        <v>45221.0</v>
      </c>
      <c r="J947" s="4">
        <v>2615.1849981028618</v>
      </c>
      <c r="K947" s="1"/>
      <c r="L947" s="1"/>
      <c r="M947" s="1" t="str">
        <f>VLOOKUP(B947,Bounties!A:D,3,FALSE)</f>
        <v>Outreach</v>
      </c>
      <c r="N947" s="1" t="str">
        <f>VLOOKUP(B947,Bounties!A:D,4,FALSE)</f>
        <v>Community Building</v>
      </c>
      <c r="O947" s="1" t="str">
        <f t="shared" ref="O947:P947" si="951">IF(ISBLANK(K947),M947,K947)</f>
        <v>Outreach</v>
      </c>
      <c r="P947" s="1" t="str">
        <f t="shared" si="951"/>
        <v>Community Building</v>
      </c>
      <c r="Q947" s="61" t="str">
        <f t="shared" si="3"/>
        <v>2023</v>
      </c>
      <c r="R947" s="62">
        <f t="shared" si="4"/>
        <v>10</v>
      </c>
      <c r="S947" s="61" t="str">
        <f t="shared" si="5"/>
        <v>2023-Q4</v>
      </c>
      <c r="T947" s="63" t="str">
        <f t="shared" si="6"/>
        <v>2023-10</v>
      </c>
      <c r="U947" s="64" t="str">
        <f t="shared" si="7"/>
        <v>2023-H2</v>
      </c>
      <c r="V947" s="9" t="str">
        <f>VLOOKUP(B947,Bounties!A:E,2,FALSE)</f>
        <v>Moderation Team Bounty</v>
      </c>
    </row>
    <row r="948" hidden="1">
      <c r="A948" s="67">
        <f>HYPERLINK("https://polkadot.subsquare.io/treasury/child-bounties/446", 446)</f>
        <v>446</v>
      </c>
      <c r="B948" s="1">
        <v>24.0</v>
      </c>
      <c r="C948" s="1" t="s">
        <v>2414</v>
      </c>
      <c r="D948" s="1" t="s">
        <v>1730</v>
      </c>
      <c r="E948" s="5">
        <v>610.3038309115</v>
      </c>
      <c r="F948" s="4">
        <v>2242.9013258557607</v>
      </c>
      <c r="G948" s="1" t="s">
        <v>2497</v>
      </c>
      <c r="H948" s="95">
        <v>45213.0</v>
      </c>
      <c r="I948" s="95">
        <v>45222.0</v>
      </c>
      <c r="J948" s="4">
        <v>2615.1849981028618</v>
      </c>
      <c r="K948" s="1"/>
      <c r="L948" s="1"/>
      <c r="M948" s="1" t="str">
        <f>VLOOKUP(B948,Bounties!A:D,3,FALSE)</f>
        <v>Outreach</v>
      </c>
      <c r="N948" s="1" t="str">
        <f>VLOOKUP(B948,Bounties!A:D,4,FALSE)</f>
        <v>Community Building</v>
      </c>
      <c r="O948" s="1" t="str">
        <f t="shared" ref="O948:P948" si="952">IF(ISBLANK(K948),M948,K948)</f>
        <v>Outreach</v>
      </c>
      <c r="P948" s="1" t="str">
        <f t="shared" si="952"/>
        <v>Community Building</v>
      </c>
      <c r="Q948" s="61" t="str">
        <f t="shared" si="3"/>
        <v>2023</v>
      </c>
      <c r="R948" s="62">
        <f t="shared" si="4"/>
        <v>10</v>
      </c>
      <c r="S948" s="61" t="str">
        <f t="shared" si="5"/>
        <v>2023-Q4</v>
      </c>
      <c r="T948" s="63" t="str">
        <f t="shared" si="6"/>
        <v>2023-10</v>
      </c>
      <c r="U948" s="64" t="str">
        <f t="shared" si="7"/>
        <v>2023-H2</v>
      </c>
      <c r="V948" s="9" t="str">
        <f>VLOOKUP(B948,Bounties!A:E,2,FALSE)</f>
        <v>Moderation Team Bounty</v>
      </c>
    </row>
    <row r="949" hidden="1">
      <c r="A949" s="67">
        <f>HYPERLINK("https://polkadot.subsquare.io/treasury/child-bounties/445", 445)</f>
        <v>445</v>
      </c>
      <c r="B949" s="1">
        <v>24.0</v>
      </c>
      <c r="C949" s="1" t="s">
        <v>2414</v>
      </c>
      <c r="D949" s="1" t="s">
        <v>1729</v>
      </c>
      <c r="E949" s="5">
        <v>610.3038309115</v>
      </c>
      <c r="F949" s="4">
        <v>2242.9013258557607</v>
      </c>
      <c r="G949" s="1" t="s">
        <v>2438</v>
      </c>
      <c r="H949" s="95">
        <v>45213.0</v>
      </c>
      <c r="I949" s="95">
        <v>45221.0</v>
      </c>
      <c r="J949" s="4">
        <v>2615.1849981028618</v>
      </c>
      <c r="K949" s="1"/>
      <c r="L949" s="1"/>
      <c r="M949" s="1" t="str">
        <f>VLOOKUP(B949,Bounties!A:D,3,FALSE)</f>
        <v>Outreach</v>
      </c>
      <c r="N949" s="1" t="str">
        <f>VLOOKUP(B949,Bounties!A:D,4,FALSE)</f>
        <v>Community Building</v>
      </c>
      <c r="O949" s="1" t="str">
        <f t="shared" ref="O949:P949" si="953">IF(ISBLANK(K949),M949,K949)</f>
        <v>Outreach</v>
      </c>
      <c r="P949" s="1" t="str">
        <f t="shared" si="953"/>
        <v>Community Building</v>
      </c>
      <c r="Q949" s="61" t="str">
        <f t="shared" si="3"/>
        <v>2023</v>
      </c>
      <c r="R949" s="62">
        <f t="shared" si="4"/>
        <v>10</v>
      </c>
      <c r="S949" s="61" t="str">
        <f t="shared" si="5"/>
        <v>2023-Q4</v>
      </c>
      <c r="T949" s="63" t="str">
        <f t="shared" si="6"/>
        <v>2023-10</v>
      </c>
      <c r="U949" s="64" t="str">
        <f t="shared" si="7"/>
        <v>2023-H2</v>
      </c>
      <c r="V949" s="9" t="str">
        <f>VLOOKUP(B949,Bounties!A:E,2,FALSE)</f>
        <v>Moderation Team Bounty</v>
      </c>
    </row>
    <row r="950" hidden="1">
      <c r="A950" s="67">
        <f>HYPERLINK("https://polkadot.subsquare.io/treasury/child-bounties/444", 444)</f>
        <v>444</v>
      </c>
      <c r="B950" s="1">
        <v>17.0</v>
      </c>
      <c r="C950" s="1" t="s">
        <v>2414</v>
      </c>
      <c r="D950" s="1" t="s">
        <v>1728</v>
      </c>
      <c r="E950" s="5">
        <v>446.0</v>
      </c>
      <c r="F950" s="4">
        <v>1659.6543445587158</v>
      </c>
      <c r="G950" s="1" t="s">
        <v>2687</v>
      </c>
      <c r="H950" s="95">
        <v>45210.0</v>
      </c>
      <c r="I950" s="95">
        <v>45285.0</v>
      </c>
      <c r="J950" s="4">
        <v>3768.750955581665</v>
      </c>
      <c r="K950" s="1"/>
      <c r="L950" s="1" t="s">
        <v>86</v>
      </c>
      <c r="M950" s="1" t="str">
        <f>VLOOKUP(B950,Bounties!A:D,3,FALSE)</f>
        <v>Outreach</v>
      </c>
      <c r="N950" s="1" t="str">
        <f>VLOOKUP(B950,Bounties!A:D,4,FALSE)</f>
        <v>Events/Meetups</v>
      </c>
      <c r="O950" s="1" t="str">
        <f t="shared" ref="O950:P950" si="954">IF(ISBLANK(K950),M950,K950)</f>
        <v>Outreach</v>
      </c>
      <c r="P950" s="1" t="str">
        <f t="shared" si="954"/>
        <v>Events/Conference Attendance &amp; Side Events</v>
      </c>
      <c r="Q950" s="61" t="str">
        <f t="shared" si="3"/>
        <v>2023</v>
      </c>
      <c r="R950" s="62">
        <f t="shared" si="4"/>
        <v>12</v>
      </c>
      <c r="S950" s="61" t="str">
        <f t="shared" si="5"/>
        <v>2023-Q4</v>
      </c>
      <c r="T950" s="63" t="str">
        <f t="shared" si="6"/>
        <v>2023-12</v>
      </c>
      <c r="U950" s="64" t="str">
        <f t="shared" si="7"/>
        <v>2023-H2</v>
      </c>
      <c r="V950" s="9" t="str">
        <f>VLOOKUP(B950,Bounties!A:E,2,FALSE)</f>
        <v>Events Bounty</v>
      </c>
    </row>
    <row r="951" hidden="1">
      <c r="A951" s="67">
        <f>HYPERLINK("https://polkadot.subsquare.io/treasury/child-bounties/443", 443)</f>
        <v>443</v>
      </c>
      <c r="B951" s="1">
        <v>17.0</v>
      </c>
      <c r="C951" s="1" t="s">
        <v>2414</v>
      </c>
      <c r="D951" s="1" t="s">
        <v>1727</v>
      </c>
      <c r="E951" s="5">
        <v>5109.0</v>
      </c>
      <c r="F951" s="4">
        <v>19011.601000785828</v>
      </c>
      <c r="G951" s="1" t="s">
        <v>2605</v>
      </c>
      <c r="H951" s="95">
        <v>45210.0</v>
      </c>
      <c r="I951" s="95">
        <v>45221.0</v>
      </c>
      <c r="J951" s="4">
        <v>21892.34194278717</v>
      </c>
      <c r="K951" s="1"/>
      <c r="L951" s="1" t="s">
        <v>86</v>
      </c>
      <c r="M951" s="1" t="str">
        <f>VLOOKUP(B951,Bounties!A:D,3,FALSE)</f>
        <v>Outreach</v>
      </c>
      <c r="N951" s="1" t="str">
        <f>VLOOKUP(B951,Bounties!A:D,4,FALSE)</f>
        <v>Events/Meetups</v>
      </c>
      <c r="O951" s="1" t="str">
        <f t="shared" ref="O951:P951" si="955">IF(ISBLANK(K951),M951,K951)</f>
        <v>Outreach</v>
      </c>
      <c r="P951" s="1" t="str">
        <f t="shared" si="955"/>
        <v>Events/Conference Attendance &amp; Side Events</v>
      </c>
      <c r="Q951" s="61" t="str">
        <f t="shared" si="3"/>
        <v>2023</v>
      </c>
      <c r="R951" s="62">
        <f t="shared" si="4"/>
        <v>10</v>
      </c>
      <c r="S951" s="61" t="str">
        <f t="shared" si="5"/>
        <v>2023-Q4</v>
      </c>
      <c r="T951" s="63" t="str">
        <f t="shared" si="6"/>
        <v>2023-10</v>
      </c>
      <c r="U951" s="64" t="str">
        <f t="shared" si="7"/>
        <v>2023-H2</v>
      </c>
      <c r="V951" s="9" t="str">
        <f>VLOOKUP(B951,Bounties!A:E,2,FALSE)</f>
        <v>Events Bounty</v>
      </c>
    </row>
    <row r="952" hidden="1">
      <c r="A952" s="67">
        <f>HYPERLINK("https://polkadot.subsquare.io/treasury/child-bounties/442", 442)</f>
        <v>442</v>
      </c>
      <c r="B952" s="1">
        <v>17.0</v>
      </c>
      <c r="C952" s="1" t="s">
        <v>2414</v>
      </c>
      <c r="D952" s="1" t="s">
        <v>1726</v>
      </c>
      <c r="E952" s="5">
        <v>34498.0</v>
      </c>
      <c r="F952" s="4">
        <v>126731.75266599655</v>
      </c>
      <c r="G952" s="1" t="s">
        <v>2688</v>
      </c>
      <c r="H952" s="95">
        <v>45208.0</v>
      </c>
      <c r="I952" s="95">
        <v>45217.0</v>
      </c>
      <c r="J952" s="4">
        <v>134694.1677274704</v>
      </c>
      <c r="K952" s="1"/>
      <c r="L952" s="1"/>
      <c r="M952" s="1" t="str">
        <f>VLOOKUP(B952,Bounties!A:D,3,FALSE)</f>
        <v>Outreach</v>
      </c>
      <c r="N952" s="1" t="str">
        <f>VLOOKUP(B952,Bounties!A:D,4,FALSE)</f>
        <v>Events/Meetups</v>
      </c>
      <c r="O952" s="1" t="str">
        <f t="shared" ref="O952:P952" si="956">IF(ISBLANK(K952),M952,K952)</f>
        <v>Outreach</v>
      </c>
      <c r="P952" s="1" t="str">
        <f t="shared" si="956"/>
        <v>Events/Meetups</v>
      </c>
      <c r="Q952" s="61" t="str">
        <f t="shared" si="3"/>
        <v>2023</v>
      </c>
      <c r="R952" s="62">
        <f t="shared" si="4"/>
        <v>10</v>
      </c>
      <c r="S952" s="61" t="str">
        <f t="shared" si="5"/>
        <v>2023-Q4</v>
      </c>
      <c r="T952" s="63" t="str">
        <f t="shared" si="6"/>
        <v>2023-10</v>
      </c>
      <c r="U952" s="64" t="str">
        <f t="shared" si="7"/>
        <v>2023-H2</v>
      </c>
      <c r="V952" s="9" t="str">
        <f>VLOOKUP(B952,Bounties!A:E,2,FALSE)</f>
        <v>Events Bounty</v>
      </c>
    </row>
    <row r="953" hidden="1">
      <c r="A953" s="67">
        <f>HYPERLINK("https://polkadot.subsquare.io/treasury/child-bounties/441", 441)</f>
        <v>441</v>
      </c>
      <c r="B953" s="1">
        <v>17.0</v>
      </c>
      <c r="C953" s="1" t="s">
        <v>2414</v>
      </c>
      <c r="D953" s="1" t="s">
        <v>1725</v>
      </c>
      <c r="E953" s="5">
        <v>9180.0</v>
      </c>
      <c r="F953" s="4">
        <v>33723.62135410309</v>
      </c>
      <c r="G953" s="1" t="s">
        <v>2689</v>
      </c>
      <c r="H953" s="95">
        <v>45208.0</v>
      </c>
      <c r="I953" s="95">
        <v>45222.0</v>
      </c>
      <c r="J953" s="4">
        <v>38890.205698013306</v>
      </c>
      <c r="K953" s="1"/>
      <c r="M953" s="1" t="str">
        <f>VLOOKUP(B953,Bounties!A:D,3,FALSE)</f>
        <v>Outreach</v>
      </c>
      <c r="N953" s="1" t="str">
        <f>VLOOKUP(B953,Bounties!A:D,4,FALSE)</f>
        <v>Events/Meetups</v>
      </c>
      <c r="O953" s="1" t="str">
        <f t="shared" ref="O953:P953" si="957">IF(ISBLANK(K953),M953,K953)</f>
        <v>Outreach</v>
      </c>
      <c r="P953" s="1" t="str">
        <f t="shared" si="957"/>
        <v>Events/Meetups</v>
      </c>
      <c r="Q953" s="61" t="str">
        <f t="shared" si="3"/>
        <v>2023</v>
      </c>
      <c r="R953" s="62">
        <f t="shared" si="4"/>
        <v>10</v>
      </c>
      <c r="S953" s="61" t="str">
        <f t="shared" si="5"/>
        <v>2023-Q4</v>
      </c>
      <c r="T953" s="63" t="str">
        <f t="shared" si="6"/>
        <v>2023-10</v>
      </c>
      <c r="U953" s="64" t="str">
        <f t="shared" si="7"/>
        <v>2023-H2</v>
      </c>
      <c r="V953" s="9" t="str">
        <f>VLOOKUP(B953,Bounties!A:E,2,FALSE)</f>
        <v>Events Bounty</v>
      </c>
    </row>
    <row r="954" hidden="1">
      <c r="A954" s="67">
        <f>HYPERLINK("https://polkadot.subsquare.io/treasury/child-bounties/440", 440)</f>
        <v>440</v>
      </c>
      <c r="B954" s="1">
        <v>19.0</v>
      </c>
      <c r="C954" s="1" t="s">
        <v>2414</v>
      </c>
      <c r="D954" s="1" t="s">
        <v>1724</v>
      </c>
      <c r="E954" s="5">
        <v>74145.0</v>
      </c>
      <c r="F954" s="4">
        <v>277158.31709861755</v>
      </c>
      <c r="G954" s="1" t="s">
        <v>2690</v>
      </c>
      <c r="H954" s="95">
        <v>45207.0</v>
      </c>
      <c r="I954" s="95">
        <v>45215.0</v>
      </c>
      <c r="J954" s="4">
        <v>270546.06654167175</v>
      </c>
      <c r="K954" s="1"/>
      <c r="L954" s="1"/>
      <c r="M954" s="1" t="str">
        <f>VLOOKUP(B954,Bounties!A:D,3,FALSE)</f>
        <v>Development</v>
      </c>
      <c r="N954" s="1" t="str">
        <f>VLOOKUP(B954,Bounties!A:D,4,FALSE)</f>
        <v>Smart Contracts</v>
      </c>
      <c r="O954" s="1" t="str">
        <f t="shared" ref="O954:P954" si="958">IF(ISBLANK(K954),M954,K954)</f>
        <v>Development</v>
      </c>
      <c r="P954" s="1" t="str">
        <f t="shared" si="958"/>
        <v>Smart Contracts</v>
      </c>
      <c r="Q954" s="61" t="str">
        <f t="shared" si="3"/>
        <v>2023</v>
      </c>
      <c r="R954" s="62">
        <f t="shared" si="4"/>
        <v>10</v>
      </c>
      <c r="S954" s="61" t="str">
        <f t="shared" si="5"/>
        <v>2023-Q4</v>
      </c>
      <c r="T954" s="63" t="str">
        <f t="shared" si="6"/>
        <v>2023-10</v>
      </c>
      <c r="U954" s="64" t="str">
        <f t="shared" si="7"/>
        <v>2023-H2</v>
      </c>
      <c r="V954" s="9" t="str">
        <f>VLOOKUP(B954,Bounties!A:E,2,FALSE)</f>
        <v>Wasm Smart Contracts Bounty</v>
      </c>
    </row>
    <row r="955" hidden="1">
      <c r="A955" s="67">
        <f>HYPERLINK("https://polkadot.subsquare.io/treasury/child-bounties/439", 439)</f>
        <v>439</v>
      </c>
      <c r="B955" s="1">
        <v>19.0</v>
      </c>
      <c r="C955" s="1" t="s">
        <v>2414</v>
      </c>
      <c r="D955" s="1" t="s">
        <v>1723</v>
      </c>
      <c r="E955" s="5">
        <v>9630.0</v>
      </c>
      <c r="F955" s="4">
        <v>36713.72064828873</v>
      </c>
      <c r="G955" s="1" t="s">
        <v>2585</v>
      </c>
      <c r="H955" s="95">
        <v>45206.0</v>
      </c>
      <c r="I955" s="95">
        <v>45214.0</v>
      </c>
      <c r="J955" s="4">
        <v>35212.5666475296</v>
      </c>
      <c r="K955" s="1"/>
      <c r="L955" s="1"/>
      <c r="M955" s="1" t="str">
        <f>VLOOKUP(B955,Bounties!A:D,3,FALSE)</f>
        <v>Development</v>
      </c>
      <c r="N955" s="1" t="str">
        <f>VLOOKUP(B955,Bounties!A:D,4,FALSE)</f>
        <v>Smart Contracts</v>
      </c>
      <c r="O955" s="1" t="str">
        <f t="shared" ref="O955:P955" si="959">IF(ISBLANK(K955),M955,K955)</f>
        <v>Development</v>
      </c>
      <c r="P955" s="1" t="str">
        <f t="shared" si="959"/>
        <v>Smart Contracts</v>
      </c>
      <c r="Q955" s="61" t="str">
        <f t="shared" si="3"/>
        <v>2023</v>
      </c>
      <c r="R955" s="62">
        <f t="shared" si="4"/>
        <v>10</v>
      </c>
      <c r="S955" s="61" t="str">
        <f t="shared" si="5"/>
        <v>2023-Q4</v>
      </c>
      <c r="T955" s="63" t="str">
        <f t="shared" si="6"/>
        <v>2023-10</v>
      </c>
      <c r="U955" s="64" t="str">
        <f t="shared" si="7"/>
        <v>2023-H2</v>
      </c>
      <c r="V955" s="9" t="str">
        <f>VLOOKUP(B955,Bounties!A:E,2,FALSE)</f>
        <v>Wasm Smart Contracts Bounty</v>
      </c>
    </row>
    <row r="956" hidden="1">
      <c r="A956" s="67">
        <f>HYPERLINK("https://polkadot.subsquare.io/treasury/child-bounties/438", 438)</f>
        <v>438</v>
      </c>
      <c r="B956" s="1">
        <v>11.0</v>
      </c>
      <c r="C956" s="1" t="s">
        <v>2414</v>
      </c>
      <c r="D956" s="1" t="s">
        <v>1722</v>
      </c>
      <c r="E956" s="5">
        <v>82.5242718447</v>
      </c>
      <c r="F956" s="4">
        <v>334.00181196284433</v>
      </c>
      <c r="G956" s="1" t="s">
        <v>2438</v>
      </c>
      <c r="H956" s="95">
        <v>45200.0</v>
      </c>
      <c r="I956" s="95">
        <v>45209.0</v>
      </c>
      <c r="J956" s="4">
        <v>307.0891621044862</v>
      </c>
      <c r="K956" s="1"/>
      <c r="L956" s="1"/>
      <c r="M956" s="1" t="str">
        <f>VLOOKUP(B956,Bounties!A:D,3,FALSE)</f>
        <v>Research</v>
      </c>
      <c r="N956" s="1" t="str">
        <f>VLOOKUP(B956,Bounties!A:D,4,FALSE)</f>
        <v>Anti-Scam</v>
      </c>
      <c r="O956" s="1" t="str">
        <f t="shared" ref="O956:P956" si="960">IF(ISBLANK(K956),M956,K956)</f>
        <v>Research</v>
      </c>
      <c r="P956" s="1" t="str">
        <f t="shared" si="960"/>
        <v>Anti-Scam</v>
      </c>
      <c r="Q956" s="61" t="str">
        <f t="shared" si="3"/>
        <v>2023</v>
      </c>
      <c r="R956" s="62">
        <f t="shared" si="4"/>
        <v>10</v>
      </c>
      <c r="S956" s="61" t="str">
        <f t="shared" si="5"/>
        <v>2023-Q4</v>
      </c>
      <c r="T956" s="63" t="str">
        <f t="shared" si="6"/>
        <v>2023-10</v>
      </c>
      <c r="U956" s="64" t="str">
        <f t="shared" si="7"/>
        <v>2023-H2</v>
      </c>
      <c r="V956" s="9" t="str">
        <f>VLOOKUP(B956,Bounties!A:E,2,FALSE)</f>
        <v>Anti-Scam Bounty</v>
      </c>
    </row>
    <row r="957" hidden="1">
      <c r="A957" s="67">
        <f>HYPERLINK("https://polkadot.subsquare.io/treasury/child-bounties/437", 437)</f>
        <v>437</v>
      </c>
      <c r="B957" s="1">
        <v>11.0</v>
      </c>
      <c r="C957" s="1" t="s">
        <v>2414</v>
      </c>
      <c r="D957" s="1" t="s">
        <v>1721</v>
      </c>
      <c r="E957" s="5">
        <v>160.1941747573</v>
      </c>
      <c r="F957" s="4">
        <v>648.3564585158715</v>
      </c>
      <c r="G957" s="1" t="s">
        <v>2437</v>
      </c>
      <c r="H957" s="95">
        <v>45200.0</v>
      </c>
      <c r="I957" s="95">
        <v>45209.0</v>
      </c>
      <c r="J957" s="4">
        <v>596.1142558496662</v>
      </c>
      <c r="K957" s="1"/>
      <c r="L957" s="1"/>
      <c r="M957" s="1" t="str">
        <f>VLOOKUP(B957,Bounties!A:D,3,FALSE)</f>
        <v>Research</v>
      </c>
      <c r="N957" s="1" t="str">
        <f>VLOOKUP(B957,Bounties!A:D,4,FALSE)</f>
        <v>Anti-Scam</v>
      </c>
      <c r="O957" s="1" t="str">
        <f t="shared" ref="O957:P957" si="961">IF(ISBLANK(K957),M957,K957)</f>
        <v>Research</v>
      </c>
      <c r="P957" s="1" t="str">
        <f t="shared" si="961"/>
        <v>Anti-Scam</v>
      </c>
      <c r="Q957" s="61" t="str">
        <f t="shared" si="3"/>
        <v>2023</v>
      </c>
      <c r="R957" s="62">
        <f t="shared" si="4"/>
        <v>10</v>
      </c>
      <c r="S957" s="61" t="str">
        <f t="shared" si="5"/>
        <v>2023-Q4</v>
      </c>
      <c r="T957" s="63" t="str">
        <f t="shared" si="6"/>
        <v>2023-10</v>
      </c>
      <c r="U957" s="64" t="str">
        <f t="shared" si="7"/>
        <v>2023-H2</v>
      </c>
      <c r="V957" s="9" t="str">
        <f>VLOOKUP(B957,Bounties!A:E,2,FALSE)</f>
        <v>Anti-Scam Bounty</v>
      </c>
    </row>
    <row r="958" hidden="1">
      <c r="A958" s="67">
        <f>HYPERLINK("https://polkadot.subsquare.io/treasury/child-bounties/436", 436)</f>
        <v>436</v>
      </c>
      <c r="B958" s="1">
        <v>19.0</v>
      </c>
      <c r="C958" s="1" t="s">
        <v>2414</v>
      </c>
      <c r="D958" s="1" t="s">
        <v>1720</v>
      </c>
      <c r="E958" s="5">
        <v>1.0</v>
      </c>
      <c r="F958" s="4">
        <v>4.047316074371338</v>
      </c>
      <c r="G958" s="1" t="s">
        <v>2691</v>
      </c>
      <c r="H958" s="95">
        <v>45200.0</v>
      </c>
      <c r="I958" s="95">
        <v>45210.0</v>
      </c>
      <c r="J958" s="4">
        <v>3.721198081970215</v>
      </c>
      <c r="K958" s="1"/>
      <c r="L958" s="1"/>
      <c r="M958" s="1" t="str">
        <f>VLOOKUP(B958,Bounties!A:D,3,FALSE)</f>
        <v>Development</v>
      </c>
      <c r="N958" s="1" t="str">
        <f>VLOOKUP(B958,Bounties!A:D,4,FALSE)</f>
        <v>Smart Contracts</v>
      </c>
      <c r="O958" s="1" t="str">
        <f t="shared" ref="O958:P958" si="962">IF(ISBLANK(K958),M958,K958)</f>
        <v>Development</v>
      </c>
      <c r="P958" s="1" t="str">
        <f t="shared" si="962"/>
        <v>Smart Contracts</v>
      </c>
      <c r="Q958" s="61" t="str">
        <f t="shared" si="3"/>
        <v>2023</v>
      </c>
      <c r="R958" s="62">
        <f t="shared" si="4"/>
        <v>10</v>
      </c>
      <c r="S958" s="61" t="str">
        <f t="shared" si="5"/>
        <v>2023-Q4</v>
      </c>
      <c r="T958" s="63" t="str">
        <f t="shared" si="6"/>
        <v>2023-10</v>
      </c>
      <c r="U958" s="64" t="str">
        <f t="shared" si="7"/>
        <v>2023-H2</v>
      </c>
      <c r="V958" s="9" t="str">
        <f>VLOOKUP(B958,Bounties!A:E,2,FALSE)</f>
        <v>Wasm Smart Contracts Bounty</v>
      </c>
    </row>
    <row r="959" hidden="1">
      <c r="A959" s="67">
        <f>HYPERLINK("https://polkadot.subsquare.io/treasury/child-bounties/435", 435)</f>
        <v>435</v>
      </c>
      <c r="B959" s="1">
        <v>11.0</v>
      </c>
      <c r="C959" s="1" t="s">
        <v>2414</v>
      </c>
      <c r="D959" s="1" t="s">
        <v>1719</v>
      </c>
      <c r="E959" s="5">
        <v>1466.129190115</v>
      </c>
      <c r="F959" s="4">
        <v>5973.372283476566</v>
      </c>
      <c r="G959" s="1" t="s">
        <v>2437</v>
      </c>
      <c r="H959" s="95">
        <v>45199.0</v>
      </c>
      <c r="I959" s="95">
        <v>45210.0</v>
      </c>
      <c r="J959" s="4">
        <v>5455.757130176483</v>
      </c>
      <c r="K959" s="1"/>
      <c r="L959" s="1"/>
      <c r="M959" s="1" t="str">
        <f>VLOOKUP(B959,Bounties!A:D,3,FALSE)</f>
        <v>Research</v>
      </c>
      <c r="N959" s="1" t="str">
        <f>VLOOKUP(B959,Bounties!A:D,4,FALSE)</f>
        <v>Anti-Scam</v>
      </c>
      <c r="O959" s="1" t="str">
        <f t="shared" ref="O959:P959" si="963">IF(ISBLANK(K959),M959,K959)</f>
        <v>Research</v>
      </c>
      <c r="P959" s="1" t="str">
        <f t="shared" si="963"/>
        <v>Anti-Scam</v>
      </c>
      <c r="Q959" s="61" t="str">
        <f t="shared" si="3"/>
        <v>2023</v>
      </c>
      <c r="R959" s="62">
        <f t="shared" si="4"/>
        <v>10</v>
      </c>
      <c r="S959" s="61" t="str">
        <f t="shared" si="5"/>
        <v>2023-Q4</v>
      </c>
      <c r="T959" s="63" t="str">
        <f t="shared" si="6"/>
        <v>2023-10</v>
      </c>
      <c r="U959" s="64" t="str">
        <f t="shared" si="7"/>
        <v>2023-H2</v>
      </c>
      <c r="V959" s="9" t="str">
        <f>VLOOKUP(B959,Bounties!A:E,2,FALSE)</f>
        <v>Anti-Scam Bounty</v>
      </c>
    </row>
    <row r="960" hidden="1">
      <c r="A960" s="67">
        <f>HYPERLINK("https://polkadot.subsquare.io/treasury/child-bounties/434", 434)</f>
        <v>434</v>
      </c>
      <c r="B960" s="1">
        <v>11.0</v>
      </c>
      <c r="C960" s="1" t="s">
        <v>2414</v>
      </c>
      <c r="D960" s="1" t="s">
        <v>1718</v>
      </c>
      <c r="E960" s="5">
        <v>1707.4798140445</v>
      </c>
      <c r="F960" s="4">
        <v>6956.694310826126</v>
      </c>
      <c r="G960" s="1" t="s">
        <v>2438</v>
      </c>
      <c r="H960" s="95">
        <v>45199.0</v>
      </c>
      <c r="I960" s="95">
        <v>45212.0</v>
      </c>
      <c r="J960" s="4">
        <v>6411.549037315922</v>
      </c>
      <c r="K960" s="1"/>
      <c r="L960" s="1"/>
      <c r="M960" s="1" t="str">
        <f>VLOOKUP(B960,Bounties!A:D,3,FALSE)</f>
        <v>Research</v>
      </c>
      <c r="N960" s="1" t="str">
        <f>VLOOKUP(B960,Bounties!A:D,4,FALSE)</f>
        <v>Anti-Scam</v>
      </c>
      <c r="O960" s="1" t="str">
        <f t="shared" ref="O960:P960" si="964">IF(ISBLANK(K960),M960,K960)</f>
        <v>Research</v>
      </c>
      <c r="P960" s="1" t="str">
        <f t="shared" si="964"/>
        <v>Anti-Scam</v>
      </c>
      <c r="Q960" s="61" t="str">
        <f t="shared" si="3"/>
        <v>2023</v>
      </c>
      <c r="R960" s="62">
        <f t="shared" si="4"/>
        <v>10</v>
      </c>
      <c r="S960" s="61" t="str">
        <f t="shared" si="5"/>
        <v>2023-Q4</v>
      </c>
      <c r="T960" s="63" t="str">
        <f t="shared" si="6"/>
        <v>2023-10</v>
      </c>
      <c r="U960" s="64" t="str">
        <f t="shared" si="7"/>
        <v>2023-H2</v>
      </c>
      <c r="V960" s="9" t="str">
        <f>VLOOKUP(B960,Bounties!A:E,2,FALSE)</f>
        <v>Anti-Scam Bounty</v>
      </c>
    </row>
    <row r="961" hidden="1">
      <c r="A961" s="67">
        <f>HYPERLINK("https://polkadot.subsquare.io/treasury/child-bounties/433", 433)</f>
        <v>433</v>
      </c>
      <c r="B961" s="1">
        <v>11.0</v>
      </c>
      <c r="C961" s="1" t="s">
        <v>2414</v>
      </c>
      <c r="D961" s="1" t="s">
        <v>1717</v>
      </c>
      <c r="E961" s="5">
        <v>1707.3330070957</v>
      </c>
      <c r="F961" s="4">
        <v>6956.096183072517</v>
      </c>
      <c r="G961" s="1" t="s">
        <v>2463</v>
      </c>
      <c r="H961" s="95">
        <v>45199.0</v>
      </c>
      <c r="I961" s="95">
        <v>45214.0</v>
      </c>
      <c r="J961" s="4">
        <v>6274.546006983111</v>
      </c>
      <c r="K961" s="1"/>
      <c r="L961" s="1"/>
      <c r="M961" s="1" t="str">
        <f>VLOOKUP(B961,Bounties!A:D,3,FALSE)</f>
        <v>Research</v>
      </c>
      <c r="N961" s="1" t="str">
        <f>VLOOKUP(B961,Bounties!A:D,4,FALSE)</f>
        <v>Anti-Scam</v>
      </c>
      <c r="O961" s="1" t="str">
        <f t="shared" ref="O961:P961" si="965">IF(ISBLANK(K961),M961,K961)</f>
        <v>Research</v>
      </c>
      <c r="P961" s="1" t="str">
        <f t="shared" si="965"/>
        <v>Anti-Scam</v>
      </c>
      <c r="Q961" s="61" t="str">
        <f t="shared" si="3"/>
        <v>2023</v>
      </c>
      <c r="R961" s="62">
        <f t="shared" si="4"/>
        <v>10</v>
      </c>
      <c r="S961" s="61" t="str">
        <f t="shared" si="5"/>
        <v>2023-Q4</v>
      </c>
      <c r="T961" s="63" t="str">
        <f t="shared" si="6"/>
        <v>2023-10</v>
      </c>
      <c r="U961" s="64" t="str">
        <f t="shared" si="7"/>
        <v>2023-H2</v>
      </c>
      <c r="V961" s="9" t="str">
        <f>VLOOKUP(B961,Bounties!A:E,2,FALSE)</f>
        <v>Anti-Scam Bounty</v>
      </c>
    </row>
    <row r="962" hidden="1">
      <c r="A962" s="67">
        <f>HYPERLINK("https://polkadot.subsquare.io/treasury/child-bounties/432", 432)</f>
        <v>432</v>
      </c>
      <c r="B962" s="1">
        <v>11.0</v>
      </c>
      <c r="C962" s="1" t="s">
        <v>2414</v>
      </c>
      <c r="D962" s="1" t="s">
        <v>1716</v>
      </c>
      <c r="E962" s="5">
        <v>110.8647450111</v>
      </c>
      <c r="F962" s="4">
        <v>457.1798371106217</v>
      </c>
      <c r="G962" s="1" t="s">
        <v>2437</v>
      </c>
      <c r="H962" s="95">
        <v>45198.0</v>
      </c>
      <c r="I962" s="95">
        <v>45207.0</v>
      </c>
      <c r="J962" s="4">
        <v>414.41885700780676</v>
      </c>
      <c r="K962" s="1"/>
      <c r="L962" s="1"/>
      <c r="M962" s="1" t="str">
        <f>VLOOKUP(B962,Bounties!A:D,3,FALSE)</f>
        <v>Research</v>
      </c>
      <c r="N962" s="1" t="str">
        <f>VLOOKUP(B962,Bounties!A:D,4,FALSE)</f>
        <v>Anti-Scam</v>
      </c>
      <c r="O962" s="1" t="str">
        <f t="shared" ref="O962:P962" si="966">IF(ISBLANK(K962),M962,K962)</f>
        <v>Research</v>
      </c>
      <c r="P962" s="1" t="str">
        <f t="shared" si="966"/>
        <v>Anti-Scam</v>
      </c>
      <c r="Q962" s="61" t="str">
        <f t="shared" si="3"/>
        <v>2023</v>
      </c>
      <c r="R962" s="62">
        <f t="shared" si="4"/>
        <v>10</v>
      </c>
      <c r="S962" s="61" t="str">
        <f t="shared" si="5"/>
        <v>2023-Q4</v>
      </c>
      <c r="T962" s="63" t="str">
        <f t="shared" si="6"/>
        <v>2023-10</v>
      </c>
      <c r="U962" s="64" t="str">
        <f t="shared" si="7"/>
        <v>2023-H2</v>
      </c>
      <c r="V962" s="9" t="str">
        <f>VLOOKUP(B962,Bounties!A:E,2,FALSE)</f>
        <v>Anti-Scam Bounty</v>
      </c>
    </row>
    <row r="963" hidden="1">
      <c r="A963" s="67">
        <f>HYPERLINK("https://polkadot.subsquare.io/treasury/child-bounties/431", 431)</f>
        <v>431</v>
      </c>
      <c r="B963" s="1">
        <v>11.0</v>
      </c>
      <c r="C963" s="1" t="s">
        <v>2414</v>
      </c>
      <c r="D963" s="1" t="s">
        <v>1715</v>
      </c>
      <c r="E963" s="5">
        <v>123.1830500123</v>
      </c>
      <c r="F963" s="4">
        <v>507.9775967894422</v>
      </c>
      <c r="G963" s="1" t="s">
        <v>2526</v>
      </c>
      <c r="H963" s="95">
        <v>45198.0</v>
      </c>
      <c r="I963" s="95">
        <v>45208.0</v>
      </c>
      <c r="J963" s="4">
        <v>452.52489497367634</v>
      </c>
      <c r="K963" s="1"/>
      <c r="L963" s="1"/>
      <c r="M963" s="1" t="str">
        <f>VLOOKUP(B963,Bounties!A:D,3,FALSE)</f>
        <v>Research</v>
      </c>
      <c r="N963" s="1" t="str">
        <f>VLOOKUP(B963,Bounties!A:D,4,FALSE)</f>
        <v>Anti-Scam</v>
      </c>
      <c r="O963" s="1" t="str">
        <f t="shared" ref="O963:P963" si="967">IF(ISBLANK(K963),M963,K963)</f>
        <v>Research</v>
      </c>
      <c r="P963" s="1" t="str">
        <f t="shared" si="967"/>
        <v>Anti-Scam</v>
      </c>
      <c r="Q963" s="61" t="str">
        <f t="shared" si="3"/>
        <v>2023</v>
      </c>
      <c r="R963" s="62">
        <f t="shared" si="4"/>
        <v>10</v>
      </c>
      <c r="S963" s="61" t="str">
        <f t="shared" si="5"/>
        <v>2023-Q4</v>
      </c>
      <c r="T963" s="63" t="str">
        <f t="shared" si="6"/>
        <v>2023-10</v>
      </c>
      <c r="U963" s="64" t="str">
        <f t="shared" si="7"/>
        <v>2023-H2</v>
      </c>
      <c r="V963" s="9" t="str">
        <f>VLOOKUP(B963,Bounties!A:E,2,FALSE)</f>
        <v>Anti-Scam Bounty</v>
      </c>
    </row>
    <row r="964" hidden="1">
      <c r="A964" s="67">
        <f>HYPERLINK("https://polkadot.subsquare.io/treasury/child-bounties/430", 430)</f>
        <v>430</v>
      </c>
      <c r="B964" s="1">
        <v>11.0</v>
      </c>
      <c r="C964" s="1" t="s">
        <v>2414</v>
      </c>
      <c r="D964" s="1" t="s">
        <v>1714</v>
      </c>
      <c r="E964" s="5">
        <v>147.8196600148</v>
      </c>
      <c r="F964" s="4">
        <v>609.5731161474956</v>
      </c>
      <c r="G964" s="1" t="s">
        <v>2531</v>
      </c>
      <c r="H964" s="95">
        <v>45198.0</v>
      </c>
      <c r="I964" s="95">
        <v>45207.0</v>
      </c>
      <c r="J964" s="4">
        <v>563.5524095647334</v>
      </c>
      <c r="K964" s="1"/>
      <c r="L964" s="1"/>
      <c r="M964" s="1" t="str">
        <f>VLOOKUP(B964,Bounties!A:D,3,FALSE)</f>
        <v>Research</v>
      </c>
      <c r="N964" s="1" t="str">
        <f>VLOOKUP(B964,Bounties!A:D,4,FALSE)</f>
        <v>Anti-Scam</v>
      </c>
      <c r="O964" s="1" t="str">
        <f t="shared" ref="O964:P964" si="968">IF(ISBLANK(K964),M964,K964)</f>
        <v>Research</v>
      </c>
      <c r="P964" s="1" t="str">
        <f t="shared" si="968"/>
        <v>Anti-Scam</v>
      </c>
      <c r="Q964" s="61" t="str">
        <f t="shared" si="3"/>
        <v>2023</v>
      </c>
      <c r="R964" s="62">
        <f t="shared" si="4"/>
        <v>10</v>
      </c>
      <c r="S964" s="61" t="str">
        <f t="shared" si="5"/>
        <v>2023-Q4</v>
      </c>
      <c r="T964" s="63" t="str">
        <f t="shared" si="6"/>
        <v>2023-10</v>
      </c>
      <c r="U964" s="64" t="str">
        <f t="shared" si="7"/>
        <v>2023-H2</v>
      </c>
      <c r="V964" s="9" t="str">
        <f>VLOOKUP(B964,Bounties!A:E,2,FALSE)</f>
        <v>Anti-Scam Bounty</v>
      </c>
    </row>
    <row r="965" hidden="1">
      <c r="A965" s="67">
        <f>HYPERLINK("https://polkadot.subsquare.io/treasury/child-bounties/429", 429)</f>
        <v>429</v>
      </c>
      <c r="B965" s="1">
        <v>11.0</v>
      </c>
      <c r="C965" s="1" t="s">
        <v>2414</v>
      </c>
      <c r="D965" s="1" t="s">
        <v>1713</v>
      </c>
      <c r="E965" s="5">
        <v>123.1830500123</v>
      </c>
      <c r="F965" s="4">
        <v>507.9775967894422</v>
      </c>
      <c r="G965" s="1" t="s">
        <v>2433</v>
      </c>
      <c r="H965" s="95">
        <v>45198.0</v>
      </c>
      <c r="I965" s="95">
        <v>45207.0</v>
      </c>
      <c r="J965" s="4">
        <v>460.46539667521625</v>
      </c>
      <c r="K965" s="1"/>
      <c r="L965" s="1"/>
      <c r="M965" s="1" t="str">
        <f>VLOOKUP(B965,Bounties!A:D,3,FALSE)</f>
        <v>Research</v>
      </c>
      <c r="N965" s="1" t="str">
        <f>VLOOKUP(B965,Bounties!A:D,4,FALSE)</f>
        <v>Anti-Scam</v>
      </c>
      <c r="O965" s="1" t="str">
        <f t="shared" ref="O965:P965" si="969">IF(ISBLANK(K965),M965,K965)</f>
        <v>Research</v>
      </c>
      <c r="P965" s="1" t="str">
        <f t="shared" si="969"/>
        <v>Anti-Scam</v>
      </c>
      <c r="Q965" s="61" t="str">
        <f t="shared" si="3"/>
        <v>2023</v>
      </c>
      <c r="R965" s="62">
        <f t="shared" si="4"/>
        <v>10</v>
      </c>
      <c r="S965" s="61" t="str">
        <f t="shared" si="5"/>
        <v>2023-Q4</v>
      </c>
      <c r="T965" s="63" t="str">
        <f t="shared" si="6"/>
        <v>2023-10</v>
      </c>
      <c r="U965" s="64" t="str">
        <f t="shared" si="7"/>
        <v>2023-H2</v>
      </c>
      <c r="V965" s="9" t="str">
        <f>VLOOKUP(B965,Bounties!A:E,2,FALSE)</f>
        <v>Anti-Scam Bounty</v>
      </c>
    </row>
    <row r="966" hidden="1">
      <c r="A966" s="67">
        <f>HYPERLINK("https://polkadot.subsquare.io/treasury/child-bounties/428", 428)</f>
        <v>428</v>
      </c>
      <c r="B966" s="1">
        <v>11.0</v>
      </c>
      <c r="C966" s="1" t="s">
        <v>2414</v>
      </c>
      <c r="D966" s="1" t="s">
        <v>1712</v>
      </c>
      <c r="E966" s="5">
        <v>177.3835920177</v>
      </c>
      <c r="F966" s="4">
        <v>731.4877393767473</v>
      </c>
      <c r="G966" s="1" t="s">
        <v>2438</v>
      </c>
      <c r="H966" s="95">
        <v>45198.0</v>
      </c>
      <c r="I966" s="95">
        <v>45209.0</v>
      </c>
      <c r="J966" s="4">
        <v>660.0794823892523</v>
      </c>
      <c r="K966" s="1"/>
      <c r="L966" s="1"/>
      <c r="M966" s="1" t="str">
        <f>VLOOKUP(B966,Bounties!A:D,3,FALSE)</f>
        <v>Research</v>
      </c>
      <c r="N966" s="1" t="str">
        <f>VLOOKUP(B966,Bounties!A:D,4,FALSE)</f>
        <v>Anti-Scam</v>
      </c>
      <c r="O966" s="1" t="str">
        <f t="shared" ref="O966:P966" si="970">IF(ISBLANK(K966),M966,K966)</f>
        <v>Research</v>
      </c>
      <c r="P966" s="1" t="str">
        <f t="shared" si="970"/>
        <v>Anti-Scam</v>
      </c>
      <c r="Q966" s="61" t="str">
        <f t="shared" si="3"/>
        <v>2023</v>
      </c>
      <c r="R966" s="62">
        <f t="shared" si="4"/>
        <v>10</v>
      </c>
      <c r="S966" s="61" t="str">
        <f t="shared" si="5"/>
        <v>2023-Q4</v>
      </c>
      <c r="T966" s="63" t="str">
        <f t="shared" si="6"/>
        <v>2023-10</v>
      </c>
      <c r="U966" s="64" t="str">
        <f t="shared" si="7"/>
        <v>2023-H2</v>
      </c>
      <c r="V966" s="9" t="str">
        <f>VLOOKUP(B966,Bounties!A:E,2,FALSE)</f>
        <v>Anti-Scam Bounty</v>
      </c>
    </row>
    <row r="967" hidden="1">
      <c r="A967" s="67">
        <f>HYPERLINK("https://polkadot.subsquare.io/treasury/child-bounties/427", 427)</f>
        <v>427</v>
      </c>
      <c r="B967" s="1">
        <v>11.0</v>
      </c>
      <c r="C967" s="1" t="s">
        <v>2414</v>
      </c>
      <c r="D967" s="1" t="s">
        <v>1711</v>
      </c>
      <c r="E967" s="5">
        <v>177.3835920177</v>
      </c>
      <c r="F967" s="4">
        <v>731.4877393767473</v>
      </c>
      <c r="G967" s="1" t="s">
        <v>2463</v>
      </c>
      <c r="H967" s="95">
        <v>45198.0</v>
      </c>
      <c r="I967" s="95">
        <v>45214.0</v>
      </c>
      <c r="J967" s="4">
        <v>651.8947998857464</v>
      </c>
      <c r="K967" s="1"/>
      <c r="L967" s="1"/>
      <c r="M967" s="1" t="str">
        <f>VLOOKUP(B967,Bounties!A:D,3,FALSE)</f>
        <v>Research</v>
      </c>
      <c r="N967" s="1" t="str">
        <f>VLOOKUP(B967,Bounties!A:D,4,FALSE)</f>
        <v>Anti-Scam</v>
      </c>
      <c r="O967" s="1" t="str">
        <f t="shared" ref="O967:P967" si="971">IF(ISBLANK(K967),M967,K967)</f>
        <v>Research</v>
      </c>
      <c r="P967" s="1" t="str">
        <f t="shared" si="971"/>
        <v>Anti-Scam</v>
      </c>
      <c r="Q967" s="61" t="str">
        <f t="shared" si="3"/>
        <v>2023</v>
      </c>
      <c r="R967" s="62">
        <f t="shared" si="4"/>
        <v>10</v>
      </c>
      <c r="S967" s="61" t="str">
        <f t="shared" si="5"/>
        <v>2023-Q4</v>
      </c>
      <c r="T967" s="63" t="str">
        <f t="shared" si="6"/>
        <v>2023-10</v>
      </c>
      <c r="U967" s="64" t="str">
        <f t="shared" si="7"/>
        <v>2023-H2</v>
      </c>
      <c r="V967" s="9" t="str">
        <f>VLOOKUP(B967,Bounties!A:E,2,FALSE)</f>
        <v>Anti-Scam Bounty</v>
      </c>
    </row>
    <row r="968" hidden="1">
      <c r="A968" s="67">
        <f>HYPERLINK("https://polkadot.subsquare.io/treasury/child-bounties/426", 426)</f>
        <v>426</v>
      </c>
      <c r="B968" s="1">
        <v>11.0</v>
      </c>
      <c r="C968" s="1" t="s">
        <v>2414</v>
      </c>
      <c r="D968" s="1" t="s">
        <v>1710</v>
      </c>
      <c r="E968" s="5">
        <v>98.5464400099</v>
      </c>
      <c r="F968" s="4">
        <v>406.3820774318012</v>
      </c>
      <c r="G968" s="1" t="s">
        <v>2437</v>
      </c>
      <c r="H968" s="95">
        <v>45198.0</v>
      </c>
      <c r="I968" s="95">
        <v>45206.0</v>
      </c>
      <c r="J968" s="4">
        <v>375.701606376616</v>
      </c>
      <c r="K968" s="1"/>
      <c r="L968" s="1"/>
      <c r="M968" s="1" t="str">
        <f>VLOOKUP(B968,Bounties!A:D,3,FALSE)</f>
        <v>Research</v>
      </c>
      <c r="N968" s="1" t="str">
        <f>VLOOKUP(B968,Bounties!A:D,4,FALSE)</f>
        <v>Anti-Scam</v>
      </c>
      <c r="O968" s="1" t="str">
        <f t="shared" ref="O968:P968" si="972">IF(ISBLANK(K968),M968,K968)</f>
        <v>Research</v>
      </c>
      <c r="P968" s="1" t="str">
        <f t="shared" si="972"/>
        <v>Anti-Scam</v>
      </c>
      <c r="Q968" s="61" t="str">
        <f t="shared" si="3"/>
        <v>2023</v>
      </c>
      <c r="R968" s="62">
        <f t="shared" si="4"/>
        <v>10</v>
      </c>
      <c r="S968" s="61" t="str">
        <f t="shared" si="5"/>
        <v>2023-Q4</v>
      </c>
      <c r="T968" s="63" t="str">
        <f t="shared" si="6"/>
        <v>2023-10</v>
      </c>
      <c r="U968" s="64" t="str">
        <f t="shared" si="7"/>
        <v>2023-H2</v>
      </c>
      <c r="V968" s="9" t="str">
        <f>VLOOKUP(B968,Bounties!A:E,2,FALSE)</f>
        <v>Anti-Scam Bounty</v>
      </c>
    </row>
    <row r="969" hidden="1">
      <c r="A969" s="67">
        <f>HYPERLINK("https://polkadot.subsquare.io/treasury/child-bounties/425", 425)</f>
        <v>425</v>
      </c>
      <c r="B969" s="1">
        <v>11.0</v>
      </c>
      <c r="C969" s="1" t="s">
        <v>2414</v>
      </c>
      <c r="D969" s="1" t="s">
        <v>1709</v>
      </c>
      <c r="E969" s="5">
        <v>98.5464400099</v>
      </c>
      <c r="F969" s="4">
        <v>406.3820774318012</v>
      </c>
      <c r="G969" s="1" t="s">
        <v>2463</v>
      </c>
      <c r="H969" s="95">
        <v>45198.0</v>
      </c>
      <c r="I969" s="95">
        <v>45214.0</v>
      </c>
      <c r="J969" s="4">
        <v>362.1637777145485</v>
      </c>
      <c r="K969" s="1"/>
      <c r="L969" s="1"/>
      <c r="M969" s="1" t="str">
        <f>VLOOKUP(B969,Bounties!A:D,3,FALSE)</f>
        <v>Research</v>
      </c>
      <c r="N969" s="1" t="str">
        <f>VLOOKUP(B969,Bounties!A:D,4,FALSE)</f>
        <v>Anti-Scam</v>
      </c>
      <c r="O969" s="1" t="str">
        <f t="shared" ref="O969:P969" si="973">IF(ISBLANK(K969),M969,K969)</f>
        <v>Research</v>
      </c>
      <c r="P969" s="1" t="str">
        <f t="shared" si="973"/>
        <v>Anti-Scam</v>
      </c>
      <c r="Q969" s="61" t="str">
        <f t="shared" si="3"/>
        <v>2023</v>
      </c>
      <c r="R969" s="62">
        <f t="shared" si="4"/>
        <v>10</v>
      </c>
      <c r="S969" s="61" t="str">
        <f t="shared" si="5"/>
        <v>2023-Q4</v>
      </c>
      <c r="T969" s="63" t="str">
        <f t="shared" si="6"/>
        <v>2023-10</v>
      </c>
      <c r="U969" s="64" t="str">
        <f t="shared" si="7"/>
        <v>2023-H2</v>
      </c>
      <c r="V969" s="9" t="str">
        <f>VLOOKUP(B969,Bounties!A:E,2,FALSE)</f>
        <v>Anti-Scam Bounty</v>
      </c>
    </row>
    <row r="970" hidden="1">
      <c r="A970" s="67">
        <f>HYPERLINK("https://polkadot.subsquare.io/treasury/child-bounties/424", 424)</f>
        <v>424</v>
      </c>
      <c r="B970" s="1">
        <v>11.0</v>
      </c>
      <c r="C970" s="1" t="s">
        <v>2414</v>
      </c>
      <c r="D970" s="1" t="s">
        <v>1708</v>
      </c>
      <c r="E970" s="5">
        <v>98.5464400099</v>
      </c>
      <c r="F970" s="4">
        <v>406.3820774318012</v>
      </c>
      <c r="G970" s="1" t="s">
        <v>2438</v>
      </c>
      <c r="H970" s="95">
        <v>45198.0</v>
      </c>
      <c r="I970" s="95">
        <v>45209.0</v>
      </c>
      <c r="J970" s="4">
        <v>366.7108235498327</v>
      </c>
      <c r="K970" s="1"/>
      <c r="L970" s="1"/>
      <c r="M970" s="1" t="str">
        <f>VLOOKUP(B970,Bounties!A:D,3,FALSE)</f>
        <v>Research</v>
      </c>
      <c r="N970" s="1" t="str">
        <f>VLOOKUP(B970,Bounties!A:D,4,FALSE)</f>
        <v>Anti-Scam</v>
      </c>
      <c r="O970" s="1" t="str">
        <f t="shared" ref="O970:P970" si="974">IF(ISBLANK(K970),M970,K970)</f>
        <v>Research</v>
      </c>
      <c r="P970" s="1" t="str">
        <f t="shared" si="974"/>
        <v>Anti-Scam</v>
      </c>
      <c r="Q970" s="61" t="str">
        <f t="shared" si="3"/>
        <v>2023</v>
      </c>
      <c r="R970" s="62">
        <f t="shared" si="4"/>
        <v>10</v>
      </c>
      <c r="S970" s="61" t="str">
        <f t="shared" si="5"/>
        <v>2023-Q4</v>
      </c>
      <c r="T970" s="63" t="str">
        <f t="shared" si="6"/>
        <v>2023-10</v>
      </c>
      <c r="U970" s="64" t="str">
        <f t="shared" si="7"/>
        <v>2023-H2</v>
      </c>
      <c r="V970" s="9" t="str">
        <f>VLOOKUP(B970,Bounties!A:E,2,FALSE)</f>
        <v>Anti-Scam Bounty</v>
      </c>
    </row>
    <row r="971" hidden="1">
      <c r="A971" s="67">
        <f>HYPERLINK("https://polkadot.subsquare.io/treasury/child-bounties/423", 423)</f>
        <v>423</v>
      </c>
      <c r="B971" s="1">
        <v>11.0</v>
      </c>
      <c r="C971" s="1" t="s">
        <v>2414</v>
      </c>
      <c r="D971" s="1" t="s">
        <v>1707</v>
      </c>
      <c r="E971" s="5">
        <v>123.1830500123</v>
      </c>
      <c r="F971" s="4">
        <v>507.9775967894422</v>
      </c>
      <c r="G971" s="1" t="s">
        <v>2528</v>
      </c>
      <c r="H971" s="95">
        <v>45198.0</v>
      </c>
      <c r="I971" s="95">
        <v>45206.0</v>
      </c>
      <c r="J971" s="4">
        <v>469.62700797048404</v>
      </c>
      <c r="K971" s="1"/>
      <c r="L971" s="1"/>
      <c r="M971" s="1" t="str">
        <f>VLOOKUP(B971,Bounties!A:D,3,FALSE)</f>
        <v>Research</v>
      </c>
      <c r="N971" s="1" t="str">
        <f>VLOOKUP(B971,Bounties!A:D,4,FALSE)</f>
        <v>Anti-Scam</v>
      </c>
      <c r="O971" s="1" t="str">
        <f t="shared" ref="O971:P971" si="975">IF(ISBLANK(K971),M971,K971)</f>
        <v>Research</v>
      </c>
      <c r="P971" s="1" t="str">
        <f t="shared" si="975"/>
        <v>Anti-Scam</v>
      </c>
      <c r="Q971" s="61" t="str">
        <f t="shared" si="3"/>
        <v>2023</v>
      </c>
      <c r="R971" s="62">
        <f t="shared" si="4"/>
        <v>10</v>
      </c>
      <c r="S971" s="61" t="str">
        <f t="shared" si="5"/>
        <v>2023-Q4</v>
      </c>
      <c r="T971" s="63" t="str">
        <f t="shared" si="6"/>
        <v>2023-10</v>
      </c>
      <c r="U971" s="64" t="str">
        <f t="shared" si="7"/>
        <v>2023-H2</v>
      </c>
      <c r="V971" s="9" t="str">
        <f>VLOOKUP(B971,Bounties!A:E,2,FALSE)</f>
        <v>Anti-Scam Bounty</v>
      </c>
    </row>
    <row r="972" hidden="1">
      <c r="A972" s="67">
        <f>HYPERLINK("https://polkadot.subsquare.io/treasury/child-bounties/422", 422)</f>
        <v>422</v>
      </c>
      <c r="B972" s="1">
        <v>11.0</v>
      </c>
      <c r="C972" s="1" t="s">
        <v>2414</v>
      </c>
      <c r="D972" s="1" t="s">
        <v>1706</v>
      </c>
      <c r="E972" s="5">
        <v>177.3835920177</v>
      </c>
      <c r="F972" s="4">
        <v>731.4877393767473</v>
      </c>
      <c r="G972" s="1" t="s">
        <v>2535</v>
      </c>
      <c r="H972" s="95">
        <v>45198.0</v>
      </c>
      <c r="I972" s="95">
        <v>45213.0</v>
      </c>
      <c r="J972" s="4">
        <v>651.8947998857464</v>
      </c>
      <c r="K972" s="1"/>
      <c r="L972" s="1"/>
      <c r="M972" s="1" t="str">
        <f>VLOOKUP(B972,Bounties!A:D,3,FALSE)</f>
        <v>Research</v>
      </c>
      <c r="N972" s="1" t="str">
        <f>VLOOKUP(B972,Bounties!A:D,4,FALSE)</f>
        <v>Anti-Scam</v>
      </c>
      <c r="O972" s="1" t="str">
        <f t="shared" ref="O972:P972" si="976">IF(ISBLANK(K972),M972,K972)</f>
        <v>Research</v>
      </c>
      <c r="P972" s="1" t="str">
        <f t="shared" si="976"/>
        <v>Anti-Scam</v>
      </c>
      <c r="Q972" s="61" t="str">
        <f t="shared" si="3"/>
        <v>2023</v>
      </c>
      <c r="R972" s="62">
        <f t="shared" si="4"/>
        <v>10</v>
      </c>
      <c r="S972" s="61" t="str">
        <f t="shared" si="5"/>
        <v>2023-Q4</v>
      </c>
      <c r="T972" s="63" t="str">
        <f t="shared" si="6"/>
        <v>2023-10</v>
      </c>
      <c r="U972" s="64" t="str">
        <f t="shared" si="7"/>
        <v>2023-H2</v>
      </c>
      <c r="V972" s="9" t="str">
        <f>VLOOKUP(B972,Bounties!A:E,2,FALSE)</f>
        <v>Anti-Scam Bounty</v>
      </c>
    </row>
    <row r="973" hidden="1">
      <c r="A973" s="67">
        <f>HYPERLINK("https://polkadot.subsquare.io/treasury/child-bounties/421", 421)</f>
        <v>421</v>
      </c>
      <c r="B973" s="1">
        <v>11.0</v>
      </c>
      <c r="C973" s="1" t="s">
        <v>2414</v>
      </c>
      <c r="D973" s="1" t="s">
        <v>1705</v>
      </c>
      <c r="E973" s="5">
        <v>123.1830500123</v>
      </c>
      <c r="F973" s="4">
        <v>507.9775967894422</v>
      </c>
      <c r="G973" s="1" t="s">
        <v>2534</v>
      </c>
      <c r="H973" s="95">
        <v>45198.0</v>
      </c>
      <c r="I973" s="95">
        <v>45206.0</v>
      </c>
      <c r="J973" s="4">
        <v>469.62700797048404</v>
      </c>
      <c r="K973" s="1"/>
      <c r="L973" s="1"/>
      <c r="M973" s="1" t="str">
        <f>VLOOKUP(B973,Bounties!A:D,3,FALSE)</f>
        <v>Research</v>
      </c>
      <c r="N973" s="1" t="str">
        <f>VLOOKUP(B973,Bounties!A:D,4,FALSE)</f>
        <v>Anti-Scam</v>
      </c>
      <c r="O973" s="1" t="str">
        <f t="shared" ref="O973:P973" si="977">IF(ISBLANK(K973),M973,K973)</f>
        <v>Research</v>
      </c>
      <c r="P973" s="1" t="str">
        <f t="shared" si="977"/>
        <v>Anti-Scam</v>
      </c>
      <c r="Q973" s="61" t="str">
        <f t="shared" si="3"/>
        <v>2023</v>
      </c>
      <c r="R973" s="62">
        <f t="shared" si="4"/>
        <v>10</v>
      </c>
      <c r="S973" s="61" t="str">
        <f t="shared" si="5"/>
        <v>2023-Q4</v>
      </c>
      <c r="T973" s="63" t="str">
        <f t="shared" si="6"/>
        <v>2023-10</v>
      </c>
      <c r="U973" s="64" t="str">
        <f t="shared" si="7"/>
        <v>2023-H2</v>
      </c>
      <c r="V973" s="9" t="str">
        <f>VLOOKUP(B973,Bounties!A:E,2,FALSE)</f>
        <v>Anti-Scam Bounty</v>
      </c>
    </row>
    <row r="974" hidden="1">
      <c r="A974" s="67">
        <f>HYPERLINK("https://polkadot.subsquare.io/treasury/child-bounties/420", 420)</f>
        <v>420</v>
      </c>
      <c r="B974" s="1">
        <v>11.0</v>
      </c>
      <c r="C974" s="1" t="s">
        <v>2414</v>
      </c>
      <c r="D974" s="1" t="s">
        <v>1704</v>
      </c>
      <c r="E974" s="5">
        <v>206.9475240207</v>
      </c>
      <c r="F974" s="4">
        <v>853.4023626064114</v>
      </c>
      <c r="G974" s="1" t="s">
        <v>2437</v>
      </c>
      <c r="H974" s="95">
        <v>45198.0</v>
      </c>
      <c r="I974" s="95">
        <v>45206.0</v>
      </c>
      <c r="J974" s="4">
        <v>788.9733733905505</v>
      </c>
      <c r="K974" s="1"/>
      <c r="L974" s="1"/>
      <c r="M974" s="1" t="str">
        <f>VLOOKUP(B974,Bounties!A:D,3,FALSE)</f>
        <v>Research</v>
      </c>
      <c r="N974" s="1" t="str">
        <f>VLOOKUP(B974,Bounties!A:D,4,FALSE)</f>
        <v>Anti-Scam</v>
      </c>
      <c r="O974" s="1" t="str">
        <f t="shared" ref="O974:P974" si="978">IF(ISBLANK(K974),M974,K974)</f>
        <v>Research</v>
      </c>
      <c r="P974" s="1" t="str">
        <f t="shared" si="978"/>
        <v>Anti-Scam</v>
      </c>
      <c r="Q974" s="61" t="str">
        <f t="shared" si="3"/>
        <v>2023</v>
      </c>
      <c r="R974" s="62">
        <f t="shared" si="4"/>
        <v>10</v>
      </c>
      <c r="S974" s="61" t="str">
        <f t="shared" si="5"/>
        <v>2023-Q4</v>
      </c>
      <c r="T974" s="63" t="str">
        <f t="shared" si="6"/>
        <v>2023-10</v>
      </c>
      <c r="U974" s="64" t="str">
        <f t="shared" si="7"/>
        <v>2023-H2</v>
      </c>
      <c r="V974" s="9" t="str">
        <f>VLOOKUP(B974,Bounties!A:E,2,FALSE)</f>
        <v>Anti-Scam Bounty</v>
      </c>
    </row>
    <row r="975" hidden="1">
      <c r="A975" s="67">
        <f>HYPERLINK("https://polkadot.subsquare.io/treasury/child-bounties/419", 419)</f>
        <v>419</v>
      </c>
      <c r="B975" s="1">
        <v>11.0</v>
      </c>
      <c r="C975" s="1" t="s">
        <v>2414</v>
      </c>
      <c r="D975" s="1" t="s">
        <v>1703</v>
      </c>
      <c r="E975" s="5">
        <v>177.3835920177</v>
      </c>
      <c r="F975" s="4">
        <v>731.4877393767473</v>
      </c>
      <c r="G975" s="1" t="s">
        <v>2534</v>
      </c>
      <c r="H975" s="95">
        <v>45198.0</v>
      </c>
      <c r="I975" s="95">
        <v>45206.0</v>
      </c>
      <c r="J975" s="4">
        <v>676.2628914774514</v>
      </c>
      <c r="K975" s="1"/>
      <c r="L975" s="1"/>
      <c r="M975" s="1" t="str">
        <f>VLOOKUP(B975,Bounties!A:D,3,FALSE)</f>
        <v>Research</v>
      </c>
      <c r="N975" s="1" t="str">
        <f>VLOOKUP(B975,Bounties!A:D,4,FALSE)</f>
        <v>Anti-Scam</v>
      </c>
      <c r="O975" s="1" t="str">
        <f t="shared" ref="O975:P975" si="979">IF(ISBLANK(K975),M975,K975)</f>
        <v>Research</v>
      </c>
      <c r="P975" s="1" t="str">
        <f t="shared" si="979"/>
        <v>Anti-Scam</v>
      </c>
      <c r="Q975" s="61" t="str">
        <f t="shared" si="3"/>
        <v>2023</v>
      </c>
      <c r="R975" s="62">
        <f t="shared" si="4"/>
        <v>10</v>
      </c>
      <c r="S975" s="61" t="str">
        <f t="shared" si="5"/>
        <v>2023-Q4</v>
      </c>
      <c r="T975" s="63" t="str">
        <f t="shared" si="6"/>
        <v>2023-10</v>
      </c>
      <c r="U975" s="64" t="str">
        <f t="shared" si="7"/>
        <v>2023-H2</v>
      </c>
      <c r="V975" s="9" t="str">
        <f>VLOOKUP(B975,Bounties!A:E,2,FALSE)</f>
        <v>Anti-Scam Bounty</v>
      </c>
    </row>
    <row r="976" hidden="1">
      <c r="A976" s="67">
        <f>HYPERLINK("https://polkadot.subsquare.io/treasury/child-bounties/418", 418)</f>
        <v>418</v>
      </c>
      <c r="B976" s="1">
        <v>17.0</v>
      </c>
      <c r="C976" s="1" t="s">
        <v>2414</v>
      </c>
      <c r="D976" s="1" t="s">
        <v>1702</v>
      </c>
      <c r="E976" s="5">
        <v>7556.0</v>
      </c>
      <c r="F976" s="4">
        <v>30807.791103363037</v>
      </c>
      <c r="G976" s="1" t="s">
        <v>2692</v>
      </c>
      <c r="H976" s="95">
        <v>45195.0</v>
      </c>
      <c r="I976" s="95">
        <v>45210.0</v>
      </c>
      <c r="J976" s="4">
        <v>28231.30078601837</v>
      </c>
      <c r="K976" s="1"/>
      <c r="L976" s="1" t="s">
        <v>86</v>
      </c>
      <c r="M976" s="1" t="str">
        <f>VLOOKUP(B976,Bounties!A:D,3,FALSE)</f>
        <v>Outreach</v>
      </c>
      <c r="N976" s="1" t="str">
        <f>VLOOKUP(B976,Bounties!A:D,4,FALSE)</f>
        <v>Events/Meetups</v>
      </c>
      <c r="O976" s="1" t="str">
        <f t="shared" ref="O976:P976" si="980">IF(ISBLANK(K976),M976,K976)</f>
        <v>Outreach</v>
      </c>
      <c r="P976" s="1" t="str">
        <f t="shared" si="980"/>
        <v>Events/Conference Attendance &amp; Side Events</v>
      </c>
      <c r="Q976" s="61" t="str">
        <f t="shared" si="3"/>
        <v>2023</v>
      </c>
      <c r="R976" s="62">
        <f t="shared" si="4"/>
        <v>10</v>
      </c>
      <c r="S976" s="61" t="str">
        <f t="shared" si="5"/>
        <v>2023-Q4</v>
      </c>
      <c r="T976" s="63" t="str">
        <f t="shared" si="6"/>
        <v>2023-10</v>
      </c>
      <c r="U976" s="64" t="str">
        <f t="shared" si="7"/>
        <v>2023-H2</v>
      </c>
      <c r="V976" s="9" t="str">
        <f>VLOOKUP(B976,Bounties!A:E,2,FALSE)</f>
        <v>Events Bounty</v>
      </c>
    </row>
    <row r="977" hidden="1">
      <c r="A977" s="67">
        <f>HYPERLINK("https://polkadot.subsquare.io/treasury/child-bounties/417", 417)</f>
        <v>417</v>
      </c>
      <c r="B977" s="1">
        <v>17.0</v>
      </c>
      <c r="C977" s="1" t="s">
        <v>2414</v>
      </c>
      <c r="D977" s="1" t="s">
        <v>1701</v>
      </c>
      <c r="E977" s="5">
        <v>15825.0</v>
      </c>
      <c r="F977" s="4">
        <v>64522.6699590683</v>
      </c>
      <c r="G977" s="1" t="s">
        <v>2655</v>
      </c>
      <c r="H977" s="95">
        <v>45195.0</v>
      </c>
      <c r="I977" s="95">
        <v>45209.0</v>
      </c>
      <c r="J977" s="4">
        <v>58887.95964717865</v>
      </c>
      <c r="K977" s="1"/>
      <c r="L977" s="1"/>
      <c r="M977" s="1" t="str">
        <f>VLOOKUP(B977,Bounties!A:D,3,FALSE)</f>
        <v>Outreach</v>
      </c>
      <c r="N977" s="1" t="str">
        <f>VLOOKUP(B977,Bounties!A:D,4,FALSE)</f>
        <v>Events/Meetups</v>
      </c>
      <c r="O977" s="1" t="str">
        <f t="shared" ref="O977:P977" si="981">IF(ISBLANK(K977),M977,K977)</f>
        <v>Outreach</v>
      </c>
      <c r="P977" s="1" t="str">
        <f t="shared" si="981"/>
        <v>Events/Meetups</v>
      </c>
      <c r="Q977" s="61" t="str">
        <f t="shared" si="3"/>
        <v>2023</v>
      </c>
      <c r="R977" s="62">
        <f t="shared" si="4"/>
        <v>10</v>
      </c>
      <c r="S977" s="61" t="str">
        <f t="shared" si="5"/>
        <v>2023-Q4</v>
      </c>
      <c r="T977" s="63" t="str">
        <f t="shared" si="6"/>
        <v>2023-10</v>
      </c>
      <c r="U977" s="64" t="str">
        <f t="shared" si="7"/>
        <v>2023-H2</v>
      </c>
      <c r="V977" s="9" t="str">
        <f>VLOOKUP(B977,Bounties!A:E,2,FALSE)</f>
        <v>Events Bounty</v>
      </c>
    </row>
    <row r="978" hidden="1">
      <c r="A978" s="67">
        <f>HYPERLINK("https://polkadot.subsquare.io/treasury/child-bounties/416", 416)</f>
        <v>416</v>
      </c>
      <c r="B978" s="1">
        <v>17.0</v>
      </c>
      <c r="C978" s="1" t="s">
        <v>2414</v>
      </c>
      <c r="D978" s="1" t="s">
        <v>1700</v>
      </c>
      <c r="E978" s="5">
        <v>7819.0</v>
      </c>
      <c r="F978" s="4">
        <v>31880.110989570618</v>
      </c>
      <c r="G978" s="1" t="s">
        <v>2681</v>
      </c>
      <c r="H978" s="95">
        <v>45195.0</v>
      </c>
      <c r="I978" s="95">
        <v>45210.0</v>
      </c>
      <c r="J978" s="4">
        <v>29096.04780292511</v>
      </c>
      <c r="K978" s="1"/>
      <c r="L978" s="1" t="s">
        <v>86</v>
      </c>
      <c r="M978" s="1" t="str">
        <f>VLOOKUP(B978,Bounties!A:D,3,FALSE)</f>
        <v>Outreach</v>
      </c>
      <c r="N978" s="1" t="str">
        <f>VLOOKUP(B978,Bounties!A:D,4,FALSE)</f>
        <v>Events/Meetups</v>
      </c>
      <c r="O978" s="1" t="str">
        <f t="shared" ref="O978:P978" si="982">IF(ISBLANK(K978),M978,K978)</f>
        <v>Outreach</v>
      </c>
      <c r="P978" s="1" t="str">
        <f t="shared" si="982"/>
        <v>Events/Conference Attendance &amp; Side Events</v>
      </c>
      <c r="Q978" s="61" t="str">
        <f t="shared" si="3"/>
        <v>2023</v>
      </c>
      <c r="R978" s="62">
        <f t="shared" si="4"/>
        <v>10</v>
      </c>
      <c r="S978" s="61" t="str">
        <f t="shared" si="5"/>
        <v>2023-Q4</v>
      </c>
      <c r="T978" s="63" t="str">
        <f t="shared" si="6"/>
        <v>2023-10</v>
      </c>
      <c r="U978" s="64" t="str">
        <f t="shared" si="7"/>
        <v>2023-H2</v>
      </c>
      <c r="V978" s="9" t="str">
        <f>VLOOKUP(B978,Bounties!A:E,2,FALSE)</f>
        <v>Events Bounty</v>
      </c>
    </row>
    <row r="979" hidden="1">
      <c r="A979" s="67">
        <f>HYPERLINK("https://polkadot.subsquare.io/treasury/child-bounties/415", 415)</f>
        <v>415</v>
      </c>
      <c r="B979" s="1">
        <v>17.0</v>
      </c>
      <c r="C979" s="1" t="s">
        <v>2414</v>
      </c>
      <c r="D979" s="1" t="s">
        <v>1699</v>
      </c>
      <c r="E979" s="5">
        <v>12053.0</v>
      </c>
      <c r="F979" s="4">
        <v>49898.25168514252</v>
      </c>
      <c r="G979" s="1" t="s">
        <v>2693</v>
      </c>
      <c r="H979" s="95">
        <v>45186.0</v>
      </c>
      <c r="I979" s="95">
        <v>45196.0</v>
      </c>
      <c r="J979" s="4">
        <v>49143.23797893524</v>
      </c>
      <c r="K979" s="1"/>
      <c r="L979" s="1" t="s">
        <v>86</v>
      </c>
      <c r="M979" s="1" t="str">
        <f>VLOOKUP(B979,Bounties!A:D,3,FALSE)</f>
        <v>Outreach</v>
      </c>
      <c r="N979" s="1" t="str">
        <f>VLOOKUP(B979,Bounties!A:D,4,FALSE)</f>
        <v>Events/Meetups</v>
      </c>
      <c r="O979" s="1" t="str">
        <f t="shared" ref="O979:P979" si="983">IF(ISBLANK(K979),M979,K979)</f>
        <v>Outreach</v>
      </c>
      <c r="P979" s="1" t="str">
        <f t="shared" si="983"/>
        <v>Events/Conference Attendance &amp; Side Events</v>
      </c>
      <c r="Q979" s="61" t="str">
        <f t="shared" si="3"/>
        <v>2023</v>
      </c>
      <c r="R979" s="62">
        <f t="shared" si="4"/>
        <v>9</v>
      </c>
      <c r="S979" s="61" t="str">
        <f t="shared" si="5"/>
        <v>2023-Q3</v>
      </c>
      <c r="T979" s="63" t="str">
        <f t="shared" si="6"/>
        <v>2023-09</v>
      </c>
      <c r="U979" s="64" t="str">
        <f t="shared" si="7"/>
        <v>2023-H2</v>
      </c>
      <c r="V979" s="9" t="str">
        <f>VLOOKUP(B979,Bounties!A:E,2,FALSE)</f>
        <v>Events Bounty</v>
      </c>
    </row>
    <row r="980" hidden="1">
      <c r="A980" s="67">
        <f>HYPERLINK("https://polkadot.subsquare.io/treasury/child-bounties/414", 414)</f>
        <v>414</v>
      </c>
      <c r="B980" s="1">
        <v>17.0</v>
      </c>
      <c r="C980" s="1" t="s">
        <v>2414</v>
      </c>
      <c r="D980" s="1" t="s">
        <v>1698</v>
      </c>
      <c r="E980" s="5">
        <v>6515.0</v>
      </c>
      <c r="F980" s="4">
        <v>26971.46849155426</v>
      </c>
      <c r="G980" s="1" t="s">
        <v>2545</v>
      </c>
      <c r="H980" s="95">
        <v>45186.0</v>
      </c>
      <c r="I980" s="95">
        <v>45195.0</v>
      </c>
      <c r="J980" s="4">
        <v>26563.361439704895</v>
      </c>
      <c r="K980" s="1"/>
      <c r="L980" s="1" t="s">
        <v>86</v>
      </c>
      <c r="M980" s="1" t="str">
        <f>VLOOKUP(B980,Bounties!A:D,3,FALSE)</f>
        <v>Outreach</v>
      </c>
      <c r="N980" s="1" t="str">
        <f>VLOOKUP(B980,Bounties!A:D,4,FALSE)</f>
        <v>Events/Meetups</v>
      </c>
      <c r="O980" s="1" t="str">
        <f t="shared" ref="O980:P980" si="984">IF(ISBLANK(K980),M980,K980)</f>
        <v>Outreach</v>
      </c>
      <c r="P980" s="1" t="str">
        <f t="shared" si="984"/>
        <v>Events/Conference Attendance &amp; Side Events</v>
      </c>
      <c r="Q980" s="61" t="str">
        <f t="shared" si="3"/>
        <v>2023</v>
      </c>
      <c r="R980" s="62">
        <f t="shared" si="4"/>
        <v>9</v>
      </c>
      <c r="S980" s="61" t="str">
        <f t="shared" si="5"/>
        <v>2023-Q3</v>
      </c>
      <c r="T980" s="63" t="str">
        <f t="shared" si="6"/>
        <v>2023-09</v>
      </c>
      <c r="U980" s="64" t="str">
        <f t="shared" si="7"/>
        <v>2023-H2</v>
      </c>
      <c r="V980" s="9" t="str">
        <f>VLOOKUP(B980,Bounties!A:E,2,FALSE)</f>
        <v>Events Bounty</v>
      </c>
    </row>
    <row r="981" hidden="1">
      <c r="A981" s="67">
        <f>HYPERLINK("https://polkadot.subsquare.io/treasury/child-bounties/413", 413)</f>
        <v>413</v>
      </c>
      <c r="B981" s="1">
        <v>17.0</v>
      </c>
      <c r="C981" s="1" t="s">
        <v>2414</v>
      </c>
      <c r="D981" s="1" t="s">
        <v>1697</v>
      </c>
      <c r="E981" s="5">
        <v>8672.0</v>
      </c>
      <c r="F981" s="4">
        <v>35334.91242980957</v>
      </c>
      <c r="G981" s="1" t="s">
        <v>2681</v>
      </c>
      <c r="H981" s="95">
        <v>45183.0</v>
      </c>
      <c r="I981" s="95">
        <v>45195.0</v>
      </c>
      <c r="J981" s="4">
        <v>35358.01541137695</v>
      </c>
      <c r="K981" s="1"/>
      <c r="L981" s="1" t="s">
        <v>86</v>
      </c>
      <c r="M981" s="1" t="str">
        <f>VLOOKUP(B981,Bounties!A:D,3,FALSE)</f>
        <v>Outreach</v>
      </c>
      <c r="N981" s="1" t="str">
        <f>VLOOKUP(B981,Bounties!A:D,4,FALSE)</f>
        <v>Events/Meetups</v>
      </c>
      <c r="O981" s="1" t="str">
        <f t="shared" ref="O981:P981" si="985">IF(ISBLANK(K981),M981,K981)</f>
        <v>Outreach</v>
      </c>
      <c r="P981" s="1" t="str">
        <f t="shared" si="985"/>
        <v>Events/Conference Attendance &amp; Side Events</v>
      </c>
      <c r="Q981" s="61" t="str">
        <f t="shared" si="3"/>
        <v>2023</v>
      </c>
      <c r="R981" s="62">
        <f t="shared" si="4"/>
        <v>9</v>
      </c>
      <c r="S981" s="61" t="str">
        <f t="shared" si="5"/>
        <v>2023-Q3</v>
      </c>
      <c r="T981" s="63" t="str">
        <f t="shared" si="6"/>
        <v>2023-09</v>
      </c>
      <c r="U981" s="64" t="str">
        <f t="shared" si="7"/>
        <v>2023-H2</v>
      </c>
      <c r="V981" s="9" t="str">
        <f>VLOOKUP(B981,Bounties!A:E,2,FALSE)</f>
        <v>Events Bounty</v>
      </c>
    </row>
    <row r="982" hidden="1">
      <c r="A982" s="67">
        <f>HYPERLINK("https://polkadot.subsquare.io/treasury/child-bounties/412", 412)</f>
        <v>412</v>
      </c>
      <c r="B982" s="1">
        <v>17.0</v>
      </c>
      <c r="C982" s="1" t="s">
        <v>2414</v>
      </c>
      <c r="D982" s="1" t="s">
        <v>1696</v>
      </c>
      <c r="E982" s="5">
        <v>169.0</v>
      </c>
      <c r="F982" s="4">
        <v>688.6070342063904</v>
      </c>
      <c r="G982" s="1" t="s">
        <v>2694</v>
      </c>
      <c r="H982" s="95">
        <v>45183.0</v>
      </c>
      <c r="I982" s="95">
        <v>45228.0</v>
      </c>
      <c r="J982" s="4">
        <v>752.2494168281555</v>
      </c>
      <c r="K982" s="1"/>
      <c r="L982" s="1" t="s">
        <v>86</v>
      </c>
      <c r="M982" s="1" t="str">
        <f>VLOOKUP(B982,Bounties!A:D,3,FALSE)</f>
        <v>Outreach</v>
      </c>
      <c r="N982" s="1" t="str">
        <f>VLOOKUP(B982,Bounties!A:D,4,FALSE)</f>
        <v>Events/Meetups</v>
      </c>
      <c r="O982" s="1" t="str">
        <f t="shared" ref="O982:P982" si="986">IF(ISBLANK(K982),M982,K982)</f>
        <v>Outreach</v>
      </c>
      <c r="P982" s="1" t="str">
        <f t="shared" si="986"/>
        <v>Events/Conference Attendance &amp; Side Events</v>
      </c>
      <c r="Q982" s="61" t="str">
        <f t="shared" si="3"/>
        <v>2023</v>
      </c>
      <c r="R982" s="62">
        <f t="shared" si="4"/>
        <v>10</v>
      </c>
      <c r="S982" s="61" t="str">
        <f t="shared" si="5"/>
        <v>2023-Q4</v>
      </c>
      <c r="T982" s="63" t="str">
        <f t="shared" si="6"/>
        <v>2023-10</v>
      </c>
      <c r="U982" s="64" t="str">
        <f t="shared" si="7"/>
        <v>2023-H2</v>
      </c>
      <c r="V982" s="9" t="str">
        <f>VLOOKUP(B982,Bounties!A:E,2,FALSE)</f>
        <v>Events Bounty</v>
      </c>
    </row>
    <row r="983" hidden="1">
      <c r="A983" s="67">
        <f>HYPERLINK("https://polkadot.subsquare.io/treasury/child-bounties/411", 411)</f>
        <v>411</v>
      </c>
      <c r="B983" s="1">
        <v>17.0</v>
      </c>
      <c r="C983" s="1" t="s">
        <v>2414</v>
      </c>
      <c r="D983" s="1" t="s">
        <v>1695</v>
      </c>
      <c r="E983" s="5">
        <v>672.0</v>
      </c>
      <c r="F983" s="4">
        <v>2812.7291564941406</v>
      </c>
      <c r="G983" s="1" t="s">
        <v>2552</v>
      </c>
      <c r="H983" s="95">
        <v>45182.0</v>
      </c>
      <c r="I983" s="95">
        <v>45196.0</v>
      </c>
      <c r="J983" s="4">
        <v>2758.975296020508</v>
      </c>
      <c r="K983" s="1"/>
      <c r="L983" s="1" t="s">
        <v>86</v>
      </c>
      <c r="M983" s="1" t="str">
        <f>VLOOKUP(B983,Bounties!A:D,3,FALSE)</f>
        <v>Outreach</v>
      </c>
      <c r="N983" s="1" t="str">
        <f>VLOOKUP(B983,Bounties!A:D,4,FALSE)</f>
        <v>Events/Meetups</v>
      </c>
      <c r="O983" s="1" t="str">
        <f t="shared" ref="O983:P983" si="987">IF(ISBLANK(K983),M983,K983)</f>
        <v>Outreach</v>
      </c>
      <c r="P983" s="1" t="str">
        <f t="shared" si="987"/>
        <v>Events/Conference Attendance &amp; Side Events</v>
      </c>
      <c r="Q983" s="61" t="str">
        <f t="shared" si="3"/>
        <v>2023</v>
      </c>
      <c r="R983" s="62">
        <f t="shared" si="4"/>
        <v>9</v>
      </c>
      <c r="S983" s="61" t="str">
        <f t="shared" si="5"/>
        <v>2023-Q3</v>
      </c>
      <c r="T983" s="63" t="str">
        <f t="shared" si="6"/>
        <v>2023-09</v>
      </c>
      <c r="U983" s="64" t="str">
        <f t="shared" si="7"/>
        <v>2023-H2</v>
      </c>
      <c r="V983" s="9" t="str">
        <f>VLOOKUP(B983,Bounties!A:E,2,FALSE)</f>
        <v>Events Bounty</v>
      </c>
    </row>
    <row r="984" hidden="1">
      <c r="A984" s="67">
        <f>HYPERLINK("https://polkadot.subsquare.io/treasury/child-bounties/410", 410)</f>
        <v>410</v>
      </c>
      <c r="B984" s="1">
        <v>17.0</v>
      </c>
      <c r="C984" s="1" t="s">
        <v>2508</v>
      </c>
      <c r="D984" s="1" t="s">
        <v>1697</v>
      </c>
      <c r="E984" s="5">
        <v>867.2</v>
      </c>
      <c r="F984" s="4">
        <v>3591.9070098876955</v>
      </c>
      <c r="G984" s="1"/>
      <c r="H984" s="95">
        <v>45181.0</v>
      </c>
      <c r="I984" s="95">
        <v>45183.0</v>
      </c>
      <c r="J984" s="4">
        <v>3533.4912429809574</v>
      </c>
      <c r="K984" s="1"/>
      <c r="L984" s="1"/>
      <c r="M984" s="1" t="str">
        <f>VLOOKUP(B984,Bounties!A:D,3,FALSE)</f>
        <v>Outreach</v>
      </c>
      <c r="N984" s="1" t="str">
        <f>VLOOKUP(B984,Bounties!A:D,4,FALSE)</f>
        <v>Events/Meetups</v>
      </c>
      <c r="O984" s="1" t="str">
        <f t="shared" ref="O984:P984" si="988">IF(ISBLANK(K984),M984,K984)</f>
        <v>Outreach</v>
      </c>
      <c r="P984" s="1" t="str">
        <f t="shared" si="988"/>
        <v>Events/Meetups</v>
      </c>
      <c r="Q984" s="61" t="str">
        <f t="shared" si="3"/>
        <v>2023</v>
      </c>
      <c r="R984" s="62">
        <f t="shared" si="4"/>
        <v>9</v>
      </c>
      <c r="S984" s="61" t="str">
        <f t="shared" si="5"/>
        <v>2023-Q3</v>
      </c>
      <c r="T984" s="63" t="str">
        <f t="shared" si="6"/>
        <v>2023-09</v>
      </c>
      <c r="U984" s="64" t="str">
        <f t="shared" si="7"/>
        <v>2023-H2</v>
      </c>
      <c r="V984" s="9" t="str">
        <f>VLOOKUP(B984,Bounties!A:E,2,FALSE)</f>
        <v>Events Bounty</v>
      </c>
    </row>
    <row r="985" hidden="1">
      <c r="A985" s="67">
        <f>HYPERLINK("https://polkadot.subsquare.io/treasury/child-bounties/409", 409)</f>
        <v>409</v>
      </c>
      <c r="B985" s="1">
        <v>17.0</v>
      </c>
      <c r="C985" s="1" t="s">
        <v>2508</v>
      </c>
      <c r="D985" s="1" t="s">
        <v>2695</v>
      </c>
      <c r="E985" s="5">
        <v>1205.3</v>
      </c>
      <c r="F985" s="4">
        <v>4992.3034121513365</v>
      </c>
      <c r="G985" s="1"/>
      <c r="H985" s="95">
        <v>45181.0</v>
      </c>
      <c r="I985" s="95">
        <v>45186.0</v>
      </c>
      <c r="J985" s="4">
        <v>4989.825168514251</v>
      </c>
      <c r="K985" s="1"/>
      <c r="L985" s="1"/>
      <c r="M985" s="1" t="str">
        <f>VLOOKUP(B985,Bounties!A:D,3,FALSE)</f>
        <v>Outreach</v>
      </c>
      <c r="N985" s="1" t="str">
        <f>VLOOKUP(B985,Bounties!A:D,4,FALSE)</f>
        <v>Events/Meetups</v>
      </c>
      <c r="O985" s="1" t="str">
        <f t="shared" ref="O985:P985" si="989">IF(ISBLANK(K985),M985,K985)</f>
        <v>Outreach</v>
      </c>
      <c r="P985" s="1" t="str">
        <f t="shared" si="989"/>
        <v>Events/Meetups</v>
      </c>
      <c r="Q985" s="61" t="str">
        <f t="shared" si="3"/>
        <v>2023</v>
      </c>
      <c r="R985" s="62">
        <f t="shared" si="4"/>
        <v>9</v>
      </c>
      <c r="S985" s="61" t="str">
        <f t="shared" si="5"/>
        <v>2023-Q3</v>
      </c>
      <c r="T985" s="63" t="str">
        <f t="shared" si="6"/>
        <v>2023-09</v>
      </c>
      <c r="U985" s="64" t="str">
        <f t="shared" si="7"/>
        <v>2023-H2</v>
      </c>
      <c r="V985" s="9" t="str">
        <f>VLOOKUP(B985,Bounties!A:E,2,FALSE)</f>
        <v>Events Bounty</v>
      </c>
    </row>
    <row r="986" hidden="1">
      <c r="A986" s="67">
        <f>HYPERLINK("https://polkadot.subsquare.io/treasury/child-bounties/408", 408)</f>
        <v>408</v>
      </c>
      <c r="B986" s="1">
        <v>17.0</v>
      </c>
      <c r="C986" s="1" t="s">
        <v>2508</v>
      </c>
      <c r="D986" s="1" t="s">
        <v>2696</v>
      </c>
      <c r="E986" s="5">
        <v>16.9</v>
      </c>
      <c r="F986" s="4">
        <v>69.99911031723022</v>
      </c>
      <c r="G986" s="1"/>
      <c r="H986" s="95">
        <v>45181.0</v>
      </c>
      <c r="I986" s="95">
        <v>45183.0</v>
      </c>
      <c r="J986" s="4">
        <v>68.86070342063903</v>
      </c>
      <c r="K986" s="1"/>
      <c r="L986" s="1"/>
      <c r="M986" s="1" t="str">
        <f>VLOOKUP(B986,Bounties!A:D,3,FALSE)</f>
        <v>Outreach</v>
      </c>
      <c r="N986" s="1" t="str">
        <f>VLOOKUP(B986,Bounties!A:D,4,FALSE)</f>
        <v>Events/Meetups</v>
      </c>
      <c r="O986" s="1" t="str">
        <f t="shared" ref="O986:P986" si="990">IF(ISBLANK(K986),M986,K986)</f>
        <v>Outreach</v>
      </c>
      <c r="P986" s="1" t="str">
        <f t="shared" si="990"/>
        <v>Events/Meetups</v>
      </c>
      <c r="Q986" s="61" t="str">
        <f t="shared" si="3"/>
        <v>2023</v>
      </c>
      <c r="R986" s="62">
        <f t="shared" si="4"/>
        <v>9</v>
      </c>
      <c r="S986" s="61" t="str">
        <f t="shared" si="5"/>
        <v>2023-Q3</v>
      </c>
      <c r="T986" s="63" t="str">
        <f t="shared" si="6"/>
        <v>2023-09</v>
      </c>
      <c r="U986" s="64" t="str">
        <f t="shared" si="7"/>
        <v>2023-H2</v>
      </c>
      <c r="V986" s="9" t="str">
        <f>VLOOKUP(B986,Bounties!A:E,2,FALSE)</f>
        <v>Events Bounty</v>
      </c>
    </row>
    <row r="987" hidden="1">
      <c r="A987" s="67">
        <f>HYPERLINK("https://polkadot.subsquare.io/treasury/child-bounties/407", 407)</f>
        <v>407</v>
      </c>
      <c r="B987" s="1">
        <v>17.0</v>
      </c>
      <c r="C987" s="1" t="s">
        <v>2508</v>
      </c>
      <c r="D987" s="1" t="s">
        <v>2697</v>
      </c>
      <c r="E987" s="5">
        <v>651.5</v>
      </c>
      <c r="F987" s="4">
        <v>2698.486412525177</v>
      </c>
      <c r="G987" s="1"/>
      <c r="H987" s="95">
        <v>45181.0</v>
      </c>
      <c r="I987" s="95">
        <v>45186.0</v>
      </c>
      <c r="J987" s="4">
        <v>2697.146849155426</v>
      </c>
      <c r="K987" s="1"/>
      <c r="L987" s="1"/>
      <c r="M987" s="1" t="str">
        <f>VLOOKUP(B987,Bounties!A:D,3,FALSE)</f>
        <v>Outreach</v>
      </c>
      <c r="N987" s="1" t="str">
        <f>VLOOKUP(B987,Bounties!A:D,4,FALSE)</f>
        <v>Events/Meetups</v>
      </c>
      <c r="O987" s="1" t="str">
        <f t="shared" ref="O987:P987" si="991">IF(ISBLANK(K987),M987,K987)</f>
        <v>Outreach</v>
      </c>
      <c r="P987" s="1" t="str">
        <f t="shared" si="991"/>
        <v>Events/Meetups</v>
      </c>
      <c r="Q987" s="61" t="str">
        <f t="shared" si="3"/>
        <v>2023</v>
      </c>
      <c r="R987" s="62">
        <f t="shared" si="4"/>
        <v>9</v>
      </c>
      <c r="S987" s="61" t="str">
        <f t="shared" si="5"/>
        <v>2023-Q3</v>
      </c>
      <c r="T987" s="63" t="str">
        <f t="shared" si="6"/>
        <v>2023-09</v>
      </c>
      <c r="U987" s="64" t="str">
        <f t="shared" si="7"/>
        <v>2023-H2</v>
      </c>
      <c r="V987" s="9" t="str">
        <f>VLOOKUP(B987,Bounties!A:E,2,FALSE)</f>
        <v>Events Bounty</v>
      </c>
    </row>
    <row r="988" hidden="1">
      <c r="A988" s="67">
        <f>HYPERLINK("https://polkadot.subsquare.io/treasury/child-bounties/406", 406)</f>
        <v>406</v>
      </c>
      <c r="B988" s="1">
        <v>17.0</v>
      </c>
      <c r="C988" s="1" t="s">
        <v>2508</v>
      </c>
      <c r="D988" s="1" t="s">
        <v>1695</v>
      </c>
      <c r="E988" s="5">
        <v>66.3</v>
      </c>
      <c r="F988" s="4">
        <v>274.61189432144164</v>
      </c>
      <c r="G988" s="1"/>
      <c r="H988" s="95">
        <v>45181.0</v>
      </c>
      <c r="I988" s="95">
        <v>45182.0</v>
      </c>
      <c r="J988" s="4">
        <v>277.50586767196654</v>
      </c>
      <c r="K988" s="1"/>
      <c r="L988" s="1"/>
      <c r="M988" s="1" t="str">
        <f>VLOOKUP(B988,Bounties!A:D,3,FALSE)</f>
        <v>Outreach</v>
      </c>
      <c r="N988" s="1" t="str">
        <f>VLOOKUP(B988,Bounties!A:D,4,FALSE)</f>
        <v>Events/Meetups</v>
      </c>
      <c r="O988" s="1" t="str">
        <f t="shared" ref="O988:P988" si="992">IF(ISBLANK(K988),M988,K988)</f>
        <v>Outreach</v>
      </c>
      <c r="P988" s="1" t="str">
        <f t="shared" si="992"/>
        <v>Events/Meetups</v>
      </c>
      <c r="Q988" s="61" t="str">
        <f t="shared" si="3"/>
        <v>2023</v>
      </c>
      <c r="R988" s="62">
        <f t="shared" si="4"/>
        <v>9</v>
      </c>
      <c r="S988" s="61" t="str">
        <f t="shared" si="5"/>
        <v>2023-Q3</v>
      </c>
      <c r="T988" s="63" t="str">
        <f t="shared" si="6"/>
        <v>2023-09</v>
      </c>
      <c r="U988" s="64" t="str">
        <f t="shared" si="7"/>
        <v>2023-H2</v>
      </c>
      <c r="V988" s="9" t="str">
        <f>VLOOKUP(B988,Bounties!A:E,2,FALSE)</f>
        <v>Events Bounty</v>
      </c>
    </row>
    <row r="989" hidden="1">
      <c r="A989" s="67">
        <f>HYPERLINK("https://polkadot.subsquare.io/treasury/child-bounties/405", 405)</f>
        <v>405</v>
      </c>
      <c r="B989" s="1">
        <v>11.0</v>
      </c>
      <c r="C989" s="1" t="s">
        <v>2414</v>
      </c>
      <c r="D989" s="1" t="s">
        <v>1694</v>
      </c>
      <c r="E989" s="5">
        <v>114.1147795258</v>
      </c>
      <c r="F989" s="4">
        <v>486.3424536765478</v>
      </c>
      <c r="G989" s="1" t="s">
        <v>2437</v>
      </c>
      <c r="H989" s="95">
        <v>45168.0</v>
      </c>
      <c r="I989" s="95">
        <v>45177.0</v>
      </c>
      <c r="J989" s="4">
        <v>473.7989542728289</v>
      </c>
      <c r="K989" s="1"/>
      <c r="L989" s="1"/>
      <c r="M989" s="1" t="str">
        <f>VLOOKUP(B989,Bounties!A:D,3,FALSE)</f>
        <v>Research</v>
      </c>
      <c r="N989" s="1" t="str">
        <f>VLOOKUP(B989,Bounties!A:D,4,FALSE)</f>
        <v>Anti-Scam</v>
      </c>
      <c r="O989" s="1" t="str">
        <f t="shared" ref="O989:P989" si="993">IF(ISBLANK(K989),M989,K989)</f>
        <v>Research</v>
      </c>
      <c r="P989" s="1" t="str">
        <f t="shared" si="993"/>
        <v>Anti-Scam</v>
      </c>
      <c r="Q989" s="61" t="str">
        <f t="shared" si="3"/>
        <v>2023</v>
      </c>
      <c r="R989" s="62">
        <f t="shared" si="4"/>
        <v>9</v>
      </c>
      <c r="S989" s="61" t="str">
        <f t="shared" si="5"/>
        <v>2023-Q3</v>
      </c>
      <c r="T989" s="63" t="str">
        <f t="shared" si="6"/>
        <v>2023-09</v>
      </c>
      <c r="U989" s="64" t="str">
        <f t="shared" si="7"/>
        <v>2023-H2</v>
      </c>
      <c r="V989" s="9" t="str">
        <f>VLOOKUP(B989,Bounties!A:E,2,FALSE)</f>
        <v>Anti-Scam Bounty</v>
      </c>
    </row>
    <row r="990" hidden="1">
      <c r="A990" s="67">
        <f>HYPERLINK("https://polkadot.subsquare.io/treasury/child-bounties/404", 404)</f>
        <v>404</v>
      </c>
      <c r="B990" s="1">
        <v>11.0</v>
      </c>
      <c r="C990" s="1" t="s">
        <v>2414</v>
      </c>
      <c r="D990" s="1" t="s">
        <v>1693</v>
      </c>
      <c r="E990" s="5">
        <v>78.6616441392</v>
      </c>
      <c r="F990" s="4">
        <v>335.24576903941374</v>
      </c>
      <c r="G990" s="1" t="s">
        <v>2438</v>
      </c>
      <c r="H990" s="95">
        <v>45168.0</v>
      </c>
      <c r="I990" s="95">
        <v>45177.0</v>
      </c>
      <c r="J990" s="4">
        <v>313.63340774468435</v>
      </c>
      <c r="K990" s="1"/>
      <c r="L990" s="1"/>
      <c r="M990" s="1" t="str">
        <f>VLOOKUP(B990,Bounties!A:D,3,FALSE)</f>
        <v>Research</v>
      </c>
      <c r="N990" s="1" t="str">
        <f>VLOOKUP(B990,Bounties!A:D,4,FALSE)</f>
        <v>Anti-Scam</v>
      </c>
      <c r="O990" s="1" t="str">
        <f t="shared" ref="O990:P990" si="994">IF(ISBLANK(K990),M990,K990)</f>
        <v>Research</v>
      </c>
      <c r="P990" s="1" t="str">
        <f t="shared" si="994"/>
        <v>Anti-Scam</v>
      </c>
      <c r="Q990" s="61" t="str">
        <f t="shared" si="3"/>
        <v>2023</v>
      </c>
      <c r="R990" s="62">
        <f t="shared" si="4"/>
        <v>9</v>
      </c>
      <c r="S990" s="61" t="str">
        <f t="shared" si="5"/>
        <v>2023-Q3</v>
      </c>
      <c r="T990" s="63" t="str">
        <f t="shared" si="6"/>
        <v>2023-09</v>
      </c>
      <c r="U990" s="64" t="str">
        <f t="shared" si="7"/>
        <v>2023-H2</v>
      </c>
      <c r="V990" s="9" t="str">
        <f>VLOOKUP(B990,Bounties!A:E,2,FALSE)</f>
        <v>Anti-Scam Bounty</v>
      </c>
    </row>
    <row r="991" hidden="1">
      <c r="A991" s="67">
        <f>HYPERLINK("https://polkadot.subsquare.io/treasury/child-bounties/403", 403)</f>
        <v>403</v>
      </c>
      <c r="B991" s="1">
        <v>11.0</v>
      </c>
      <c r="C991" s="1" t="s">
        <v>2414</v>
      </c>
      <c r="D991" s="1" t="s">
        <v>1692</v>
      </c>
      <c r="E991" s="5">
        <v>2140.5716818081</v>
      </c>
      <c r="F991" s="4">
        <v>9122.840076694154</v>
      </c>
      <c r="G991" s="1" t="s">
        <v>2437</v>
      </c>
      <c r="H991" s="95">
        <v>45168.0</v>
      </c>
      <c r="I991" s="95">
        <v>45176.0</v>
      </c>
      <c r="J991" s="4">
        <v>8887.548384189882</v>
      </c>
      <c r="K991" s="1"/>
      <c r="L991" s="1"/>
      <c r="M991" s="1" t="str">
        <f>VLOOKUP(B991,Bounties!A:D,3,FALSE)</f>
        <v>Research</v>
      </c>
      <c r="N991" s="1" t="str">
        <f>VLOOKUP(B991,Bounties!A:D,4,FALSE)</f>
        <v>Anti-Scam</v>
      </c>
      <c r="O991" s="1" t="str">
        <f t="shared" ref="O991:P991" si="995">IF(ISBLANK(K991),M991,K991)</f>
        <v>Research</v>
      </c>
      <c r="P991" s="1" t="str">
        <f t="shared" si="995"/>
        <v>Anti-Scam</v>
      </c>
      <c r="Q991" s="61" t="str">
        <f t="shared" si="3"/>
        <v>2023</v>
      </c>
      <c r="R991" s="62">
        <f t="shared" si="4"/>
        <v>9</v>
      </c>
      <c r="S991" s="61" t="str">
        <f t="shared" si="5"/>
        <v>2023-Q3</v>
      </c>
      <c r="T991" s="63" t="str">
        <f t="shared" si="6"/>
        <v>2023-09</v>
      </c>
      <c r="U991" s="64" t="str">
        <f t="shared" si="7"/>
        <v>2023-H2</v>
      </c>
      <c r="V991" s="9" t="str">
        <f>VLOOKUP(B991,Bounties!A:E,2,FALSE)</f>
        <v>Anti-Scam Bounty</v>
      </c>
    </row>
    <row r="992" hidden="1">
      <c r="A992" s="67">
        <f>HYPERLINK("https://polkadot.subsquare.io/treasury/child-bounties/402", 402)</f>
        <v>402</v>
      </c>
      <c r="B992" s="1">
        <v>11.0</v>
      </c>
      <c r="C992" s="1" t="s">
        <v>2414</v>
      </c>
      <c r="D992" s="1" t="s">
        <v>1691</v>
      </c>
      <c r="E992" s="5">
        <v>2140.5716818081</v>
      </c>
      <c r="F992" s="4">
        <v>9122.840076694154</v>
      </c>
      <c r="G992" s="1" t="s">
        <v>2463</v>
      </c>
      <c r="H992" s="95">
        <v>45168.0</v>
      </c>
      <c r="I992" s="95">
        <v>45177.0</v>
      </c>
      <c r="J992" s="4">
        <v>8534.715977957594</v>
      </c>
      <c r="K992" s="1"/>
      <c r="L992" s="1"/>
      <c r="M992" s="1" t="str">
        <f>VLOOKUP(B992,Bounties!A:D,3,FALSE)</f>
        <v>Research</v>
      </c>
      <c r="N992" s="1" t="str">
        <f>VLOOKUP(B992,Bounties!A:D,4,FALSE)</f>
        <v>Anti-Scam</v>
      </c>
      <c r="O992" s="1" t="str">
        <f t="shared" ref="O992:P992" si="996">IF(ISBLANK(K992),M992,K992)</f>
        <v>Research</v>
      </c>
      <c r="P992" s="1" t="str">
        <f t="shared" si="996"/>
        <v>Anti-Scam</v>
      </c>
      <c r="Q992" s="61" t="str">
        <f t="shared" si="3"/>
        <v>2023</v>
      </c>
      <c r="R992" s="62">
        <f t="shared" si="4"/>
        <v>9</v>
      </c>
      <c r="S992" s="61" t="str">
        <f t="shared" si="5"/>
        <v>2023-Q3</v>
      </c>
      <c r="T992" s="63" t="str">
        <f t="shared" si="6"/>
        <v>2023-09</v>
      </c>
      <c r="U992" s="64" t="str">
        <f t="shared" si="7"/>
        <v>2023-H2</v>
      </c>
      <c r="V992" s="9" t="str">
        <f>VLOOKUP(B992,Bounties!A:E,2,FALSE)</f>
        <v>Anti-Scam Bounty</v>
      </c>
    </row>
    <row r="993" hidden="1">
      <c r="A993" s="67">
        <f>HYPERLINK("https://polkadot.subsquare.io/treasury/child-bounties/401", 401)</f>
        <v>401</v>
      </c>
      <c r="B993" s="1">
        <v>11.0</v>
      </c>
      <c r="C993" s="1" t="s">
        <v>2414</v>
      </c>
      <c r="D993" s="1" t="s">
        <v>1690</v>
      </c>
      <c r="E993" s="5">
        <v>2140.5716818081</v>
      </c>
      <c r="F993" s="4">
        <v>9122.840076694154</v>
      </c>
      <c r="G993" s="1" t="s">
        <v>2438</v>
      </c>
      <c r="H993" s="95">
        <v>45168.0</v>
      </c>
      <c r="I993" s="95">
        <v>45176.0</v>
      </c>
      <c r="J993" s="4">
        <v>8887.548384189882</v>
      </c>
      <c r="K993" s="1"/>
      <c r="L993" s="1"/>
      <c r="M993" s="1" t="str">
        <f>VLOOKUP(B993,Bounties!A:D,3,FALSE)</f>
        <v>Research</v>
      </c>
      <c r="N993" s="1" t="str">
        <f>VLOOKUP(B993,Bounties!A:D,4,FALSE)</f>
        <v>Anti-Scam</v>
      </c>
      <c r="O993" s="1" t="str">
        <f t="shared" ref="O993:P993" si="997">IF(ISBLANK(K993),M993,K993)</f>
        <v>Research</v>
      </c>
      <c r="P993" s="1" t="str">
        <f t="shared" si="997"/>
        <v>Anti-Scam</v>
      </c>
      <c r="Q993" s="61" t="str">
        <f t="shared" si="3"/>
        <v>2023</v>
      </c>
      <c r="R993" s="62">
        <f t="shared" si="4"/>
        <v>9</v>
      </c>
      <c r="S993" s="61" t="str">
        <f t="shared" si="5"/>
        <v>2023-Q3</v>
      </c>
      <c r="T993" s="63" t="str">
        <f t="shared" si="6"/>
        <v>2023-09</v>
      </c>
      <c r="U993" s="64" t="str">
        <f t="shared" si="7"/>
        <v>2023-H2</v>
      </c>
      <c r="V993" s="9" t="str">
        <f>VLOOKUP(B993,Bounties!A:E,2,FALSE)</f>
        <v>Anti-Scam Bounty</v>
      </c>
    </row>
    <row r="994" hidden="1">
      <c r="A994" s="67">
        <f>HYPERLINK("https://polkadot.subsquare.io/treasury/child-bounties/400", 400)</f>
        <v>400</v>
      </c>
      <c r="B994" s="1">
        <v>11.0</v>
      </c>
      <c r="C994" s="1" t="s">
        <v>2508</v>
      </c>
      <c r="D994" s="1" t="s">
        <v>1692</v>
      </c>
      <c r="E994" s="5">
        <v>2876.2242410813</v>
      </c>
      <c r="F994" s="4">
        <v>12258.096282920014</v>
      </c>
      <c r="G994" s="1"/>
      <c r="H994" s="95">
        <v>45168.0</v>
      </c>
      <c r="I994" s="95">
        <v>45168.0</v>
      </c>
      <c r="J994" s="4">
        <v>12258.096282920014</v>
      </c>
      <c r="K994" s="1"/>
      <c r="L994" s="1"/>
      <c r="M994" s="1" t="str">
        <f>VLOOKUP(B994,Bounties!A:D,3,FALSE)</f>
        <v>Research</v>
      </c>
      <c r="N994" s="1" t="str">
        <f>VLOOKUP(B994,Bounties!A:D,4,FALSE)</f>
        <v>Anti-Scam</v>
      </c>
      <c r="O994" s="1" t="str">
        <f t="shared" ref="O994:P994" si="998">IF(ISBLANK(K994),M994,K994)</f>
        <v>Research</v>
      </c>
      <c r="P994" s="1" t="str">
        <f t="shared" si="998"/>
        <v>Anti-Scam</v>
      </c>
      <c r="Q994" s="61" t="str">
        <f t="shared" si="3"/>
        <v>2023</v>
      </c>
      <c r="R994" s="62">
        <f t="shared" si="4"/>
        <v>8</v>
      </c>
      <c r="S994" s="61" t="str">
        <f t="shared" si="5"/>
        <v>2023-Q3</v>
      </c>
      <c r="T994" s="63" t="str">
        <f t="shared" si="6"/>
        <v>2023-08</v>
      </c>
      <c r="U994" s="64" t="str">
        <f t="shared" si="7"/>
        <v>2023-H2</v>
      </c>
      <c r="V994" s="9" t="str">
        <f>VLOOKUP(B994,Bounties!A:E,2,FALSE)</f>
        <v>Anti-Scam Bounty</v>
      </c>
    </row>
    <row r="995" hidden="1">
      <c r="A995" s="67">
        <f>HYPERLINK("https://polkadot.subsquare.io/treasury/child-bounties/399", 399)</f>
        <v>399</v>
      </c>
      <c r="B995" s="1">
        <v>11.0</v>
      </c>
      <c r="C995" s="1" t="s">
        <v>2508</v>
      </c>
      <c r="D995" s="1" t="s">
        <v>2698</v>
      </c>
      <c r="E995" s="5">
        <v>2876.2242410813</v>
      </c>
      <c r="F995" s="4">
        <v>12258.096282920014</v>
      </c>
      <c r="G995" s="1"/>
      <c r="H995" s="95">
        <v>45168.0</v>
      </c>
      <c r="I995" s="95">
        <v>45168.0</v>
      </c>
      <c r="J995" s="4">
        <v>12258.096282920014</v>
      </c>
      <c r="K995" s="1"/>
      <c r="L995" s="1"/>
      <c r="M995" s="1" t="str">
        <f>VLOOKUP(B995,Bounties!A:D,3,FALSE)</f>
        <v>Research</v>
      </c>
      <c r="N995" s="1" t="str">
        <f>VLOOKUP(B995,Bounties!A:D,4,FALSE)</f>
        <v>Anti-Scam</v>
      </c>
      <c r="O995" s="1" t="str">
        <f t="shared" ref="O995:P995" si="999">IF(ISBLANK(K995),M995,K995)</f>
        <v>Research</v>
      </c>
      <c r="P995" s="1" t="str">
        <f t="shared" si="999"/>
        <v>Anti-Scam</v>
      </c>
      <c r="Q995" s="61" t="str">
        <f t="shared" si="3"/>
        <v>2023</v>
      </c>
      <c r="R995" s="62">
        <f t="shared" si="4"/>
        <v>8</v>
      </c>
      <c r="S995" s="61" t="str">
        <f t="shared" si="5"/>
        <v>2023-Q3</v>
      </c>
      <c r="T995" s="63" t="str">
        <f t="shared" si="6"/>
        <v>2023-08</v>
      </c>
      <c r="U995" s="64" t="str">
        <f t="shared" si="7"/>
        <v>2023-H2</v>
      </c>
      <c r="V995" s="9" t="str">
        <f>VLOOKUP(B995,Bounties!A:E,2,FALSE)</f>
        <v>Anti-Scam Bounty</v>
      </c>
    </row>
    <row r="996" hidden="1">
      <c r="A996" s="67">
        <f>HYPERLINK("https://polkadot.subsquare.io/treasury/child-bounties/398", 398)</f>
        <v>398</v>
      </c>
      <c r="B996" s="1">
        <v>11.0</v>
      </c>
      <c r="C996" s="1" t="s">
        <v>2508</v>
      </c>
      <c r="D996" s="1" t="s">
        <v>2699</v>
      </c>
      <c r="E996" s="5">
        <v>2876.2242410813</v>
      </c>
      <c r="F996" s="4">
        <v>12258.096282920014</v>
      </c>
      <c r="G996" s="1"/>
      <c r="H996" s="95">
        <v>45168.0</v>
      </c>
      <c r="I996" s="95">
        <v>45168.0</v>
      </c>
      <c r="J996" s="4">
        <v>12258.096282920014</v>
      </c>
      <c r="K996" s="1"/>
      <c r="L996" s="1"/>
      <c r="M996" s="1" t="str">
        <f>VLOOKUP(B996,Bounties!A:D,3,FALSE)</f>
        <v>Research</v>
      </c>
      <c r="N996" s="1" t="str">
        <f>VLOOKUP(B996,Bounties!A:D,4,FALSE)</f>
        <v>Anti-Scam</v>
      </c>
      <c r="O996" s="1" t="str">
        <f t="shared" ref="O996:P996" si="1000">IF(ISBLANK(K996),M996,K996)</f>
        <v>Research</v>
      </c>
      <c r="P996" s="1" t="str">
        <f t="shared" si="1000"/>
        <v>Anti-Scam</v>
      </c>
      <c r="Q996" s="61" t="str">
        <f t="shared" si="3"/>
        <v>2023</v>
      </c>
      <c r="R996" s="62">
        <f t="shared" si="4"/>
        <v>8</v>
      </c>
      <c r="S996" s="61" t="str">
        <f t="shared" si="5"/>
        <v>2023-Q3</v>
      </c>
      <c r="T996" s="63" t="str">
        <f t="shared" si="6"/>
        <v>2023-08</v>
      </c>
      <c r="U996" s="64" t="str">
        <f t="shared" si="7"/>
        <v>2023-H2</v>
      </c>
      <c r="V996" s="9" t="str">
        <f>VLOOKUP(B996,Bounties!A:E,2,FALSE)</f>
        <v>Anti-Scam Bounty</v>
      </c>
    </row>
    <row r="997" hidden="1">
      <c r="A997" s="67">
        <f>HYPERLINK("https://polkadot.subsquare.io/treasury/child-bounties/397", 397)</f>
        <v>397</v>
      </c>
      <c r="B997" s="1">
        <v>11.0</v>
      </c>
      <c r="C997" s="1" t="s">
        <v>2414</v>
      </c>
      <c r="D997" s="1" t="s">
        <v>1689</v>
      </c>
      <c r="E997" s="5">
        <v>66.47462885</v>
      </c>
      <c r="F997" s="4">
        <v>283.30628369515915</v>
      </c>
      <c r="G997" s="1" t="s">
        <v>2437</v>
      </c>
      <c r="H997" s="95">
        <v>45168.0</v>
      </c>
      <c r="I997" s="95">
        <v>45177.0</v>
      </c>
      <c r="J997" s="4">
        <v>275.9993908386217</v>
      </c>
      <c r="K997" s="1"/>
      <c r="L997" s="1"/>
      <c r="M997" s="1" t="str">
        <f>VLOOKUP(B997,Bounties!A:D,3,FALSE)</f>
        <v>Research</v>
      </c>
      <c r="N997" s="1" t="str">
        <f>VLOOKUP(B997,Bounties!A:D,4,FALSE)</f>
        <v>Anti-Scam</v>
      </c>
      <c r="O997" s="1" t="str">
        <f t="shared" ref="O997:P997" si="1001">IF(ISBLANK(K997),M997,K997)</f>
        <v>Research</v>
      </c>
      <c r="P997" s="1" t="str">
        <f t="shared" si="1001"/>
        <v>Anti-Scam</v>
      </c>
      <c r="Q997" s="61" t="str">
        <f t="shared" si="3"/>
        <v>2023</v>
      </c>
      <c r="R997" s="62">
        <f t="shared" si="4"/>
        <v>9</v>
      </c>
      <c r="S997" s="61" t="str">
        <f t="shared" si="5"/>
        <v>2023-Q3</v>
      </c>
      <c r="T997" s="63" t="str">
        <f t="shared" si="6"/>
        <v>2023-09</v>
      </c>
      <c r="U997" s="64" t="str">
        <f t="shared" si="7"/>
        <v>2023-H2</v>
      </c>
      <c r="V997" s="9" t="str">
        <f>VLOOKUP(B997,Bounties!A:E,2,FALSE)</f>
        <v>Anti-Scam Bounty</v>
      </c>
    </row>
    <row r="998" hidden="1">
      <c r="A998" s="67">
        <f>HYPERLINK("https://polkadot.subsquare.io/treasury/child-bounties/396", 396)</f>
        <v>396</v>
      </c>
      <c r="B998" s="1">
        <v>11.0</v>
      </c>
      <c r="C998" s="1" t="s">
        <v>2414</v>
      </c>
      <c r="D998" s="1" t="s">
        <v>1688</v>
      </c>
      <c r="E998" s="5">
        <v>110.0352112676</v>
      </c>
      <c r="F998" s="4">
        <v>463.88999047411306</v>
      </c>
      <c r="G998" s="1" t="s">
        <v>2528</v>
      </c>
      <c r="H998" s="95">
        <v>45167.0</v>
      </c>
      <c r="I998" s="95">
        <v>45175.0</v>
      </c>
      <c r="J998" s="4">
        <v>466.5158479146316</v>
      </c>
      <c r="K998" s="1"/>
      <c r="L998" s="1"/>
      <c r="M998" s="1" t="str">
        <f>VLOOKUP(B998,Bounties!A:D,3,FALSE)</f>
        <v>Research</v>
      </c>
      <c r="N998" s="1" t="str">
        <f>VLOOKUP(B998,Bounties!A:D,4,FALSE)</f>
        <v>Anti-Scam</v>
      </c>
      <c r="O998" s="1" t="str">
        <f t="shared" ref="O998:P998" si="1002">IF(ISBLANK(K998),M998,K998)</f>
        <v>Research</v>
      </c>
      <c r="P998" s="1" t="str">
        <f t="shared" si="1002"/>
        <v>Anti-Scam</v>
      </c>
      <c r="Q998" s="61" t="str">
        <f t="shared" si="3"/>
        <v>2023</v>
      </c>
      <c r="R998" s="62">
        <f t="shared" si="4"/>
        <v>9</v>
      </c>
      <c r="S998" s="61" t="str">
        <f t="shared" si="5"/>
        <v>2023-Q3</v>
      </c>
      <c r="T998" s="63" t="str">
        <f t="shared" si="6"/>
        <v>2023-09</v>
      </c>
      <c r="U998" s="64" t="str">
        <f t="shared" si="7"/>
        <v>2023-H2</v>
      </c>
      <c r="V998" s="9" t="str">
        <f>VLOOKUP(B998,Bounties!A:E,2,FALSE)</f>
        <v>Anti-Scam Bounty</v>
      </c>
    </row>
    <row r="999" hidden="1">
      <c r="A999" s="67">
        <f>HYPERLINK("https://polkadot.subsquare.io/treasury/child-bounties/395", 395)</f>
        <v>395</v>
      </c>
      <c r="B999" s="1">
        <v>11.0</v>
      </c>
      <c r="C999" s="1" t="s">
        <v>2414</v>
      </c>
      <c r="D999" s="1" t="s">
        <v>1687</v>
      </c>
      <c r="E999" s="5">
        <v>88.0281690141</v>
      </c>
      <c r="F999" s="4">
        <v>371.1119923793747</v>
      </c>
      <c r="G999" s="1" t="s">
        <v>2463</v>
      </c>
      <c r="H999" s="95">
        <v>45167.0</v>
      </c>
      <c r="I999" s="95">
        <v>45177.0</v>
      </c>
      <c r="J999" s="4">
        <v>350.97886558995583</v>
      </c>
      <c r="K999" s="1"/>
      <c r="L999" s="1"/>
      <c r="M999" s="1" t="str">
        <f>VLOOKUP(B999,Bounties!A:D,3,FALSE)</f>
        <v>Research</v>
      </c>
      <c r="N999" s="1" t="str">
        <f>VLOOKUP(B999,Bounties!A:D,4,FALSE)</f>
        <v>Anti-Scam</v>
      </c>
      <c r="O999" s="1" t="str">
        <f t="shared" ref="O999:P999" si="1003">IF(ISBLANK(K999),M999,K999)</f>
        <v>Research</v>
      </c>
      <c r="P999" s="1" t="str">
        <f t="shared" si="1003"/>
        <v>Anti-Scam</v>
      </c>
      <c r="Q999" s="61" t="str">
        <f t="shared" si="3"/>
        <v>2023</v>
      </c>
      <c r="R999" s="62">
        <f t="shared" si="4"/>
        <v>9</v>
      </c>
      <c r="S999" s="61" t="str">
        <f t="shared" si="5"/>
        <v>2023-Q3</v>
      </c>
      <c r="T999" s="63" t="str">
        <f t="shared" si="6"/>
        <v>2023-09</v>
      </c>
      <c r="U999" s="64" t="str">
        <f t="shared" si="7"/>
        <v>2023-H2</v>
      </c>
      <c r="V999" s="9" t="str">
        <f>VLOOKUP(B999,Bounties!A:E,2,FALSE)</f>
        <v>Anti-Scam Bounty</v>
      </c>
    </row>
    <row r="1000" hidden="1">
      <c r="A1000" s="67">
        <f>HYPERLINK("https://polkadot.subsquare.io/treasury/child-bounties/394", 394)</f>
        <v>394</v>
      </c>
      <c r="B1000" s="1">
        <v>11.0</v>
      </c>
      <c r="C1000" s="1" t="s">
        <v>2414</v>
      </c>
      <c r="D1000" s="1" t="s">
        <v>1686</v>
      </c>
      <c r="E1000" s="5">
        <v>88.0281690141</v>
      </c>
      <c r="F1000" s="4">
        <v>371.1119923793747</v>
      </c>
      <c r="G1000" s="1" t="s">
        <v>2438</v>
      </c>
      <c r="H1000" s="95">
        <v>45167.0</v>
      </c>
      <c r="I1000" s="95">
        <v>45175.0</v>
      </c>
      <c r="J1000" s="4">
        <v>373.2126783317901</v>
      </c>
      <c r="K1000" s="1"/>
      <c r="L1000" s="1"/>
      <c r="M1000" s="1" t="str">
        <f>VLOOKUP(B1000,Bounties!A:D,3,FALSE)</f>
        <v>Research</v>
      </c>
      <c r="N1000" s="1" t="str">
        <f>VLOOKUP(B1000,Bounties!A:D,4,FALSE)</f>
        <v>Anti-Scam</v>
      </c>
      <c r="O1000" s="1" t="str">
        <f t="shared" ref="O1000:P1000" si="1004">IF(ISBLANK(K1000),M1000,K1000)</f>
        <v>Research</v>
      </c>
      <c r="P1000" s="1" t="str">
        <f t="shared" si="1004"/>
        <v>Anti-Scam</v>
      </c>
      <c r="Q1000" s="61" t="str">
        <f t="shared" si="3"/>
        <v>2023</v>
      </c>
      <c r="R1000" s="62">
        <f t="shared" si="4"/>
        <v>9</v>
      </c>
      <c r="S1000" s="61" t="str">
        <f t="shared" si="5"/>
        <v>2023-Q3</v>
      </c>
      <c r="T1000" s="63" t="str">
        <f t="shared" si="6"/>
        <v>2023-09</v>
      </c>
      <c r="U1000" s="64" t="str">
        <f t="shared" si="7"/>
        <v>2023-H2</v>
      </c>
      <c r="V1000" s="9" t="str">
        <f>VLOOKUP(B1000,Bounties!A:E,2,FALSE)</f>
        <v>Anti-Scam Bounty</v>
      </c>
    </row>
    <row r="1001" hidden="1">
      <c r="A1001" s="67">
        <f>HYPERLINK("https://polkadot.subsquare.io/treasury/child-bounties/393", 393)</f>
        <v>393</v>
      </c>
      <c r="B1001" s="1">
        <v>11.0</v>
      </c>
      <c r="C1001" s="1" t="s">
        <v>2414</v>
      </c>
      <c r="D1001" s="1" t="s">
        <v>1685</v>
      </c>
      <c r="E1001" s="5">
        <v>88.0281690141</v>
      </c>
      <c r="F1001" s="4">
        <v>371.1119923793747</v>
      </c>
      <c r="G1001" s="1" t="s">
        <v>2437</v>
      </c>
      <c r="H1001" s="95">
        <v>45167.0</v>
      </c>
      <c r="I1001" s="95">
        <v>45175.0</v>
      </c>
      <c r="J1001" s="4">
        <v>373.2126783317901</v>
      </c>
      <c r="K1001" s="1"/>
      <c r="L1001" s="1"/>
      <c r="M1001" s="1" t="str">
        <f>VLOOKUP(B1001,Bounties!A:D,3,FALSE)</f>
        <v>Research</v>
      </c>
      <c r="N1001" s="1" t="str">
        <f>VLOOKUP(B1001,Bounties!A:D,4,FALSE)</f>
        <v>Anti-Scam</v>
      </c>
      <c r="O1001" s="1" t="str">
        <f t="shared" ref="O1001:P1001" si="1005">IF(ISBLANK(K1001),M1001,K1001)</f>
        <v>Research</v>
      </c>
      <c r="P1001" s="1" t="str">
        <f t="shared" si="1005"/>
        <v>Anti-Scam</v>
      </c>
      <c r="Q1001" s="61" t="str">
        <f t="shared" si="3"/>
        <v>2023</v>
      </c>
      <c r="R1001" s="62">
        <f t="shared" si="4"/>
        <v>9</v>
      </c>
      <c r="S1001" s="61" t="str">
        <f t="shared" si="5"/>
        <v>2023-Q3</v>
      </c>
      <c r="T1001" s="63" t="str">
        <f t="shared" si="6"/>
        <v>2023-09</v>
      </c>
      <c r="U1001" s="64" t="str">
        <f t="shared" si="7"/>
        <v>2023-H2</v>
      </c>
      <c r="V1001" s="9" t="str">
        <f>VLOOKUP(B1001,Bounties!A:E,2,FALSE)</f>
        <v>Anti-Scam Bounty</v>
      </c>
    </row>
    <row r="1002" hidden="1">
      <c r="A1002" s="67">
        <f>HYPERLINK("https://polkadot.subsquare.io/treasury/child-bounties/392", 392)</f>
        <v>392</v>
      </c>
      <c r="B1002" s="1">
        <v>11.0</v>
      </c>
      <c r="C1002" s="1" t="s">
        <v>2414</v>
      </c>
      <c r="D1002" s="1" t="s">
        <v>1684</v>
      </c>
      <c r="E1002" s="5">
        <v>110.0352112676</v>
      </c>
      <c r="F1002" s="4">
        <v>463.88999047411306</v>
      </c>
      <c r="G1002" s="1" t="s">
        <v>2526</v>
      </c>
      <c r="H1002" s="95">
        <v>45167.0</v>
      </c>
      <c r="I1002" s="95">
        <v>45178.0</v>
      </c>
      <c r="J1002" s="4">
        <v>438.7235819873451</v>
      </c>
      <c r="K1002" s="1"/>
      <c r="L1002" s="1"/>
      <c r="M1002" s="1" t="str">
        <f>VLOOKUP(B1002,Bounties!A:D,3,FALSE)</f>
        <v>Research</v>
      </c>
      <c r="N1002" s="1" t="str">
        <f>VLOOKUP(B1002,Bounties!A:D,4,FALSE)</f>
        <v>Anti-Scam</v>
      </c>
      <c r="O1002" s="1" t="str">
        <f t="shared" ref="O1002:P1002" si="1006">IF(ISBLANK(K1002),M1002,K1002)</f>
        <v>Research</v>
      </c>
      <c r="P1002" s="1" t="str">
        <f t="shared" si="1006"/>
        <v>Anti-Scam</v>
      </c>
      <c r="Q1002" s="61" t="str">
        <f t="shared" si="3"/>
        <v>2023</v>
      </c>
      <c r="R1002" s="62">
        <f t="shared" si="4"/>
        <v>9</v>
      </c>
      <c r="S1002" s="61" t="str">
        <f t="shared" si="5"/>
        <v>2023-Q3</v>
      </c>
      <c r="T1002" s="63" t="str">
        <f t="shared" si="6"/>
        <v>2023-09</v>
      </c>
      <c r="U1002" s="64" t="str">
        <f t="shared" si="7"/>
        <v>2023-H2</v>
      </c>
      <c r="V1002" s="9" t="str">
        <f>VLOOKUP(B1002,Bounties!A:E,2,FALSE)</f>
        <v>Anti-Scam Bounty</v>
      </c>
    </row>
    <row r="1003" hidden="1">
      <c r="A1003" s="67">
        <f>HYPERLINK("https://polkadot.subsquare.io/treasury/child-bounties/391", 391)</f>
        <v>391</v>
      </c>
      <c r="B1003" s="1">
        <v>11.0</v>
      </c>
      <c r="C1003" s="1" t="s">
        <v>2414</v>
      </c>
      <c r="D1003" s="1" t="s">
        <v>1683</v>
      </c>
      <c r="E1003" s="5">
        <v>110.0352112676</v>
      </c>
      <c r="F1003" s="4">
        <v>463.88999047411306</v>
      </c>
      <c r="G1003" s="1" t="s">
        <v>2534</v>
      </c>
      <c r="H1003" s="95">
        <v>45167.0</v>
      </c>
      <c r="I1003" s="95">
        <v>45175.0</v>
      </c>
      <c r="J1003" s="4">
        <v>466.5158479146316</v>
      </c>
      <c r="K1003" s="1"/>
      <c r="L1003" s="1"/>
      <c r="M1003" s="1" t="str">
        <f>VLOOKUP(B1003,Bounties!A:D,3,FALSE)</f>
        <v>Research</v>
      </c>
      <c r="N1003" s="1" t="str">
        <f>VLOOKUP(B1003,Bounties!A:D,4,FALSE)</f>
        <v>Anti-Scam</v>
      </c>
      <c r="O1003" s="1" t="str">
        <f t="shared" ref="O1003:P1003" si="1007">IF(ISBLANK(K1003),M1003,K1003)</f>
        <v>Research</v>
      </c>
      <c r="P1003" s="1" t="str">
        <f t="shared" si="1007"/>
        <v>Anti-Scam</v>
      </c>
      <c r="Q1003" s="61" t="str">
        <f t="shared" si="3"/>
        <v>2023</v>
      </c>
      <c r="R1003" s="62">
        <f t="shared" si="4"/>
        <v>9</v>
      </c>
      <c r="S1003" s="61" t="str">
        <f t="shared" si="5"/>
        <v>2023-Q3</v>
      </c>
      <c r="T1003" s="63" t="str">
        <f t="shared" si="6"/>
        <v>2023-09</v>
      </c>
      <c r="U1003" s="64" t="str">
        <f t="shared" si="7"/>
        <v>2023-H2</v>
      </c>
      <c r="V1003" s="9" t="str">
        <f>VLOOKUP(B1003,Bounties!A:E,2,FALSE)</f>
        <v>Anti-Scam Bounty</v>
      </c>
    </row>
    <row r="1004" hidden="1">
      <c r="A1004" s="67">
        <f>HYPERLINK("https://polkadot.subsquare.io/treasury/child-bounties/390", 390)</f>
        <v>390</v>
      </c>
      <c r="B1004" s="1">
        <v>11.0</v>
      </c>
      <c r="C1004" s="1" t="s">
        <v>2414</v>
      </c>
      <c r="D1004" s="1" t="s">
        <v>1682</v>
      </c>
      <c r="E1004" s="5">
        <v>132.0422535211</v>
      </c>
      <c r="F1004" s="4">
        <v>556.6679885688513</v>
      </c>
      <c r="G1004" s="1" t="s">
        <v>2531</v>
      </c>
      <c r="H1004" s="95">
        <v>45167.0</v>
      </c>
      <c r="I1004" s="95">
        <v>45177.0</v>
      </c>
      <c r="J1004" s="4">
        <v>526.4682983847343</v>
      </c>
      <c r="K1004" s="1"/>
      <c r="L1004" s="1"/>
      <c r="M1004" s="1" t="str">
        <f>VLOOKUP(B1004,Bounties!A:D,3,FALSE)</f>
        <v>Research</v>
      </c>
      <c r="N1004" s="1" t="str">
        <f>VLOOKUP(B1004,Bounties!A:D,4,FALSE)</f>
        <v>Anti-Scam</v>
      </c>
      <c r="O1004" s="1" t="str">
        <f t="shared" ref="O1004:P1004" si="1008">IF(ISBLANK(K1004),M1004,K1004)</f>
        <v>Research</v>
      </c>
      <c r="P1004" s="1" t="str">
        <f t="shared" si="1008"/>
        <v>Anti-Scam</v>
      </c>
      <c r="Q1004" s="61" t="str">
        <f t="shared" si="3"/>
        <v>2023</v>
      </c>
      <c r="R1004" s="62">
        <f t="shared" si="4"/>
        <v>9</v>
      </c>
      <c r="S1004" s="61" t="str">
        <f t="shared" si="5"/>
        <v>2023-Q3</v>
      </c>
      <c r="T1004" s="63" t="str">
        <f t="shared" si="6"/>
        <v>2023-09</v>
      </c>
      <c r="U1004" s="64" t="str">
        <f t="shared" si="7"/>
        <v>2023-H2</v>
      </c>
      <c r="V1004" s="9" t="str">
        <f>VLOOKUP(B1004,Bounties!A:E,2,FALSE)</f>
        <v>Anti-Scam Bounty</v>
      </c>
    </row>
    <row r="1005" hidden="1">
      <c r="A1005" s="67">
        <f>HYPERLINK("https://polkadot.subsquare.io/treasury/child-bounties/389", 389)</f>
        <v>389</v>
      </c>
      <c r="B1005" s="1">
        <v>11.0</v>
      </c>
      <c r="C1005" s="1" t="s">
        <v>2414</v>
      </c>
      <c r="D1005" s="1" t="s">
        <v>1681</v>
      </c>
      <c r="E1005" s="5">
        <v>158.4507042254</v>
      </c>
      <c r="F1005" s="4">
        <v>668.0015862829588</v>
      </c>
      <c r="G1005" s="1" t="s">
        <v>2438</v>
      </c>
      <c r="H1005" s="95">
        <v>45167.0</v>
      </c>
      <c r="I1005" s="95">
        <v>45175.0</v>
      </c>
      <c r="J1005" s="4">
        <v>671.7828209973068</v>
      </c>
      <c r="K1005" s="1"/>
      <c r="L1005" s="1"/>
      <c r="M1005" s="1" t="str">
        <f>VLOOKUP(B1005,Bounties!A:D,3,FALSE)</f>
        <v>Research</v>
      </c>
      <c r="N1005" s="1" t="str">
        <f>VLOOKUP(B1005,Bounties!A:D,4,FALSE)</f>
        <v>Anti-Scam</v>
      </c>
      <c r="O1005" s="1" t="str">
        <f t="shared" ref="O1005:P1005" si="1009">IF(ISBLANK(K1005),M1005,K1005)</f>
        <v>Research</v>
      </c>
      <c r="P1005" s="1" t="str">
        <f t="shared" si="1009"/>
        <v>Anti-Scam</v>
      </c>
      <c r="Q1005" s="61" t="str">
        <f t="shared" si="3"/>
        <v>2023</v>
      </c>
      <c r="R1005" s="62">
        <f t="shared" si="4"/>
        <v>9</v>
      </c>
      <c r="S1005" s="61" t="str">
        <f t="shared" si="5"/>
        <v>2023-Q3</v>
      </c>
      <c r="T1005" s="63" t="str">
        <f t="shared" si="6"/>
        <v>2023-09</v>
      </c>
      <c r="U1005" s="64" t="str">
        <f t="shared" si="7"/>
        <v>2023-H2</v>
      </c>
      <c r="V1005" s="9" t="str">
        <f>VLOOKUP(B1005,Bounties!A:E,2,FALSE)</f>
        <v>Anti-Scam Bounty</v>
      </c>
    </row>
    <row r="1006" hidden="1">
      <c r="A1006" s="67">
        <f>HYPERLINK("https://polkadot.subsquare.io/treasury/child-bounties/388", 388)</f>
        <v>388</v>
      </c>
      <c r="B1006" s="1">
        <v>11.0</v>
      </c>
      <c r="C1006" s="1" t="s">
        <v>2414</v>
      </c>
      <c r="D1006" s="1" t="s">
        <v>1680</v>
      </c>
      <c r="E1006" s="5">
        <v>158.4507042254</v>
      </c>
      <c r="F1006" s="4">
        <v>668.0015862829588</v>
      </c>
      <c r="G1006" s="1" t="s">
        <v>2534</v>
      </c>
      <c r="H1006" s="95">
        <v>45167.0</v>
      </c>
      <c r="I1006" s="95">
        <v>45175.0</v>
      </c>
      <c r="J1006" s="4">
        <v>671.7828209973068</v>
      </c>
      <c r="K1006" s="1"/>
      <c r="L1006" s="1"/>
      <c r="M1006" s="1" t="str">
        <f>VLOOKUP(B1006,Bounties!A:D,3,FALSE)</f>
        <v>Research</v>
      </c>
      <c r="N1006" s="1" t="str">
        <f>VLOOKUP(B1006,Bounties!A:D,4,FALSE)</f>
        <v>Anti-Scam</v>
      </c>
      <c r="O1006" s="1" t="str">
        <f t="shared" ref="O1006:P1006" si="1010">IF(ISBLANK(K1006),M1006,K1006)</f>
        <v>Research</v>
      </c>
      <c r="P1006" s="1" t="str">
        <f t="shared" si="1010"/>
        <v>Anti-Scam</v>
      </c>
      <c r="Q1006" s="61" t="str">
        <f t="shared" si="3"/>
        <v>2023</v>
      </c>
      <c r="R1006" s="62">
        <f t="shared" si="4"/>
        <v>9</v>
      </c>
      <c r="S1006" s="61" t="str">
        <f t="shared" si="5"/>
        <v>2023-Q3</v>
      </c>
      <c r="T1006" s="63" t="str">
        <f t="shared" si="6"/>
        <v>2023-09</v>
      </c>
      <c r="U1006" s="64" t="str">
        <f t="shared" si="7"/>
        <v>2023-H2</v>
      </c>
      <c r="V1006" s="9" t="str">
        <f>VLOOKUP(B1006,Bounties!A:E,2,FALSE)</f>
        <v>Anti-Scam Bounty</v>
      </c>
    </row>
    <row r="1007" hidden="1">
      <c r="A1007" s="67">
        <f>HYPERLINK("https://polkadot.subsquare.io/treasury/child-bounties/387", 387)</f>
        <v>387</v>
      </c>
      <c r="B1007" s="1">
        <v>11.0</v>
      </c>
      <c r="C1007" s="1" t="s">
        <v>2414</v>
      </c>
      <c r="D1007" s="1" t="s">
        <v>1679</v>
      </c>
      <c r="E1007" s="5">
        <v>110.0352112676</v>
      </c>
      <c r="F1007" s="4">
        <v>463.88999047411306</v>
      </c>
      <c r="G1007" s="1" t="s">
        <v>2433</v>
      </c>
      <c r="H1007" s="95">
        <v>45167.0</v>
      </c>
      <c r="I1007" s="95">
        <v>45176.0</v>
      </c>
      <c r="J1007" s="4">
        <v>456.8607874319353</v>
      </c>
      <c r="K1007" s="1"/>
      <c r="L1007" s="1"/>
      <c r="M1007" s="1" t="str">
        <f>VLOOKUP(B1007,Bounties!A:D,3,FALSE)</f>
        <v>Research</v>
      </c>
      <c r="N1007" s="1" t="str">
        <f>VLOOKUP(B1007,Bounties!A:D,4,FALSE)</f>
        <v>Anti-Scam</v>
      </c>
      <c r="O1007" s="1" t="str">
        <f t="shared" ref="O1007:P1007" si="1011">IF(ISBLANK(K1007),M1007,K1007)</f>
        <v>Research</v>
      </c>
      <c r="P1007" s="1" t="str">
        <f t="shared" si="1011"/>
        <v>Anti-Scam</v>
      </c>
      <c r="Q1007" s="61" t="str">
        <f t="shared" si="3"/>
        <v>2023</v>
      </c>
      <c r="R1007" s="62">
        <f t="shared" si="4"/>
        <v>9</v>
      </c>
      <c r="S1007" s="61" t="str">
        <f t="shared" si="5"/>
        <v>2023-Q3</v>
      </c>
      <c r="T1007" s="63" t="str">
        <f t="shared" si="6"/>
        <v>2023-09</v>
      </c>
      <c r="U1007" s="64" t="str">
        <f t="shared" si="7"/>
        <v>2023-H2</v>
      </c>
      <c r="V1007" s="9" t="str">
        <f>VLOOKUP(B1007,Bounties!A:E,2,FALSE)</f>
        <v>Anti-Scam Bounty</v>
      </c>
    </row>
    <row r="1008" hidden="1">
      <c r="A1008" s="67">
        <f>HYPERLINK("https://polkadot.subsquare.io/treasury/child-bounties/386", 386)</f>
        <v>386</v>
      </c>
      <c r="B1008" s="1">
        <v>11.0</v>
      </c>
      <c r="C1008" s="1" t="s">
        <v>2414</v>
      </c>
      <c r="D1008" s="1" t="s">
        <v>1678</v>
      </c>
      <c r="E1008" s="5">
        <v>184.8591549296</v>
      </c>
      <c r="F1008" s="4">
        <v>779.3351839966448</v>
      </c>
      <c r="G1008" s="1" t="s">
        <v>2437</v>
      </c>
      <c r="H1008" s="95">
        <v>45167.0</v>
      </c>
      <c r="I1008" s="95">
        <v>45175.0</v>
      </c>
      <c r="J1008" s="4">
        <v>783.7466244967168</v>
      </c>
      <c r="K1008" s="1"/>
      <c r="L1008" s="1"/>
      <c r="M1008" s="1" t="str">
        <f>VLOOKUP(B1008,Bounties!A:D,3,FALSE)</f>
        <v>Research</v>
      </c>
      <c r="N1008" s="1" t="str">
        <f>VLOOKUP(B1008,Bounties!A:D,4,FALSE)</f>
        <v>Anti-Scam</v>
      </c>
      <c r="O1008" s="1" t="str">
        <f t="shared" ref="O1008:P1008" si="1012">IF(ISBLANK(K1008),M1008,K1008)</f>
        <v>Research</v>
      </c>
      <c r="P1008" s="1" t="str">
        <f t="shared" si="1012"/>
        <v>Anti-Scam</v>
      </c>
      <c r="Q1008" s="61" t="str">
        <f t="shared" si="3"/>
        <v>2023</v>
      </c>
      <c r="R1008" s="62">
        <f t="shared" si="4"/>
        <v>9</v>
      </c>
      <c r="S1008" s="61" t="str">
        <f t="shared" si="5"/>
        <v>2023-Q3</v>
      </c>
      <c r="T1008" s="63" t="str">
        <f t="shared" si="6"/>
        <v>2023-09</v>
      </c>
      <c r="U1008" s="64" t="str">
        <f t="shared" si="7"/>
        <v>2023-H2</v>
      </c>
      <c r="V1008" s="9" t="str">
        <f>VLOOKUP(B1008,Bounties!A:E,2,FALSE)</f>
        <v>Anti-Scam Bounty</v>
      </c>
    </row>
    <row r="1009" hidden="1">
      <c r="A1009" s="67">
        <f>HYPERLINK("https://polkadot.subsquare.io/treasury/child-bounties/385", 385)</f>
        <v>385</v>
      </c>
      <c r="B1009" s="1">
        <v>11.0</v>
      </c>
      <c r="C1009" s="1" t="s">
        <v>2414</v>
      </c>
      <c r="D1009" s="1" t="s">
        <v>1677</v>
      </c>
      <c r="E1009" s="5">
        <v>158.4507042254</v>
      </c>
      <c r="F1009" s="4">
        <v>668.0015862829588</v>
      </c>
      <c r="G1009" s="1" t="s">
        <v>2463</v>
      </c>
      <c r="H1009" s="95">
        <v>45167.0</v>
      </c>
      <c r="I1009" s="95">
        <v>45177.0</v>
      </c>
      <c r="J1009" s="4">
        <v>631.7619580620002</v>
      </c>
      <c r="K1009" s="1"/>
      <c r="L1009" s="1"/>
      <c r="M1009" s="1" t="str">
        <f>VLOOKUP(B1009,Bounties!A:D,3,FALSE)</f>
        <v>Research</v>
      </c>
      <c r="N1009" s="1" t="str">
        <f>VLOOKUP(B1009,Bounties!A:D,4,FALSE)</f>
        <v>Anti-Scam</v>
      </c>
      <c r="O1009" s="1" t="str">
        <f t="shared" ref="O1009:P1009" si="1013">IF(ISBLANK(K1009),M1009,K1009)</f>
        <v>Research</v>
      </c>
      <c r="P1009" s="1" t="str">
        <f t="shared" si="1013"/>
        <v>Anti-Scam</v>
      </c>
      <c r="Q1009" s="61" t="str">
        <f t="shared" si="3"/>
        <v>2023</v>
      </c>
      <c r="R1009" s="62">
        <f t="shared" si="4"/>
        <v>9</v>
      </c>
      <c r="S1009" s="61" t="str">
        <f t="shared" si="5"/>
        <v>2023-Q3</v>
      </c>
      <c r="T1009" s="63" t="str">
        <f t="shared" si="6"/>
        <v>2023-09</v>
      </c>
      <c r="U1009" s="64" t="str">
        <f t="shared" si="7"/>
        <v>2023-H2</v>
      </c>
      <c r="V1009" s="9" t="str">
        <f>VLOOKUP(B1009,Bounties!A:E,2,FALSE)</f>
        <v>Anti-Scam Bounty</v>
      </c>
    </row>
    <row r="1010" hidden="1">
      <c r="A1010" s="67">
        <f>HYPERLINK("https://polkadot.subsquare.io/treasury/child-bounties/384", 384)</f>
        <v>384</v>
      </c>
      <c r="B1010" s="1">
        <v>17.0</v>
      </c>
      <c r="C1010" s="1" t="s">
        <v>2414</v>
      </c>
      <c r="D1010" s="1" t="s">
        <v>1676</v>
      </c>
      <c r="E1010" s="5">
        <v>19024.0</v>
      </c>
      <c r="F1010" s="4">
        <v>81222.0203704834</v>
      </c>
      <c r="G1010" s="1" t="s">
        <v>2681</v>
      </c>
      <c r="H1010" s="95">
        <v>45167.0</v>
      </c>
      <c r="I1010" s="95">
        <v>45175.0</v>
      </c>
      <c r="J1010" s="4">
        <v>80655.97719573975</v>
      </c>
      <c r="K1010" s="1"/>
      <c r="L1010" s="1" t="s">
        <v>86</v>
      </c>
      <c r="M1010" s="1" t="str">
        <f>VLOOKUP(B1010,Bounties!A:D,3,FALSE)</f>
        <v>Outreach</v>
      </c>
      <c r="N1010" s="1" t="str">
        <f>VLOOKUP(B1010,Bounties!A:D,4,FALSE)</f>
        <v>Events/Meetups</v>
      </c>
      <c r="O1010" s="1" t="str">
        <f t="shared" ref="O1010:P1010" si="1014">IF(ISBLANK(K1010),M1010,K1010)</f>
        <v>Outreach</v>
      </c>
      <c r="P1010" s="1" t="str">
        <f t="shared" si="1014"/>
        <v>Events/Conference Attendance &amp; Side Events</v>
      </c>
      <c r="Q1010" s="61" t="str">
        <f t="shared" si="3"/>
        <v>2023</v>
      </c>
      <c r="R1010" s="62">
        <f t="shared" si="4"/>
        <v>9</v>
      </c>
      <c r="S1010" s="61" t="str">
        <f t="shared" si="5"/>
        <v>2023-Q3</v>
      </c>
      <c r="T1010" s="63" t="str">
        <f t="shared" si="6"/>
        <v>2023-09</v>
      </c>
      <c r="U1010" s="64" t="str">
        <f t="shared" si="7"/>
        <v>2023-H2</v>
      </c>
      <c r="V1010" s="9" t="str">
        <f>VLOOKUP(B1010,Bounties!A:E,2,FALSE)</f>
        <v>Events Bounty</v>
      </c>
    </row>
    <row r="1011" hidden="1">
      <c r="A1011" s="67">
        <f>HYPERLINK("https://polkadot.subsquare.io/treasury/child-bounties/383", 383)</f>
        <v>383</v>
      </c>
      <c r="B1011" s="1">
        <v>17.0</v>
      </c>
      <c r="C1011" s="1" t="s">
        <v>2414</v>
      </c>
      <c r="D1011" s="1" t="s">
        <v>1675</v>
      </c>
      <c r="E1011" s="5">
        <v>9295.0</v>
      </c>
      <c r="F1011" s="4">
        <v>39684.539494514465</v>
      </c>
      <c r="G1011" s="1" t="s">
        <v>2700</v>
      </c>
      <c r="H1011" s="95">
        <v>45166.0</v>
      </c>
      <c r="I1011" s="95">
        <v>45175.0</v>
      </c>
      <c r="J1011" s="4">
        <v>39407.97456026077</v>
      </c>
      <c r="K1011" s="1"/>
      <c r="L1011" s="1" t="s">
        <v>86</v>
      </c>
      <c r="M1011" s="1" t="str">
        <f>VLOOKUP(B1011,Bounties!A:D,3,FALSE)</f>
        <v>Outreach</v>
      </c>
      <c r="N1011" s="1" t="str">
        <f>VLOOKUP(B1011,Bounties!A:D,4,FALSE)</f>
        <v>Events/Meetups</v>
      </c>
      <c r="O1011" s="1" t="str">
        <f t="shared" ref="O1011:P1011" si="1015">IF(ISBLANK(K1011),M1011,K1011)</f>
        <v>Outreach</v>
      </c>
      <c r="P1011" s="1" t="str">
        <f t="shared" si="1015"/>
        <v>Events/Conference Attendance &amp; Side Events</v>
      </c>
      <c r="Q1011" s="61" t="str">
        <f t="shared" si="3"/>
        <v>2023</v>
      </c>
      <c r="R1011" s="62">
        <f t="shared" si="4"/>
        <v>9</v>
      </c>
      <c r="S1011" s="61" t="str">
        <f t="shared" si="5"/>
        <v>2023-Q3</v>
      </c>
      <c r="T1011" s="63" t="str">
        <f t="shared" si="6"/>
        <v>2023-09</v>
      </c>
      <c r="U1011" s="64" t="str">
        <f t="shared" si="7"/>
        <v>2023-H2</v>
      </c>
      <c r="V1011" s="9" t="str">
        <f>VLOOKUP(B1011,Bounties!A:E,2,FALSE)</f>
        <v>Events Bounty</v>
      </c>
    </row>
    <row r="1012" hidden="1">
      <c r="A1012" s="67">
        <f>HYPERLINK("https://polkadot.subsquare.io/treasury/child-bounties/382", 382)</f>
        <v>382</v>
      </c>
      <c r="B1012" s="1">
        <v>17.0</v>
      </c>
      <c r="C1012" s="1" t="s">
        <v>2414</v>
      </c>
      <c r="D1012" s="1" t="s">
        <v>1674</v>
      </c>
      <c r="E1012" s="5">
        <v>1520.0</v>
      </c>
      <c r="F1012" s="4">
        <v>7102.748870849609</v>
      </c>
      <c r="G1012" s="1" t="s">
        <v>2701</v>
      </c>
      <c r="H1012" s="95">
        <v>45164.0</v>
      </c>
      <c r="I1012" s="95">
        <v>45197.0</v>
      </c>
      <c r="J1012" s="4">
        <v>6476.7340087890625</v>
      </c>
      <c r="K1012" s="1"/>
      <c r="L1012" s="1"/>
      <c r="M1012" s="1" t="str">
        <f>VLOOKUP(B1012,Bounties!A:D,3,FALSE)</f>
        <v>Outreach</v>
      </c>
      <c r="N1012" s="1" t="str">
        <f>VLOOKUP(B1012,Bounties!A:D,4,FALSE)</f>
        <v>Events/Meetups</v>
      </c>
      <c r="O1012" s="1" t="str">
        <f t="shared" ref="O1012:P1012" si="1016">IF(ISBLANK(K1012),M1012,K1012)</f>
        <v>Outreach</v>
      </c>
      <c r="P1012" s="1" t="str">
        <f t="shared" si="1016"/>
        <v>Events/Meetups</v>
      </c>
      <c r="Q1012" s="61" t="str">
        <f t="shared" si="3"/>
        <v>2023</v>
      </c>
      <c r="R1012" s="62">
        <f t="shared" si="4"/>
        <v>9</v>
      </c>
      <c r="S1012" s="61" t="str">
        <f t="shared" si="5"/>
        <v>2023-Q3</v>
      </c>
      <c r="T1012" s="63" t="str">
        <f t="shared" si="6"/>
        <v>2023-09</v>
      </c>
      <c r="U1012" s="64" t="str">
        <f t="shared" si="7"/>
        <v>2023-H2</v>
      </c>
      <c r="V1012" s="9" t="str">
        <f>VLOOKUP(B1012,Bounties!A:E,2,FALSE)</f>
        <v>Events Bounty</v>
      </c>
    </row>
    <row r="1013" hidden="1">
      <c r="A1013" s="67">
        <f>HYPERLINK("https://polkadot.subsquare.io/treasury/child-bounties/381", 381)</f>
        <v>381</v>
      </c>
      <c r="B1013" s="1">
        <v>17.0</v>
      </c>
      <c r="C1013" s="1" t="s">
        <v>2414</v>
      </c>
      <c r="D1013" s="1" t="s">
        <v>1673</v>
      </c>
      <c r="E1013" s="5">
        <v>1520.0</v>
      </c>
      <c r="F1013" s="4">
        <v>7102.748870849609</v>
      </c>
      <c r="G1013" s="1" t="s">
        <v>2503</v>
      </c>
      <c r="H1013" s="95">
        <v>45164.0</v>
      </c>
      <c r="I1013" s="95">
        <v>45209.0</v>
      </c>
      <c r="J1013" s="4">
        <v>5583.867588043213</v>
      </c>
      <c r="K1013" s="1"/>
      <c r="L1013" s="1"/>
      <c r="M1013" s="1" t="str">
        <f>VLOOKUP(B1013,Bounties!A:D,3,FALSE)</f>
        <v>Outreach</v>
      </c>
      <c r="N1013" s="1" t="str">
        <f>VLOOKUP(B1013,Bounties!A:D,4,FALSE)</f>
        <v>Events/Meetups</v>
      </c>
      <c r="O1013" s="1" t="str">
        <f t="shared" ref="O1013:P1013" si="1017">IF(ISBLANK(K1013),M1013,K1013)</f>
        <v>Outreach</v>
      </c>
      <c r="P1013" s="1" t="str">
        <f t="shared" si="1017"/>
        <v>Events/Meetups</v>
      </c>
      <c r="Q1013" s="61" t="str">
        <f t="shared" si="3"/>
        <v>2023</v>
      </c>
      <c r="R1013" s="62">
        <f t="shared" si="4"/>
        <v>10</v>
      </c>
      <c r="S1013" s="61" t="str">
        <f t="shared" si="5"/>
        <v>2023-Q4</v>
      </c>
      <c r="T1013" s="63" t="str">
        <f t="shared" si="6"/>
        <v>2023-10</v>
      </c>
      <c r="U1013" s="64" t="str">
        <f t="shared" si="7"/>
        <v>2023-H2</v>
      </c>
      <c r="V1013" s="9" t="str">
        <f>VLOOKUP(B1013,Bounties!A:E,2,FALSE)</f>
        <v>Events Bounty</v>
      </c>
    </row>
    <row r="1014" hidden="1">
      <c r="A1014" s="67">
        <f>HYPERLINK("https://polkadot.subsquare.io/treasury/child-bounties/380", 380)</f>
        <v>380</v>
      </c>
      <c r="B1014" s="1">
        <v>17.0</v>
      </c>
      <c r="C1014" s="1" t="s">
        <v>2414</v>
      </c>
      <c r="D1014" s="1" t="s">
        <v>1672</v>
      </c>
      <c r="E1014" s="5">
        <v>17698.0</v>
      </c>
      <c r="F1014" s="4">
        <v>82700.29573440552</v>
      </c>
      <c r="G1014" s="1" t="s">
        <v>2702</v>
      </c>
      <c r="H1014" s="95">
        <v>45164.0</v>
      </c>
      <c r="I1014" s="95">
        <v>45192.0</v>
      </c>
      <c r="J1014" s="4">
        <v>71041.56000137329</v>
      </c>
      <c r="K1014" s="1"/>
      <c r="L1014" s="1"/>
      <c r="M1014" s="1" t="str">
        <f>VLOOKUP(B1014,Bounties!A:D,3,FALSE)</f>
        <v>Outreach</v>
      </c>
      <c r="N1014" s="1" t="str">
        <f>VLOOKUP(B1014,Bounties!A:D,4,FALSE)</f>
        <v>Events/Meetups</v>
      </c>
      <c r="O1014" s="1" t="str">
        <f t="shared" ref="O1014:P1014" si="1018">IF(ISBLANK(K1014),M1014,K1014)</f>
        <v>Outreach</v>
      </c>
      <c r="P1014" s="1" t="str">
        <f t="shared" si="1018"/>
        <v>Events/Meetups</v>
      </c>
      <c r="Q1014" s="61" t="str">
        <f t="shared" si="3"/>
        <v>2023</v>
      </c>
      <c r="R1014" s="62">
        <f t="shared" si="4"/>
        <v>9</v>
      </c>
      <c r="S1014" s="61" t="str">
        <f t="shared" si="5"/>
        <v>2023-Q3</v>
      </c>
      <c r="T1014" s="63" t="str">
        <f t="shared" si="6"/>
        <v>2023-09</v>
      </c>
      <c r="U1014" s="64" t="str">
        <f t="shared" si="7"/>
        <v>2023-H2</v>
      </c>
      <c r="V1014" s="9" t="str">
        <f>VLOOKUP(B1014,Bounties!A:E,2,FALSE)</f>
        <v>Events Bounty</v>
      </c>
    </row>
    <row r="1015" hidden="1">
      <c r="A1015" s="67">
        <f>HYPERLINK("https://polkadot.subsquare.io/treasury/child-bounties/379", 379)</f>
        <v>379</v>
      </c>
      <c r="B1015" s="1">
        <v>17.0</v>
      </c>
      <c r="C1015" s="1" t="s">
        <v>2414</v>
      </c>
      <c r="D1015" s="1" t="s">
        <v>1671</v>
      </c>
      <c r="E1015" s="5">
        <v>10415.0</v>
      </c>
      <c r="F1015" s="4">
        <v>48667.848348617554</v>
      </c>
      <c r="G1015" s="1" t="s">
        <v>2692</v>
      </c>
      <c r="H1015" s="95">
        <v>45164.0</v>
      </c>
      <c r="I1015" s="95">
        <v>45195.0</v>
      </c>
      <c r="J1015" s="4">
        <v>42437.59200334549</v>
      </c>
      <c r="K1015" s="1"/>
      <c r="L1015" s="1" t="s">
        <v>86</v>
      </c>
      <c r="M1015" s="1" t="str">
        <f>VLOOKUP(B1015,Bounties!A:D,3,FALSE)</f>
        <v>Outreach</v>
      </c>
      <c r="N1015" s="1" t="str">
        <f>VLOOKUP(B1015,Bounties!A:D,4,FALSE)</f>
        <v>Events/Meetups</v>
      </c>
      <c r="O1015" s="1" t="str">
        <f t="shared" ref="O1015:P1015" si="1019">IF(ISBLANK(K1015),M1015,K1015)</f>
        <v>Outreach</v>
      </c>
      <c r="P1015" s="1" t="str">
        <f t="shared" si="1019"/>
        <v>Events/Conference Attendance &amp; Side Events</v>
      </c>
      <c r="Q1015" s="61" t="str">
        <f t="shared" si="3"/>
        <v>2023</v>
      </c>
      <c r="R1015" s="62">
        <f t="shared" si="4"/>
        <v>9</v>
      </c>
      <c r="S1015" s="61" t="str">
        <f t="shared" si="5"/>
        <v>2023-Q3</v>
      </c>
      <c r="T1015" s="63" t="str">
        <f t="shared" si="6"/>
        <v>2023-09</v>
      </c>
      <c r="U1015" s="64" t="str">
        <f t="shared" si="7"/>
        <v>2023-H2</v>
      </c>
      <c r="V1015" s="9" t="str">
        <f>VLOOKUP(B1015,Bounties!A:E,2,FALSE)</f>
        <v>Events Bounty</v>
      </c>
    </row>
    <row r="1016" hidden="1">
      <c r="A1016" s="67">
        <f>HYPERLINK("https://polkadot.subsquare.io/treasury/child-bounties/378", 378)</f>
        <v>378</v>
      </c>
      <c r="B1016" s="1">
        <v>17.0</v>
      </c>
      <c r="C1016" s="1" t="s">
        <v>2414</v>
      </c>
      <c r="D1016" s="1" t="s">
        <v>1670</v>
      </c>
      <c r="E1016" s="5">
        <v>4659.9</v>
      </c>
      <c r="F1016" s="4">
        <v>21775.06543636322</v>
      </c>
      <c r="G1016" s="1" t="s">
        <v>2683</v>
      </c>
      <c r="H1016" s="95">
        <v>45164.0</v>
      </c>
      <c r="I1016" s="95">
        <v>45211.0</v>
      </c>
      <c r="J1016" s="4">
        <v>17497.821709656713</v>
      </c>
      <c r="K1016" s="1"/>
      <c r="L1016" s="1" t="s">
        <v>86</v>
      </c>
      <c r="M1016" s="1" t="str">
        <f>VLOOKUP(B1016,Bounties!A:D,3,FALSE)</f>
        <v>Outreach</v>
      </c>
      <c r="N1016" s="1" t="str">
        <f>VLOOKUP(B1016,Bounties!A:D,4,FALSE)</f>
        <v>Events/Meetups</v>
      </c>
      <c r="O1016" s="1" t="str">
        <f t="shared" ref="O1016:P1016" si="1020">IF(ISBLANK(K1016),M1016,K1016)</f>
        <v>Outreach</v>
      </c>
      <c r="P1016" s="1" t="str">
        <f t="shared" si="1020"/>
        <v>Events/Conference Attendance &amp; Side Events</v>
      </c>
      <c r="Q1016" s="61" t="str">
        <f t="shared" si="3"/>
        <v>2023</v>
      </c>
      <c r="R1016" s="62">
        <f t="shared" si="4"/>
        <v>10</v>
      </c>
      <c r="S1016" s="61" t="str">
        <f t="shared" si="5"/>
        <v>2023-Q4</v>
      </c>
      <c r="T1016" s="63" t="str">
        <f t="shared" si="6"/>
        <v>2023-10</v>
      </c>
      <c r="U1016" s="64" t="str">
        <f t="shared" si="7"/>
        <v>2023-H2</v>
      </c>
      <c r="V1016" s="9" t="str">
        <f>VLOOKUP(B1016,Bounties!A:E,2,FALSE)</f>
        <v>Events Bounty</v>
      </c>
    </row>
    <row r="1017" hidden="1">
      <c r="A1017" s="67">
        <f>HYPERLINK("https://polkadot.subsquare.io/treasury/child-bounties/377", 377)</f>
        <v>377</v>
      </c>
      <c r="B1017" s="1">
        <v>11.0</v>
      </c>
      <c r="C1017" s="1" t="s">
        <v>2414</v>
      </c>
      <c r="D1017" s="1" t="s">
        <v>1669</v>
      </c>
      <c r="E1017" s="5">
        <v>119.28429</v>
      </c>
      <c r="F1017" s="4">
        <v>603.6475519012785</v>
      </c>
      <c r="G1017" s="1" t="s">
        <v>2531</v>
      </c>
      <c r="H1017" s="95">
        <v>45143.0</v>
      </c>
      <c r="I1017" s="95">
        <v>45152.0</v>
      </c>
      <c r="J1017" s="4">
        <v>556.5813371317578</v>
      </c>
      <c r="K1017" s="1"/>
      <c r="L1017" s="1"/>
      <c r="M1017" s="1" t="str">
        <f>VLOOKUP(B1017,Bounties!A:D,3,FALSE)</f>
        <v>Research</v>
      </c>
      <c r="N1017" s="1" t="str">
        <f>VLOOKUP(B1017,Bounties!A:D,4,FALSE)</f>
        <v>Anti-Scam</v>
      </c>
      <c r="O1017" s="1" t="str">
        <f t="shared" ref="O1017:P1017" si="1021">IF(ISBLANK(K1017),M1017,K1017)</f>
        <v>Research</v>
      </c>
      <c r="P1017" s="1" t="str">
        <f t="shared" si="1021"/>
        <v>Anti-Scam</v>
      </c>
      <c r="Q1017" s="61" t="str">
        <f t="shared" si="3"/>
        <v>2023</v>
      </c>
      <c r="R1017" s="62">
        <f t="shared" si="4"/>
        <v>8</v>
      </c>
      <c r="S1017" s="61" t="str">
        <f t="shared" si="5"/>
        <v>2023-Q3</v>
      </c>
      <c r="T1017" s="63" t="str">
        <f t="shared" si="6"/>
        <v>2023-08</v>
      </c>
      <c r="U1017" s="64" t="str">
        <f t="shared" si="7"/>
        <v>2023-H2</v>
      </c>
      <c r="V1017" s="9" t="str">
        <f>VLOOKUP(B1017,Bounties!A:E,2,FALSE)</f>
        <v>Anti-Scam Bounty</v>
      </c>
    </row>
    <row r="1018" hidden="1">
      <c r="A1018" s="67">
        <f>HYPERLINK("https://polkadot.subsquare.io/treasury/child-bounties/376", 376)</f>
        <v>376</v>
      </c>
      <c r="B1018" s="1">
        <v>11.0</v>
      </c>
      <c r="C1018" s="1" t="s">
        <v>2414</v>
      </c>
      <c r="D1018" s="1" t="s">
        <v>1668</v>
      </c>
      <c r="E1018" s="5">
        <v>143.14115</v>
      </c>
      <c r="F1018" s="4">
        <v>724.3770724026919</v>
      </c>
      <c r="G1018" s="1" t="s">
        <v>2463</v>
      </c>
      <c r="H1018" s="95">
        <v>45143.0</v>
      </c>
      <c r="I1018" s="95">
        <v>45152.0</v>
      </c>
      <c r="J1018" s="4">
        <v>667.8976138901235</v>
      </c>
      <c r="K1018" s="1"/>
      <c r="L1018" s="1"/>
      <c r="M1018" s="1" t="str">
        <f>VLOOKUP(B1018,Bounties!A:D,3,FALSE)</f>
        <v>Research</v>
      </c>
      <c r="N1018" s="1" t="str">
        <f>VLOOKUP(B1018,Bounties!A:D,4,FALSE)</f>
        <v>Anti-Scam</v>
      </c>
      <c r="O1018" s="1" t="str">
        <f t="shared" ref="O1018:P1018" si="1022">IF(ISBLANK(K1018),M1018,K1018)</f>
        <v>Research</v>
      </c>
      <c r="P1018" s="1" t="str">
        <f t="shared" si="1022"/>
        <v>Anti-Scam</v>
      </c>
      <c r="Q1018" s="61" t="str">
        <f t="shared" si="3"/>
        <v>2023</v>
      </c>
      <c r="R1018" s="62">
        <f t="shared" si="4"/>
        <v>8</v>
      </c>
      <c r="S1018" s="61" t="str">
        <f t="shared" si="5"/>
        <v>2023-Q3</v>
      </c>
      <c r="T1018" s="63" t="str">
        <f t="shared" si="6"/>
        <v>2023-08</v>
      </c>
      <c r="U1018" s="64" t="str">
        <f t="shared" si="7"/>
        <v>2023-H2</v>
      </c>
      <c r="V1018" s="9" t="str">
        <f>VLOOKUP(B1018,Bounties!A:E,2,FALSE)</f>
        <v>Anti-Scam Bounty</v>
      </c>
    </row>
    <row r="1019" hidden="1">
      <c r="A1019" s="67">
        <f>HYPERLINK("https://polkadot.subsquare.io/treasury/child-bounties/375", 375)</f>
        <v>375</v>
      </c>
      <c r="B1019" s="1">
        <v>11.0</v>
      </c>
      <c r="C1019" s="1" t="s">
        <v>2414</v>
      </c>
      <c r="D1019" s="1" t="s">
        <v>1667</v>
      </c>
      <c r="E1019" s="5">
        <v>99.40357</v>
      </c>
      <c r="F1019" s="4">
        <v>503.03960128150464</v>
      </c>
      <c r="G1019" s="1" t="s">
        <v>2526</v>
      </c>
      <c r="H1019" s="95">
        <v>45143.0</v>
      </c>
      <c r="I1019" s="95">
        <v>45155.0</v>
      </c>
      <c r="J1019" s="4">
        <v>449.30157494097233</v>
      </c>
      <c r="K1019" s="1"/>
      <c r="L1019" s="1"/>
      <c r="M1019" s="1" t="str">
        <f>VLOOKUP(B1019,Bounties!A:D,3,FALSE)</f>
        <v>Research</v>
      </c>
      <c r="N1019" s="1" t="str">
        <f>VLOOKUP(B1019,Bounties!A:D,4,FALSE)</f>
        <v>Anti-Scam</v>
      </c>
      <c r="O1019" s="1" t="str">
        <f t="shared" ref="O1019:P1019" si="1023">IF(ISBLANK(K1019),M1019,K1019)</f>
        <v>Research</v>
      </c>
      <c r="P1019" s="1" t="str">
        <f t="shared" si="1023"/>
        <v>Anti-Scam</v>
      </c>
      <c r="Q1019" s="61" t="str">
        <f t="shared" si="3"/>
        <v>2023</v>
      </c>
      <c r="R1019" s="62">
        <f t="shared" si="4"/>
        <v>8</v>
      </c>
      <c r="S1019" s="61" t="str">
        <f t="shared" si="5"/>
        <v>2023-Q3</v>
      </c>
      <c r="T1019" s="63" t="str">
        <f t="shared" si="6"/>
        <v>2023-08</v>
      </c>
      <c r="U1019" s="64" t="str">
        <f t="shared" si="7"/>
        <v>2023-H2</v>
      </c>
      <c r="V1019" s="9" t="str">
        <f>VLOOKUP(B1019,Bounties!A:E,2,FALSE)</f>
        <v>Anti-Scam Bounty</v>
      </c>
    </row>
    <row r="1020" hidden="1">
      <c r="A1020" s="67">
        <f>HYPERLINK("https://polkadot.subsquare.io/treasury/child-bounties/374", 374)</f>
        <v>374</v>
      </c>
      <c r="B1020" s="1">
        <v>11.0</v>
      </c>
      <c r="C1020" s="1" t="s">
        <v>2414</v>
      </c>
      <c r="D1020" s="1" t="s">
        <v>1666</v>
      </c>
      <c r="E1020" s="5">
        <v>1954.22068</v>
      </c>
      <c r="F1020" s="4">
        <v>9889.487788851757</v>
      </c>
      <c r="G1020" s="1" t="s">
        <v>2437</v>
      </c>
      <c r="H1020" s="95">
        <v>45143.0</v>
      </c>
      <c r="I1020" s="95">
        <v>45152.0</v>
      </c>
      <c r="J1020" s="4">
        <v>8672.760952719593</v>
      </c>
      <c r="K1020" s="1"/>
      <c r="L1020" s="1"/>
      <c r="M1020" s="1" t="str">
        <f>VLOOKUP(B1020,Bounties!A:D,3,FALSE)</f>
        <v>Research</v>
      </c>
      <c r="N1020" s="1" t="str">
        <f>VLOOKUP(B1020,Bounties!A:D,4,FALSE)</f>
        <v>Anti-Scam</v>
      </c>
      <c r="O1020" s="1" t="str">
        <f t="shared" ref="O1020:P1020" si="1024">IF(ISBLANK(K1020),M1020,K1020)</f>
        <v>Research</v>
      </c>
      <c r="P1020" s="1" t="str">
        <f t="shared" si="1024"/>
        <v>Anti-Scam</v>
      </c>
      <c r="Q1020" s="61" t="str">
        <f t="shared" si="3"/>
        <v>2023</v>
      </c>
      <c r="R1020" s="62">
        <f t="shared" si="4"/>
        <v>8</v>
      </c>
      <c r="S1020" s="61" t="str">
        <f t="shared" si="5"/>
        <v>2023-Q3</v>
      </c>
      <c r="T1020" s="63" t="str">
        <f t="shared" si="6"/>
        <v>2023-08</v>
      </c>
      <c r="U1020" s="64" t="str">
        <f t="shared" si="7"/>
        <v>2023-H2</v>
      </c>
      <c r="V1020" s="9" t="str">
        <f>VLOOKUP(B1020,Bounties!A:E,2,FALSE)</f>
        <v>Anti-Scam Bounty</v>
      </c>
    </row>
    <row r="1021" hidden="1">
      <c r="A1021" s="67">
        <f>HYPERLINK("https://polkadot.subsquare.io/treasury/child-bounties/373", 373)</f>
        <v>373</v>
      </c>
      <c r="B1021" s="1">
        <v>11.0</v>
      </c>
      <c r="C1021" s="1" t="s">
        <v>2414</v>
      </c>
      <c r="D1021" s="1" t="s">
        <v>1665</v>
      </c>
      <c r="E1021" s="5">
        <v>1954.22068</v>
      </c>
      <c r="F1021" s="4">
        <v>9889.487788851757</v>
      </c>
      <c r="G1021" s="1" t="s">
        <v>2438</v>
      </c>
      <c r="H1021" s="95">
        <v>45143.0</v>
      </c>
      <c r="I1021" s="95">
        <v>45153.0</v>
      </c>
      <c r="J1021" s="4">
        <v>8817.084179981002</v>
      </c>
      <c r="K1021" s="1"/>
      <c r="L1021" s="1"/>
      <c r="M1021" s="1" t="str">
        <f>VLOOKUP(B1021,Bounties!A:D,3,FALSE)</f>
        <v>Research</v>
      </c>
      <c r="N1021" s="1" t="str">
        <f>VLOOKUP(B1021,Bounties!A:D,4,FALSE)</f>
        <v>Anti-Scam</v>
      </c>
      <c r="O1021" s="1" t="str">
        <f t="shared" ref="O1021:P1021" si="1025">IF(ISBLANK(K1021),M1021,K1021)</f>
        <v>Research</v>
      </c>
      <c r="P1021" s="1" t="str">
        <f t="shared" si="1025"/>
        <v>Anti-Scam</v>
      </c>
      <c r="Q1021" s="61" t="str">
        <f t="shared" si="3"/>
        <v>2023</v>
      </c>
      <c r="R1021" s="62">
        <f t="shared" si="4"/>
        <v>8</v>
      </c>
      <c r="S1021" s="61" t="str">
        <f t="shared" si="5"/>
        <v>2023-Q3</v>
      </c>
      <c r="T1021" s="63" t="str">
        <f t="shared" si="6"/>
        <v>2023-08</v>
      </c>
      <c r="U1021" s="64" t="str">
        <f t="shared" si="7"/>
        <v>2023-H2</v>
      </c>
      <c r="V1021" s="9" t="str">
        <f>VLOOKUP(B1021,Bounties!A:E,2,FALSE)</f>
        <v>Anti-Scam Bounty</v>
      </c>
    </row>
    <row r="1022" hidden="1">
      <c r="A1022" s="67">
        <f>HYPERLINK("https://polkadot.subsquare.io/treasury/child-bounties/372", 372)</f>
        <v>372</v>
      </c>
      <c r="B1022" s="1">
        <v>11.0</v>
      </c>
      <c r="C1022" s="1" t="s">
        <v>2414</v>
      </c>
      <c r="D1022" s="1" t="s">
        <v>1664</v>
      </c>
      <c r="E1022" s="5">
        <v>1419.54871</v>
      </c>
      <c r="F1022" s="4">
        <v>7183.73814017016</v>
      </c>
      <c r="G1022" s="1" t="s">
        <v>2463</v>
      </c>
      <c r="H1022" s="95">
        <v>45143.0</v>
      </c>
      <c r="I1022" s="95">
        <v>45153.0</v>
      </c>
      <c r="J1022" s="4">
        <v>6299.906018071341</v>
      </c>
      <c r="K1022" s="1"/>
      <c r="L1022" s="1"/>
      <c r="M1022" s="1" t="str">
        <f>VLOOKUP(B1022,Bounties!A:D,3,FALSE)</f>
        <v>Research</v>
      </c>
      <c r="N1022" s="1" t="str">
        <f>VLOOKUP(B1022,Bounties!A:D,4,FALSE)</f>
        <v>Anti-Scam</v>
      </c>
      <c r="O1022" s="1" t="str">
        <f t="shared" ref="O1022:P1022" si="1026">IF(ISBLANK(K1022),M1022,K1022)</f>
        <v>Research</v>
      </c>
      <c r="P1022" s="1" t="str">
        <f t="shared" si="1026"/>
        <v>Anti-Scam</v>
      </c>
      <c r="Q1022" s="61" t="str">
        <f t="shared" si="3"/>
        <v>2023</v>
      </c>
      <c r="R1022" s="62">
        <f t="shared" si="4"/>
        <v>8</v>
      </c>
      <c r="S1022" s="61" t="str">
        <f t="shared" si="5"/>
        <v>2023-Q3</v>
      </c>
      <c r="T1022" s="63" t="str">
        <f t="shared" si="6"/>
        <v>2023-08</v>
      </c>
      <c r="U1022" s="64" t="str">
        <f t="shared" si="7"/>
        <v>2023-H2</v>
      </c>
      <c r="V1022" s="9" t="str">
        <f>VLOOKUP(B1022,Bounties!A:E,2,FALSE)</f>
        <v>Anti-Scam Bounty</v>
      </c>
    </row>
    <row r="1023" hidden="1">
      <c r="A1023" s="67">
        <f>HYPERLINK("https://polkadot.subsquare.io/treasury/child-bounties/371", 371)</f>
        <v>371</v>
      </c>
      <c r="B1023" s="1">
        <v>11.0</v>
      </c>
      <c r="C1023" s="1" t="s">
        <v>2414</v>
      </c>
      <c r="D1023" s="1" t="s">
        <v>1663</v>
      </c>
      <c r="E1023" s="5">
        <v>68.5990338164</v>
      </c>
      <c r="F1023" s="4">
        <v>340.88308039482274</v>
      </c>
      <c r="G1023" s="1" t="s">
        <v>2438</v>
      </c>
      <c r="H1023" s="95">
        <v>45140.0</v>
      </c>
      <c r="I1023" s="95">
        <v>45148.0</v>
      </c>
      <c r="J1023" s="4">
        <v>342.05555800641935</v>
      </c>
      <c r="K1023" s="1"/>
      <c r="L1023" s="1"/>
      <c r="M1023" s="1" t="str">
        <f>VLOOKUP(B1023,Bounties!A:D,3,FALSE)</f>
        <v>Research</v>
      </c>
      <c r="N1023" s="1" t="str">
        <f>VLOOKUP(B1023,Bounties!A:D,4,FALSE)</f>
        <v>Anti-Scam</v>
      </c>
      <c r="O1023" s="1" t="str">
        <f t="shared" ref="O1023:P1023" si="1027">IF(ISBLANK(K1023),M1023,K1023)</f>
        <v>Research</v>
      </c>
      <c r="P1023" s="1" t="str">
        <f t="shared" si="1027"/>
        <v>Anti-Scam</v>
      </c>
      <c r="Q1023" s="61" t="str">
        <f t="shared" si="3"/>
        <v>2023</v>
      </c>
      <c r="R1023" s="62">
        <f t="shared" si="4"/>
        <v>8</v>
      </c>
      <c r="S1023" s="61" t="str">
        <f t="shared" si="5"/>
        <v>2023-Q3</v>
      </c>
      <c r="T1023" s="63" t="str">
        <f t="shared" si="6"/>
        <v>2023-08</v>
      </c>
      <c r="U1023" s="64" t="str">
        <f t="shared" si="7"/>
        <v>2023-H2</v>
      </c>
      <c r="V1023" s="9" t="str">
        <f>VLOOKUP(B1023,Bounties!A:E,2,FALSE)</f>
        <v>Anti-Scam Bounty</v>
      </c>
    </row>
    <row r="1024" hidden="1">
      <c r="A1024" s="67">
        <f>HYPERLINK("https://polkadot.subsquare.io/treasury/child-bounties/370", 370)</f>
        <v>370</v>
      </c>
      <c r="B1024" s="1">
        <v>11.0</v>
      </c>
      <c r="C1024" s="1" t="s">
        <v>2414</v>
      </c>
      <c r="D1024" s="1" t="s">
        <v>1662</v>
      </c>
      <c r="E1024" s="5">
        <v>68.5990338164</v>
      </c>
      <c r="F1024" s="4">
        <v>340.88308039482274</v>
      </c>
      <c r="G1024" s="1" t="s">
        <v>2437</v>
      </c>
      <c r="H1024" s="95">
        <v>45140.0</v>
      </c>
      <c r="I1024" s="95">
        <v>45148.0</v>
      </c>
      <c r="J1024" s="4">
        <v>342.05555800641935</v>
      </c>
      <c r="K1024" s="1"/>
      <c r="L1024" s="1"/>
      <c r="M1024" s="1" t="str">
        <f>VLOOKUP(B1024,Bounties!A:D,3,FALSE)</f>
        <v>Research</v>
      </c>
      <c r="N1024" s="1" t="str">
        <f>VLOOKUP(B1024,Bounties!A:D,4,FALSE)</f>
        <v>Anti-Scam</v>
      </c>
      <c r="O1024" s="1" t="str">
        <f t="shared" ref="O1024:P1024" si="1028">IF(ISBLANK(K1024),M1024,K1024)</f>
        <v>Research</v>
      </c>
      <c r="P1024" s="1" t="str">
        <f t="shared" si="1028"/>
        <v>Anti-Scam</v>
      </c>
      <c r="Q1024" s="61" t="str">
        <f t="shared" si="3"/>
        <v>2023</v>
      </c>
      <c r="R1024" s="62">
        <f t="shared" si="4"/>
        <v>8</v>
      </c>
      <c r="S1024" s="61" t="str">
        <f t="shared" si="5"/>
        <v>2023-Q3</v>
      </c>
      <c r="T1024" s="63" t="str">
        <f t="shared" si="6"/>
        <v>2023-08</v>
      </c>
      <c r="U1024" s="64" t="str">
        <f t="shared" si="7"/>
        <v>2023-H2</v>
      </c>
      <c r="V1024" s="9" t="str">
        <f>VLOOKUP(B1024,Bounties!A:E,2,FALSE)</f>
        <v>Anti-Scam Bounty</v>
      </c>
    </row>
    <row r="1025" hidden="1">
      <c r="A1025" s="67">
        <f>HYPERLINK("https://polkadot.subsquare.io/treasury/child-bounties/369", 369)</f>
        <v>369</v>
      </c>
      <c r="B1025" s="1">
        <v>11.0</v>
      </c>
      <c r="C1025" s="1" t="s">
        <v>2508</v>
      </c>
      <c r="D1025" s="1" t="s">
        <v>2703</v>
      </c>
      <c r="E1025" s="5">
        <v>1052.75453</v>
      </c>
      <c r="F1025" s="4">
        <v>5251.3523521001525</v>
      </c>
      <c r="G1025" s="1"/>
      <c r="H1025" s="95">
        <v>45140.0</v>
      </c>
      <c r="I1025" s="95">
        <v>45140.0</v>
      </c>
      <c r="J1025" s="4">
        <v>5231.359497664084</v>
      </c>
      <c r="K1025" s="1"/>
      <c r="L1025" s="1"/>
      <c r="M1025" s="1" t="str">
        <f>VLOOKUP(B1025,Bounties!A:D,3,FALSE)</f>
        <v>Research</v>
      </c>
      <c r="N1025" s="1" t="str">
        <f>VLOOKUP(B1025,Bounties!A:D,4,FALSE)</f>
        <v>Anti-Scam</v>
      </c>
      <c r="O1025" s="1" t="str">
        <f t="shared" ref="O1025:P1025" si="1029">IF(ISBLANK(K1025),M1025,K1025)</f>
        <v>Research</v>
      </c>
      <c r="P1025" s="1" t="str">
        <f t="shared" si="1029"/>
        <v>Anti-Scam</v>
      </c>
      <c r="Q1025" s="61" t="str">
        <f t="shared" si="3"/>
        <v>2023</v>
      </c>
      <c r="R1025" s="62">
        <f t="shared" si="4"/>
        <v>8</v>
      </c>
      <c r="S1025" s="61" t="str">
        <f t="shared" si="5"/>
        <v>2023-Q3</v>
      </c>
      <c r="T1025" s="63" t="str">
        <f t="shared" si="6"/>
        <v>2023-08</v>
      </c>
      <c r="U1025" s="64" t="str">
        <f t="shared" si="7"/>
        <v>2023-H2</v>
      </c>
      <c r="V1025" s="9" t="str">
        <f>VLOOKUP(B1025,Bounties!A:E,2,FALSE)</f>
        <v>Anti-Scam Bounty</v>
      </c>
    </row>
    <row r="1026" hidden="1">
      <c r="A1026" s="67">
        <f>HYPERLINK("https://polkadot.subsquare.io/treasury/child-bounties/368", 368)</f>
        <v>368</v>
      </c>
      <c r="B1026" s="1">
        <v>11.0</v>
      </c>
      <c r="C1026" s="1" t="s">
        <v>2508</v>
      </c>
      <c r="D1026" s="1" t="s">
        <v>2704</v>
      </c>
      <c r="E1026" s="5">
        <v>1557.40705</v>
      </c>
      <c r="F1026" s="4">
        <v>7768.661109627199</v>
      </c>
      <c r="G1026" s="1"/>
      <c r="H1026" s="95">
        <v>45140.0</v>
      </c>
      <c r="I1026" s="95">
        <v>45140.0</v>
      </c>
      <c r="J1026" s="4">
        <v>7739.084402464176</v>
      </c>
      <c r="K1026" s="1"/>
      <c r="L1026" s="1"/>
      <c r="M1026" s="1" t="str">
        <f>VLOOKUP(B1026,Bounties!A:D,3,FALSE)</f>
        <v>Research</v>
      </c>
      <c r="N1026" s="1" t="str">
        <f>VLOOKUP(B1026,Bounties!A:D,4,FALSE)</f>
        <v>Anti-Scam</v>
      </c>
      <c r="O1026" s="1" t="str">
        <f t="shared" ref="O1026:P1026" si="1030">IF(ISBLANK(K1026),M1026,K1026)</f>
        <v>Research</v>
      </c>
      <c r="P1026" s="1" t="str">
        <f t="shared" si="1030"/>
        <v>Anti-Scam</v>
      </c>
      <c r="Q1026" s="61" t="str">
        <f t="shared" si="3"/>
        <v>2023</v>
      </c>
      <c r="R1026" s="62">
        <f t="shared" si="4"/>
        <v>8</v>
      </c>
      <c r="S1026" s="61" t="str">
        <f t="shared" si="5"/>
        <v>2023-Q3</v>
      </c>
      <c r="T1026" s="63" t="str">
        <f t="shared" si="6"/>
        <v>2023-08</v>
      </c>
      <c r="U1026" s="64" t="str">
        <f t="shared" si="7"/>
        <v>2023-H2</v>
      </c>
      <c r="V1026" s="9" t="str">
        <f>VLOOKUP(B1026,Bounties!A:E,2,FALSE)</f>
        <v>Anti-Scam Bounty</v>
      </c>
    </row>
    <row r="1027" hidden="1">
      <c r="A1027" s="67">
        <f>HYPERLINK("https://polkadot.subsquare.io/treasury/child-bounties/367", 367)</f>
        <v>367</v>
      </c>
      <c r="B1027" s="1">
        <v>11.0</v>
      </c>
      <c r="C1027" s="1" t="s">
        <v>2508</v>
      </c>
      <c r="D1027" s="1" t="s">
        <v>2705</v>
      </c>
      <c r="E1027" s="5">
        <v>1557.40705</v>
      </c>
      <c r="F1027" s="4">
        <v>7768.661109627199</v>
      </c>
      <c r="G1027" s="1"/>
      <c r="H1027" s="95">
        <v>45140.0</v>
      </c>
      <c r="I1027" s="95">
        <v>45140.0</v>
      </c>
      <c r="J1027" s="4">
        <v>7739.084402464176</v>
      </c>
      <c r="K1027" s="1"/>
      <c r="L1027" s="1"/>
      <c r="M1027" s="1" t="str">
        <f>VLOOKUP(B1027,Bounties!A:D,3,FALSE)</f>
        <v>Research</v>
      </c>
      <c r="N1027" s="1" t="str">
        <f>VLOOKUP(B1027,Bounties!A:D,4,FALSE)</f>
        <v>Anti-Scam</v>
      </c>
      <c r="O1027" s="1" t="str">
        <f t="shared" ref="O1027:P1027" si="1031">IF(ISBLANK(K1027),M1027,K1027)</f>
        <v>Research</v>
      </c>
      <c r="P1027" s="1" t="str">
        <f t="shared" si="1031"/>
        <v>Anti-Scam</v>
      </c>
      <c r="Q1027" s="61" t="str">
        <f t="shared" si="3"/>
        <v>2023</v>
      </c>
      <c r="R1027" s="62">
        <f t="shared" si="4"/>
        <v>8</v>
      </c>
      <c r="S1027" s="61" t="str">
        <f t="shared" si="5"/>
        <v>2023-Q3</v>
      </c>
      <c r="T1027" s="63" t="str">
        <f t="shared" si="6"/>
        <v>2023-08</v>
      </c>
      <c r="U1027" s="64" t="str">
        <f t="shared" si="7"/>
        <v>2023-H2</v>
      </c>
      <c r="V1027" s="9" t="str">
        <f>VLOOKUP(B1027,Bounties!A:E,2,FALSE)</f>
        <v>Anti-Scam Bounty</v>
      </c>
    </row>
    <row r="1028" hidden="1">
      <c r="A1028" s="67">
        <f>HYPERLINK("https://polkadot.subsquare.io/treasury/child-bounties/366", 366)</f>
        <v>366</v>
      </c>
      <c r="B1028" s="1">
        <v>11.0</v>
      </c>
      <c r="C1028" s="1" t="s">
        <v>2508</v>
      </c>
      <c r="D1028" s="1" t="s">
        <v>2706</v>
      </c>
      <c r="E1028" s="5">
        <v>1033.87191</v>
      </c>
      <c r="F1028" s="4">
        <v>5157.162027456465</v>
      </c>
      <c r="G1028" s="1"/>
      <c r="H1028" s="95">
        <v>45140.0</v>
      </c>
      <c r="I1028" s="95">
        <v>45140.0</v>
      </c>
      <c r="J1028" s="4">
        <v>5137.527772734075</v>
      </c>
      <c r="K1028" s="1"/>
      <c r="L1028" s="1"/>
      <c r="M1028" s="1" t="str">
        <f>VLOOKUP(B1028,Bounties!A:D,3,FALSE)</f>
        <v>Research</v>
      </c>
      <c r="N1028" s="1" t="str">
        <f>VLOOKUP(B1028,Bounties!A:D,4,FALSE)</f>
        <v>Anti-Scam</v>
      </c>
      <c r="O1028" s="1" t="str">
        <f t="shared" ref="O1028:P1028" si="1032">IF(ISBLANK(K1028),M1028,K1028)</f>
        <v>Research</v>
      </c>
      <c r="P1028" s="1" t="str">
        <f t="shared" si="1032"/>
        <v>Anti-Scam</v>
      </c>
      <c r="Q1028" s="61" t="str">
        <f t="shared" si="3"/>
        <v>2023</v>
      </c>
      <c r="R1028" s="62">
        <f t="shared" si="4"/>
        <v>8</v>
      </c>
      <c r="S1028" s="61" t="str">
        <f t="shared" si="5"/>
        <v>2023-Q3</v>
      </c>
      <c r="T1028" s="63" t="str">
        <f t="shared" si="6"/>
        <v>2023-08</v>
      </c>
      <c r="U1028" s="64" t="str">
        <f t="shared" si="7"/>
        <v>2023-H2</v>
      </c>
      <c r="V1028" s="9" t="str">
        <f>VLOOKUP(B1028,Bounties!A:E,2,FALSE)</f>
        <v>Anti-Scam Bounty</v>
      </c>
    </row>
    <row r="1029" hidden="1">
      <c r="A1029" s="67">
        <f>HYPERLINK("https://polkadot.subsquare.io/treasury/child-bounties/365", 365)</f>
        <v>365</v>
      </c>
      <c r="B1029" s="1">
        <v>11.0</v>
      </c>
      <c r="C1029" s="1" t="s">
        <v>2414</v>
      </c>
      <c r="D1029" s="1" t="s">
        <v>1661</v>
      </c>
      <c r="E1029" s="5">
        <v>77.29468599</v>
      </c>
      <c r="F1029" s="4">
        <v>385.56151459013836</v>
      </c>
      <c r="G1029" s="1" t="s">
        <v>2437</v>
      </c>
      <c r="H1029" s="95">
        <v>45139.0</v>
      </c>
      <c r="I1029" s="95">
        <v>45148.0</v>
      </c>
      <c r="J1029" s="4">
        <v>389.177663313043</v>
      </c>
      <c r="K1029" s="1"/>
      <c r="L1029" s="1"/>
      <c r="M1029" s="1" t="str">
        <f>VLOOKUP(B1029,Bounties!A:D,3,FALSE)</f>
        <v>Research</v>
      </c>
      <c r="N1029" s="1" t="str">
        <f>VLOOKUP(B1029,Bounties!A:D,4,FALSE)</f>
        <v>Anti-Scam</v>
      </c>
      <c r="O1029" s="1" t="str">
        <f t="shared" ref="O1029:P1029" si="1033">IF(ISBLANK(K1029),M1029,K1029)</f>
        <v>Research</v>
      </c>
      <c r="P1029" s="1" t="str">
        <f t="shared" si="1033"/>
        <v>Anti-Scam</v>
      </c>
      <c r="Q1029" s="61" t="str">
        <f t="shared" si="3"/>
        <v>2023</v>
      </c>
      <c r="R1029" s="62">
        <f t="shared" si="4"/>
        <v>8</v>
      </c>
      <c r="S1029" s="61" t="str">
        <f t="shared" si="5"/>
        <v>2023-Q3</v>
      </c>
      <c r="T1029" s="63" t="str">
        <f t="shared" si="6"/>
        <v>2023-08</v>
      </c>
      <c r="U1029" s="64" t="str">
        <f t="shared" si="7"/>
        <v>2023-H2</v>
      </c>
      <c r="V1029" s="9" t="str">
        <f>VLOOKUP(B1029,Bounties!A:E,2,FALSE)</f>
        <v>Anti-Scam Bounty</v>
      </c>
    </row>
    <row r="1030" hidden="1">
      <c r="A1030" s="67">
        <f>HYPERLINK("https://polkadot.subsquare.io/treasury/child-bounties/364", 364)</f>
        <v>364</v>
      </c>
      <c r="B1030" s="1">
        <v>11.0</v>
      </c>
      <c r="C1030" s="1" t="s">
        <v>2414</v>
      </c>
      <c r="D1030" s="1" t="s">
        <v>1660</v>
      </c>
      <c r="E1030" s="5">
        <v>77.29468599</v>
      </c>
      <c r="F1030" s="4">
        <v>385.56151459013836</v>
      </c>
      <c r="G1030" s="1" t="s">
        <v>2463</v>
      </c>
      <c r="H1030" s="95">
        <v>45139.0</v>
      </c>
      <c r="I1030" s="95">
        <v>45148.0</v>
      </c>
      <c r="J1030" s="4">
        <v>385.4147132451247</v>
      </c>
      <c r="K1030" s="1"/>
      <c r="L1030" s="1"/>
      <c r="M1030" s="1" t="str">
        <f>VLOOKUP(B1030,Bounties!A:D,3,FALSE)</f>
        <v>Research</v>
      </c>
      <c r="N1030" s="1" t="str">
        <f>VLOOKUP(B1030,Bounties!A:D,4,FALSE)</f>
        <v>Anti-Scam</v>
      </c>
      <c r="O1030" s="1" t="str">
        <f t="shared" ref="O1030:P1030" si="1034">IF(ISBLANK(K1030),M1030,K1030)</f>
        <v>Research</v>
      </c>
      <c r="P1030" s="1" t="str">
        <f t="shared" si="1034"/>
        <v>Anti-Scam</v>
      </c>
      <c r="Q1030" s="61" t="str">
        <f t="shared" si="3"/>
        <v>2023</v>
      </c>
      <c r="R1030" s="62">
        <f t="shared" si="4"/>
        <v>8</v>
      </c>
      <c r="S1030" s="61" t="str">
        <f t="shared" si="5"/>
        <v>2023-Q3</v>
      </c>
      <c r="T1030" s="63" t="str">
        <f t="shared" si="6"/>
        <v>2023-08</v>
      </c>
      <c r="U1030" s="64" t="str">
        <f t="shared" si="7"/>
        <v>2023-H2</v>
      </c>
      <c r="V1030" s="9" t="str">
        <f>VLOOKUP(B1030,Bounties!A:E,2,FALSE)</f>
        <v>Anti-Scam Bounty</v>
      </c>
    </row>
    <row r="1031" hidden="1">
      <c r="A1031" s="67">
        <f>HYPERLINK("https://polkadot.subsquare.io/treasury/child-bounties/363", 363)</f>
        <v>363</v>
      </c>
      <c r="B1031" s="1">
        <v>11.0</v>
      </c>
      <c r="C1031" s="1" t="s">
        <v>2414</v>
      </c>
      <c r="D1031" s="1" t="s">
        <v>1659</v>
      </c>
      <c r="E1031" s="5">
        <v>77.29468599</v>
      </c>
      <c r="F1031" s="4">
        <v>385.56151459013836</v>
      </c>
      <c r="G1031" s="1" t="s">
        <v>2438</v>
      </c>
      <c r="H1031" s="95">
        <v>45139.0</v>
      </c>
      <c r="I1031" s="95">
        <v>45148.0</v>
      </c>
      <c r="J1031" s="4">
        <v>385.4147132451247</v>
      </c>
      <c r="K1031" s="1"/>
      <c r="L1031" s="1"/>
      <c r="M1031" s="1" t="str">
        <f>VLOOKUP(B1031,Bounties!A:D,3,FALSE)</f>
        <v>Research</v>
      </c>
      <c r="N1031" s="1" t="str">
        <f>VLOOKUP(B1031,Bounties!A:D,4,FALSE)</f>
        <v>Anti-Scam</v>
      </c>
      <c r="O1031" s="1" t="str">
        <f t="shared" ref="O1031:P1031" si="1035">IF(ISBLANK(K1031),M1031,K1031)</f>
        <v>Research</v>
      </c>
      <c r="P1031" s="1" t="str">
        <f t="shared" si="1035"/>
        <v>Anti-Scam</v>
      </c>
      <c r="Q1031" s="61" t="str">
        <f t="shared" si="3"/>
        <v>2023</v>
      </c>
      <c r="R1031" s="62">
        <f t="shared" si="4"/>
        <v>8</v>
      </c>
      <c r="S1031" s="61" t="str">
        <f t="shared" si="5"/>
        <v>2023-Q3</v>
      </c>
      <c r="T1031" s="63" t="str">
        <f t="shared" si="6"/>
        <v>2023-08</v>
      </c>
      <c r="U1031" s="64" t="str">
        <f t="shared" si="7"/>
        <v>2023-H2</v>
      </c>
      <c r="V1031" s="9" t="str">
        <f>VLOOKUP(B1031,Bounties!A:E,2,FALSE)</f>
        <v>Anti-Scam Bounty</v>
      </c>
    </row>
    <row r="1032" hidden="1">
      <c r="A1032" s="67">
        <f>HYPERLINK("https://polkadot.subsquare.io/treasury/child-bounties/362", 362)</f>
        <v>362</v>
      </c>
      <c r="B1032" s="1">
        <v>11.0</v>
      </c>
      <c r="C1032" s="1" t="s">
        <v>2414</v>
      </c>
      <c r="D1032" s="1" t="s">
        <v>1658</v>
      </c>
      <c r="E1032" s="5">
        <v>115.9420289855</v>
      </c>
      <c r="F1032" s="4">
        <v>578.3422718877016</v>
      </c>
      <c r="G1032" s="1" t="s">
        <v>2437</v>
      </c>
      <c r="H1032" s="95">
        <v>45139.0</v>
      </c>
      <c r="I1032" s="95">
        <v>45148.0</v>
      </c>
      <c r="J1032" s="4">
        <v>583.766494972082</v>
      </c>
      <c r="K1032" s="1"/>
      <c r="L1032" s="1"/>
      <c r="M1032" s="1" t="str">
        <f>VLOOKUP(B1032,Bounties!A:D,3,FALSE)</f>
        <v>Research</v>
      </c>
      <c r="N1032" s="1" t="str">
        <f>VLOOKUP(B1032,Bounties!A:D,4,FALSE)</f>
        <v>Anti-Scam</v>
      </c>
      <c r="O1032" s="1" t="str">
        <f t="shared" ref="O1032:P1032" si="1036">IF(ISBLANK(K1032),M1032,K1032)</f>
        <v>Research</v>
      </c>
      <c r="P1032" s="1" t="str">
        <f t="shared" si="1036"/>
        <v>Anti-Scam</v>
      </c>
      <c r="Q1032" s="61" t="str">
        <f t="shared" si="3"/>
        <v>2023</v>
      </c>
      <c r="R1032" s="62">
        <f t="shared" si="4"/>
        <v>8</v>
      </c>
      <c r="S1032" s="61" t="str">
        <f t="shared" si="5"/>
        <v>2023-Q3</v>
      </c>
      <c r="T1032" s="63" t="str">
        <f t="shared" si="6"/>
        <v>2023-08</v>
      </c>
      <c r="U1032" s="64" t="str">
        <f t="shared" si="7"/>
        <v>2023-H2</v>
      </c>
      <c r="V1032" s="9" t="str">
        <f>VLOOKUP(B1032,Bounties!A:E,2,FALSE)</f>
        <v>Anti-Scam Bounty</v>
      </c>
    </row>
    <row r="1033" hidden="1">
      <c r="A1033" s="67">
        <f>HYPERLINK("https://polkadot.subsquare.io/treasury/child-bounties/361", 361)</f>
        <v>361</v>
      </c>
      <c r="B1033" s="1">
        <v>11.0</v>
      </c>
      <c r="C1033" s="1" t="s">
        <v>2414</v>
      </c>
      <c r="D1033" s="1" t="s">
        <v>1657</v>
      </c>
      <c r="E1033" s="5">
        <v>139.1304347826</v>
      </c>
      <c r="F1033" s="4">
        <v>694.0107262652419</v>
      </c>
      <c r="G1033" s="1" t="s">
        <v>2535</v>
      </c>
      <c r="H1033" s="95">
        <v>45139.0</v>
      </c>
      <c r="I1033" s="95">
        <v>45149.0</v>
      </c>
      <c r="J1033" s="4">
        <v>694.0246582030816</v>
      </c>
      <c r="K1033" s="1"/>
      <c r="L1033" s="1"/>
      <c r="M1033" s="1" t="str">
        <f>VLOOKUP(B1033,Bounties!A:D,3,FALSE)</f>
        <v>Research</v>
      </c>
      <c r="N1033" s="1" t="str">
        <f>VLOOKUP(B1033,Bounties!A:D,4,FALSE)</f>
        <v>Anti-Scam</v>
      </c>
      <c r="O1033" s="1" t="str">
        <f t="shared" ref="O1033:P1033" si="1037">IF(ISBLANK(K1033),M1033,K1033)</f>
        <v>Research</v>
      </c>
      <c r="P1033" s="1" t="str">
        <f t="shared" si="1037"/>
        <v>Anti-Scam</v>
      </c>
      <c r="Q1033" s="61" t="str">
        <f t="shared" si="3"/>
        <v>2023</v>
      </c>
      <c r="R1033" s="62">
        <f t="shared" si="4"/>
        <v>8</v>
      </c>
      <c r="S1033" s="61" t="str">
        <f t="shared" si="5"/>
        <v>2023-Q3</v>
      </c>
      <c r="T1033" s="63" t="str">
        <f t="shared" si="6"/>
        <v>2023-08</v>
      </c>
      <c r="U1033" s="64" t="str">
        <f t="shared" si="7"/>
        <v>2023-H2</v>
      </c>
      <c r="V1033" s="9" t="str">
        <f>VLOOKUP(B1033,Bounties!A:E,2,FALSE)</f>
        <v>Anti-Scam Bounty</v>
      </c>
    </row>
    <row r="1034" hidden="1">
      <c r="A1034" s="67">
        <f>HYPERLINK("https://polkadot.subsquare.io/treasury/child-bounties/360", 360)</f>
        <v>360</v>
      </c>
      <c r="B1034" s="1">
        <v>11.0</v>
      </c>
      <c r="C1034" s="1" t="s">
        <v>2414</v>
      </c>
      <c r="D1034" s="1" t="s">
        <v>1656</v>
      </c>
      <c r="E1034" s="5">
        <v>96.61835749</v>
      </c>
      <c r="F1034" s="4">
        <v>481.9518932501434</v>
      </c>
      <c r="G1034" s="1" t="s">
        <v>2528</v>
      </c>
      <c r="H1034" s="95">
        <v>45139.0</v>
      </c>
      <c r="I1034" s="95">
        <v>45148.0</v>
      </c>
      <c r="J1034" s="4">
        <v>486.4720791538912</v>
      </c>
      <c r="K1034" s="1"/>
      <c r="L1034" s="1"/>
      <c r="M1034" s="1" t="str">
        <f>VLOOKUP(B1034,Bounties!A:D,3,FALSE)</f>
        <v>Research</v>
      </c>
      <c r="N1034" s="1" t="str">
        <f>VLOOKUP(B1034,Bounties!A:D,4,FALSE)</f>
        <v>Anti-Scam</v>
      </c>
      <c r="O1034" s="1" t="str">
        <f t="shared" ref="O1034:P1034" si="1038">IF(ISBLANK(K1034),M1034,K1034)</f>
        <v>Research</v>
      </c>
      <c r="P1034" s="1" t="str">
        <f t="shared" si="1038"/>
        <v>Anti-Scam</v>
      </c>
      <c r="Q1034" s="61" t="str">
        <f t="shared" si="3"/>
        <v>2023</v>
      </c>
      <c r="R1034" s="62">
        <f t="shared" si="4"/>
        <v>8</v>
      </c>
      <c r="S1034" s="61" t="str">
        <f t="shared" si="5"/>
        <v>2023-Q3</v>
      </c>
      <c r="T1034" s="63" t="str">
        <f t="shared" si="6"/>
        <v>2023-08</v>
      </c>
      <c r="U1034" s="64" t="str">
        <f t="shared" si="7"/>
        <v>2023-H2</v>
      </c>
      <c r="V1034" s="9" t="str">
        <f>VLOOKUP(B1034,Bounties!A:E,2,FALSE)</f>
        <v>Anti-Scam Bounty</v>
      </c>
    </row>
    <row r="1035" hidden="1">
      <c r="A1035" s="67">
        <f>HYPERLINK("https://polkadot.subsquare.io/treasury/child-bounties/359", 359)</f>
        <v>359</v>
      </c>
      <c r="B1035" s="1">
        <v>11.0</v>
      </c>
      <c r="C1035" s="1" t="s">
        <v>2414</v>
      </c>
      <c r="D1035" s="1" t="s">
        <v>1655</v>
      </c>
      <c r="E1035" s="5">
        <v>96.61835749</v>
      </c>
      <c r="F1035" s="4">
        <v>481.9518932501434</v>
      </c>
      <c r="G1035" s="1" t="s">
        <v>2534</v>
      </c>
      <c r="H1035" s="95">
        <v>45139.0</v>
      </c>
      <c r="I1035" s="95">
        <v>45147.0</v>
      </c>
      <c r="J1035" s="4">
        <v>486.4720791538912</v>
      </c>
      <c r="K1035" s="1"/>
      <c r="L1035" s="1"/>
      <c r="M1035" s="1" t="str">
        <f>VLOOKUP(B1035,Bounties!A:D,3,FALSE)</f>
        <v>Research</v>
      </c>
      <c r="N1035" s="1" t="str">
        <f>VLOOKUP(B1035,Bounties!A:D,4,FALSE)</f>
        <v>Anti-Scam</v>
      </c>
      <c r="O1035" s="1" t="str">
        <f t="shared" ref="O1035:P1035" si="1039">IF(ISBLANK(K1035),M1035,K1035)</f>
        <v>Research</v>
      </c>
      <c r="P1035" s="1" t="str">
        <f t="shared" si="1039"/>
        <v>Anti-Scam</v>
      </c>
      <c r="Q1035" s="61" t="str">
        <f t="shared" si="3"/>
        <v>2023</v>
      </c>
      <c r="R1035" s="62">
        <f t="shared" si="4"/>
        <v>8</v>
      </c>
      <c r="S1035" s="61" t="str">
        <f t="shared" si="5"/>
        <v>2023-Q3</v>
      </c>
      <c r="T1035" s="63" t="str">
        <f t="shared" si="6"/>
        <v>2023-08</v>
      </c>
      <c r="U1035" s="64" t="str">
        <f t="shared" si="7"/>
        <v>2023-H2</v>
      </c>
      <c r="V1035" s="9" t="str">
        <f>VLOOKUP(B1035,Bounties!A:E,2,FALSE)</f>
        <v>Anti-Scam Bounty</v>
      </c>
    </row>
    <row r="1036" hidden="1">
      <c r="A1036" s="67">
        <f>HYPERLINK("https://polkadot.subsquare.io/treasury/child-bounties/358", 358)</f>
        <v>358</v>
      </c>
      <c r="B1036" s="1">
        <v>11.0</v>
      </c>
      <c r="C1036" s="1" t="s">
        <v>2414</v>
      </c>
      <c r="D1036" s="1" t="s">
        <v>1654</v>
      </c>
      <c r="E1036" s="5">
        <v>139.13043478</v>
      </c>
      <c r="F1036" s="4">
        <v>694.0107262522727</v>
      </c>
      <c r="G1036" s="1" t="s">
        <v>2438</v>
      </c>
      <c r="H1036" s="95">
        <v>45139.0</v>
      </c>
      <c r="I1036" s="95">
        <v>45147.0</v>
      </c>
      <c r="J1036" s="4">
        <v>700.5197939534074</v>
      </c>
      <c r="K1036" s="1"/>
      <c r="L1036" s="1"/>
      <c r="M1036" s="1" t="str">
        <f>VLOOKUP(B1036,Bounties!A:D,3,FALSE)</f>
        <v>Research</v>
      </c>
      <c r="N1036" s="1" t="str">
        <f>VLOOKUP(B1036,Bounties!A:D,4,FALSE)</f>
        <v>Anti-Scam</v>
      </c>
      <c r="O1036" s="1" t="str">
        <f t="shared" ref="O1036:P1036" si="1040">IF(ISBLANK(K1036),M1036,K1036)</f>
        <v>Research</v>
      </c>
      <c r="P1036" s="1" t="str">
        <f t="shared" si="1040"/>
        <v>Anti-Scam</v>
      </c>
      <c r="Q1036" s="61" t="str">
        <f t="shared" si="3"/>
        <v>2023</v>
      </c>
      <c r="R1036" s="62">
        <f t="shared" si="4"/>
        <v>8</v>
      </c>
      <c r="S1036" s="61" t="str">
        <f t="shared" si="5"/>
        <v>2023-Q3</v>
      </c>
      <c r="T1036" s="63" t="str">
        <f t="shared" si="6"/>
        <v>2023-08</v>
      </c>
      <c r="U1036" s="64" t="str">
        <f t="shared" si="7"/>
        <v>2023-H2</v>
      </c>
      <c r="V1036" s="9" t="str">
        <f>VLOOKUP(B1036,Bounties!A:E,2,FALSE)</f>
        <v>Anti-Scam Bounty</v>
      </c>
    </row>
    <row r="1037" hidden="1">
      <c r="A1037" s="67">
        <f>HYPERLINK("https://polkadot.subsquare.io/treasury/child-bounties/357", 357)</f>
        <v>357</v>
      </c>
      <c r="B1037" s="1">
        <v>11.0</v>
      </c>
      <c r="C1037" s="1" t="s">
        <v>2414</v>
      </c>
      <c r="D1037" s="1" t="s">
        <v>1653</v>
      </c>
      <c r="E1037" s="5">
        <v>162.31884058</v>
      </c>
      <c r="F1037" s="4">
        <v>809.6791806442787</v>
      </c>
      <c r="G1037" s="1" t="s">
        <v>2534</v>
      </c>
      <c r="H1037" s="95">
        <v>45139.0</v>
      </c>
      <c r="I1037" s="95">
        <v>45147.0</v>
      </c>
      <c r="J1037" s="4">
        <v>817.2730929624253</v>
      </c>
      <c r="K1037" s="1"/>
      <c r="L1037" s="1"/>
      <c r="M1037" s="1" t="str">
        <f>VLOOKUP(B1037,Bounties!A:D,3,FALSE)</f>
        <v>Research</v>
      </c>
      <c r="N1037" s="1" t="str">
        <f>VLOOKUP(B1037,Bounties!A:D,4,FALSE)</f>
        <v>Anti-Scam</v>
      </c>
      <c r="O1037" s="1" t="str">
        <f t="shared" ref="O1037:P1037" si="1041">IF(ISBLANK(K1037),M1037,K1037)</f>
        <v>Research</v>
      </c>
      <c r="P1037" s="1" t="str">
        <f t="shared" si="1041"/>
        <v>Anti-Scam</v>
      </c>
      <c r="Q1037" s="61" t="str">
        <f t="shared" si="3"/>
        <v>2023</v>
      </c>
      <c r="R1037" s="62">
        <f t="shared" si="4"/>
        <v>8</v>
      </c>
      <c r="S1037" s="61" t="str">
        <f t="shared" si="5"/>
        <v>2023-Q3</v>
      </c>
      <c r="T1037" s="63" t="str">
        <f t="shared" si="6"/>
        <v>2023-08</v>
      </c>
      <c r="U1037" s="64" t="str">
        <f t="shared" si="7"/>
        <v>2023-H2</v>
      </c>
      <c r="V1037" s="9" t="str">
        <f>VLOOKUP(B1037,Bounties!A:E,2,FALSE)</f>
        <v>Anti-Scam Bounty</v>
      </c>
    </row>
    <row r="1038" hidden="1">
      <c r="A1038" s="67">
        <f>HYPERLINK("https://polkadot.subsquare.io/treasury/child-bounties/356", 356)</f>
        <v>356</v>
      </c>
      <c r="B1038" s="1">
        <v>11.0</v>
      </c>
      <c r="C1038" s="1" t="s">
        <v>2414</v>
      </c>
      <c r="D1038" s="1" t="s">
        <v>1652</v>
      </c>
      <c r="E1038" s="5">
        <v>77.29468599</v>
      </c>
      <c r="F1038" s="4">
        <v>385.56151459013836</v>
      </c>
      <c r="G1038" s="1" t="s">
        <v>2497</v>
      </c>
      <c r="H1038" s="95">
        <v>45139.0</v>
      </c>
      <c r="I1038" s="95">
        <v>45148.0</v>
      </c>
      <c r="J1038" s="4">
        <v>389.177663313043</v>
      </c>
      <c r="K1038" s="1"/>
      <c r="L1038" s="1"/>
      <c r="M1038" s="1" t="str">
        <f>VLOOKUP(B1038,Bounties!A:D,3,FALSE)</f>
        <v>Research</v>
      </c>
      <c r="N1038" s="1" t="str">
        <f>VLOOKUP(B1038,Bounties!A:D,4,FALSE)</f>
        <v>Anti-Scam</v>
      </c>
      <c r="O1038" s="1" t="str">
        <f t="shared" ref="O1038:P1038" si="1042">IF(ISBLANK(K1038),M1038,K1038)</f>
        <v>Research</v>
      </c>
      <c r="P1038" s="1" t="str">
        <f t="shared" si="1042"/>
        <v>Anti-Scam</v>
      </c>
      <c r="Q1038" s="61" t="str">
        <f t="shared" si="3"/>
        <v>2023</v>
      </c>
      <c r="R1038" s="62">
        <f t="shared" si="4"/>
        <v>8</v>
      </c>
      <c r="S1038" s="61" t="str">
        <f t="shared" si="5"/>
        <v>2023-Q3</v>
      </c>
      <c r="T1038" s="63" t="str">
        <f t="shared" si="6"/>
        <v>2023-08</v>
      </c>
      <c r="U1038" s="64" t="str">
        <f t="shared" si="7"/>
        <v>2023-H2</v>
      </c>
      <c r="V1038" s="9" t="str">
        <f>VLOOKUP(B1038,Bounties!A:E,2,FALSE)</f>
        <v>Anti-Scam Bounty</v>
      </c>
    </row>
    <row r="1039" hidden="1">
      <c r="A1039" s="67">
        <f>HYPERLINK("https://polkadot.subsquare.io/treasury/child-bounties/355", 355)</f>
        <v>355</v>
      </c>
      <c r="B1039" s="1">
        <v>11.0</v>
      </c>
      <c r="C1039" s="1" t="s">
        <v>2414</v>
      </c>
      <c r="D1039" s="1" t="s">
        <v>1651</v>
      </c>
      <c r="E1039" s="5">
        <v>270.531401</v>
      </c>
      <c r="F1039" s="4">
        <v>1349.4653012400713</v>
      </c>
      <c r="G1039" s="1" t="s">
        <v>2535</v>
      </c>
      <c r="H1039" s="95">
        <v>45139.0</v>
      </c>
      <c r="I1039" s="95">
        <v>45149.0</v>
      </c>
      <c r="J1039" s="4">
        <v>1349.4923911192075</v>
      </c>
      <c r="K1039" s="1"/>
      <c r="L1039" s="1"/>
      <c r="M1039" s="1" t="str">
        <f>VLOOKUP(B1039,Bounties!A:D,3,FALSE)</f>
        <v>Research</v>
      </c>
      <c r="N1039" s="1" t="str">
        <f>VLOOKUP(B1039,Bounties!A:D,4,FALSE)</f>
        <v>Anti-Scam</v>
      </c>
      <c r="O1039" s="1" t="str">
        <f t="shared" ref="O1039:P1039" si="1043">IF(ISBLANK(K1039),M1039,K1039)</f>
        <v>Research</v>
      </c>
      <c r="P1039" s="1" t="str">
        <f t="shared" si="1043"/>
        <v>Anti-Scam</v>
      </c>
      <c r="Q1039" s="61" t="str">
        <f t="shared" si="3"/>
        <v>2023</v>
      </c>
      <c r="R1039" s="62">
        <f t="shared" si="4"/>
        <v>8</v>
      </c>
      <c r="S1039" s="61" t="str">
        <f t="shared" si="5"/>
        <v>2023-Q3</v>
      </c>
      <c r="T1039" s="63" t="str">
        <f t="shared" si="6"/>
        <v>2023-08</v>
      </c>
      <c r="U1039" s="64" t="str">
        <f t="shared" si="7"/>
        <v>2023-H2</v>
      </c>
      <c r="V1039" s="9" t="str">
        <f>VLOOKUP(B1039,Bounties!A:E,2,FALSE)</f>
        <v>Anti-Scam Bounty</v>
      </c>
    </row>
    <row r="1040" hidden="1">
      <c r="A1040" s="67">
        <f>HYPERLINK("https://polkadot.subsquare.io/treasury/child-bounties/354", 354)</f>
        <v>354</v>
      </c>
      <c r="B1040" s="1">
        <v>11.0</v>
      </c>
      <c r="C1040" s="1" t="s">
        <v>2414</v>
      </c>
      <c r="D1040" s="1" t="s">
        <v>1650</v>
      </c>
      <c r="E1040" s="5">
        <v>96.61835749</v>
      </c>
      <c r="F1040" s="4">
        <v>481.9518932501434</v>
      </c>
      <c r="G1040" s="1" t="s">
        <v>2533</v>
      </c>
      <c r="H1040" s="95">
        <v>45139.0</v>
      </c>
      <c r="I1040" s="95">
        <v>45158.0</v>
      </c>
      <c r="J1040" s="4">
        <v>427.12262288150345</v>
      </c>
      <c r="K1040" s="1"/>
      <c r="L1040" s="1"/>
      <c r="M1040" s="1" t="str">
        <f>VLOOKUP(B1040,Bounties!A:D,3,FALSE)</f>
        <v>Research</v>
      </c>
      <c r="N1040" s="1" t="str">
        <f>VLOOKUP(B1040,Bounties!A:D,4,FALSE)</f>
        <v>Anti-Scam</v>
      </c>
      <c r="O1040" s="1" t="str">
        <f t="shared" ref="O1040:P1040" si="1044">IF(ISBLANK(K1040),M1040,K1040)</f>
        <v>Research</v>
      </c>
      <c r="P1040" s="1" t="str">
        <f t="shared" si="1044"/>
        <v>Anti-Scam</v>
      </c>
      <c r="Q1040" s="61" t="str">
        <f t="shared" si="3"/>
        <v>2023</v>
      </c>
      <c r="R1040" s="62">
        <f t="shared" si="4"/>
        <v>8</v>
      </c>
      <c r="S1040" s="61" t="str">
        <f t="shared" si="5"/>
        <v>2023-Q3</v>
      </c>
      <c r="T1040" s="63" t="str">
        <f t="shared" si="6"/>
        <v>2023-08</v>
      </c>
      <c r="U1040" s="64" t="str">
        <f t="shared" si="7"/>
        <v>2023-H2</v>
      </c>
      <c r="V1040" s="9" t="str">
        <f>VLOOKUP(B1040,Bounties!A:E,2,FALSE)</f>
        <v>Anti-Scam Bounty</v>
      </c>
    </row>
    <row r="1041" hidden="1">
      <c r="A1041" s="67">
        <f>HYPERLINK("https://polkadot.subsquare.io/treasury/child-bounties/353", 353)</f>
        <v>353</v>
      </c>
      <c r="B1041" s="1">
        <v>11.0</v>
      </c>
      <c r="C1041" s="1" t="s">
        <v>2414</v>
      </c>
      <c r="D1041" s="1" t="s">
        <v>1649</v>
      </c>
      <c r="E1041" s="5">
        <v>386.47343</v>
      </c>
      <c r="F1041" s="4">
        <v>1927.8075732001018</v>
      </c>
      <c r="G1041" s="1" t="s">
        <v>2524</v>
      </c>
      <c r="H1041" s="95">
        <v>45139.0</v>
      </c>
      <c r="I1041" s="95">
        <v>45147.0</v>
      </c>
      <c r="J1041" s="4">
        <v>1945.888316816964</v>
      </c>
      <c r="K1041" s="1"/>
      <c r="L1041" s="1"/>
      <c r="M1041" s="1" t="str">
        <f>VLOOKUP(B1041,Bounties!A:D,3,FALSE)</f>
        <v>Research</v>
      </c>
      <c r="N1041" s="1" t="str">
        <f>VLOOKUP(B1041,Bounties!A:D,4,FALSE)</f>
        <v>Anti-Scam</v>
      </c>
      <c r="O1041" s="1" t="str">
        <f t="shared" ref="O1041:P1041" si="1045">IF(ISBLANK(K1041),M1041,K1041)</f>
        <v>Research</v>
      </c>
      <c r="P1041" s="1" t="str">
        <f t="shared" si="1045"/>
        <v>Anti-Scam</v>
      </c>
      <c r="Q1041" s="61" t="str">
        <f t="shared" si="3"/>
        <v>2023</v>
      </c>
      <c r="R1041" s="62">
        <f t="shared" si="4"/>
        <v>8</v>
      </c>
      <c r="S1041" s="61" t="str">
        <f t="shared" si="5"/>
        <v>2023-Q3</v>
      </c>
      <c r="T1041" s="63" t="str">
        <f t="shared" si="6"/>
        <v>2023-08</v>
      </c>
      <c r="U1041" s="64" t="str">
        <f t="shared" si="7"/>
        <v>2023-H2</v>
      </c>
      <c r="V1041" s="9" t="str">
        <f>VLOOKUP(B1041,Bounties!A:E,2,FALSE)</f>
        <v>Anti-Scam Bounty</v>
      </c>
    </row>
    <row r="1042" hidden="1">
      <c r="A1042" s="67">
        <f>HYPERLINK("https://polkadot.subsquare.io/treasury/child-bounties/352", 352)</f>
        <v>352</v>
      </c>
      <c r="B1042" s="1">
        <v>11.0</v>
      </c>
      <c r="C1042" s="1" t="s">
        <v>2414</v>
      </c>
      <c r="D1042" s="1" t="s">
        <v>1648</v>
      </c>
      <c r="E1042" s="5">
        <v>144.9275362</v>
      </c>
      <c r="F1042" s="4">
        <v>722.927839700628</v>
      </c>
      <c r="G1042" s="1" t="s">
        <v>2531</v>
      </c>
      <c r="H1042" s="95">
        <v>45139.0</v>
      </c>
      <c r="I1042" s="95">
        <v>45150.0</v>
      </c>
      <c r="J1042" s="4">
        <v>697.4614183301268</v>
      </c>
      <c r="K1042" s="1"/>
      <c r="L1042" s="1"/>
      <c r="M1042" s="1" t="str">
        <f>VLOOKUP(B1042,Bounties!A:D,3,FALSE)</f>
        <v>Research</v>
      </c>
      <c r="N1042" s="1" t="str">
        <f>VLOOKUP(B1042,Bounties!A:D,4,FALSE)</f>
        <v>Anti-Scam</v>
      </c>
      <c r="O1042" s="1" t="str">
        <f t="shared" ref="O1042:P1042" si="1046">IF(ISBLANK(K1042),M1042,K1042)</f>
        <v>Research</v>
      </c>
      <c r="P1042" s="1" t="str">
        <f t="shared" si="1046"/>
        <v>Anti-Scam</v>
      </c>
      <c r="Q1042" s="61" t="str">
        <f t="shared" si="3"/>
        <v>2023</v>
      </c>
      <c r="R1042" s="62">
        <f t="shared" si="4"/>
        <v>8</v>
      </c>
      <c r="S1042" s="61" t="str">
        <f t="shared" si="5"/>
        <v>2023-Q3</v>
      </c>
      <c r="T1042" s="63" t="str">
        <f t="shared" si="6"/>
        <v>2023-08</v>
      </c>
      <c r="U1042" s="64" t="str">
        <f t="shared" si="7"/>
        <v>2023-H2</v>
      </c>
      <c r="V1042" s="9" t="str">
        <f>VLOOKUP(B1042,Bounties!A:E,2,FALSE)</f>
        <v>Anti-Scam Bounty</v>
      </c>
    </row>
    <row r="1043" hidden="1">
      <c r="A1043" s="67">
        <f>HYPERLINK("https://polkadot.subsquare.io/treasury/child-bounties/351", 351)</f>
        <v>351</v>
      </c>
      <c r="B1043" s="1">
        <v>11.0</v>
      </c>
      <c r="C1043" s="1" t="s">
        <v>2414</v>
      </c>
      <c r="D1043" s="1" t="s">
        <v>1647</v>
      </c>
      <c r="E1043" s="5">
        <v>48.30917874</v>
      </c>
      <c r="F1043" s="4">
        <v>240.9759466001307</v>
      </c>
      <c r="G1043" s="1" t="s">
        <v>2437</v>
      </c>
      <c r="H1043" s="95">
        <v>45139.0</v>
      </c>
      <c r="I1043" s="95">
        <v>45147.0</v>
      </c>
      <c r="J1043" s="4">
        <v>243.23603955177066</v>
      </c>
      <c r="K1043" s="1"/>
      <c r="L1043" s="1"/>
      <c r="M1043" s="1" t="str">
        <f>VLOOKUP(B1043,Bounties!A:D,3,FALSE)</f>
        <v>Research</v>
      </c>
      <c r="N1043" s="1" t="str">
        <f>VLOOKUP(B1043,Bounties!A:D,4,FALSE)</f>
        <v>Anti-Scam</v>
      </c>
      <c r="O1043" s="1" t="str">
        <f t="shared" ref="O1043:P1043" si="1047">IF(ISBLANK(K1043),M1043,K1043)</f>
        <v>Research</v>
      </c>
      <c r="P1043" s="1" t="str">
        <f t="shared" si="1047"/>
        <v>Anti-Scam</v>
      </c>
      <c r="Q1043" s="61" t="str">
        <f t="shared" si="3"/>
        <v>2023</v>
      </c>
      <c r="R1043" s="62">
        <f t="shared" si="4"/>
        <v>8</v>
      </c>
      <c r="S1043" s="61" t="str">
        <f t="shared" si="5"/>
        <v>2023-Q3</v>
      </c>
      <c r="T1043" s="63" t="str">
        <f t="shared" si="6"/>
        <v>2023-08</v>
      </c>
      <c r="U1043" s="64" t="str">
        <f t="shared" si="7"/>
        <v>2023-H2</v>
      </c>
      <c r="V1043" s="9" t="str">
        <f>VLOOKUP(B1043,Bounties!A:E,2,FALSE)</f>
        <v>Anti-Scam Bounty</v>
      </c>
    </row>
    <row r="1044" hidden="1">
      <c r="A1044" s="67">
        <f>HYPERLINK("https://polkadot.subsquare.io/treasury/child-bounties/350", 350)</f>
        <v>350</v>
      </c>
      <c r="B1044" s="1">
        <v>11.0</v>
      </c>
      <c r="C1044" s="1" t="s">
        <v>2414</v>
      </c>
      <c r="D1044" s="1" t="s">
        <v>1646</v>
      </c>
      <c r="E1044" s="5">
        <v>173.9130435</v>
      </c>
      <c r="F1044" s="4">
        <v>867.5134079400458</v>
      </c>
      <c r="G1044" s="1" t="s">
        <v>2437</v>
      </c>
      <c r="H1044" s="95">
        <v>45139.0</v>
      </c>
      <c r="I1044" s="95">
        <v>45147.0</v>
      </c>
      <c r="J1044" s="4">
        <v>875.6497425676338</v>
      </c>
      <c r="K1044" s="1"/>
      <c r="L1044" s="1"/>
      <c r="M1044" s="1" t="str">
        <f>VLOOKUP(B1044,Bounties!A:D,3,FALSE)</f>
        <v>Research</v>
      </c>
      <c r="N1044" s="1" t="str">
        <f>VLOOKUP(B1044,Bounties!A:D,4,FALSE)</f>
        <v>Anti-Scam</v>
      </c>
      <c r="O1044" s="1" t="str">
        <f t="shared" ref="O1044:P1044" si="1048">IF(ISBLANK(K1044),M1044,K1044)</f>
        <v>Research</v>
      </c>
      <c r="P1044" s="1" t="str">
        <f t="shared" si="1048"/>
        <v>Anti-Scam</v>
      </c>
      <c r="Q1044" s="61" t="str">
        <f t="shared" si="3"/>
        <v>2023</v>
      </c>
      <c r="R1044" s="62">
        <f t="shared" si="4"/>
        <v>8</v>
      </c>
      <c r="S1044" s="61" t="str">
        <f t="shared" si="5"/>
        <v>2023-Q3</v>
      </c>
      <c r="T1044" s="63" t="str">
        <f t="shared" si="6"/>
        <v>2023-08</v>
      </c>
      <c r="U1044" s="64" t="str">
        <f t="shared" si="7"/>
        <v>2023-H2</v>
      </c>
      <c r="V1044" s="9" t="str">
        <f>VLOOKUP(B1044,Bounties!A:E,2,FALSE)</f>
        <v>Anti-Scam Bounty</v>
      </c>
    </row>
    <row r="1045" hidden="1">
      <c r="A1045" s="67">
        <f>HYPERLINK("https://polkadot.subsquare.io/treasury/child-bounties/349", 349)</f>
        <v>349</v>
      </c>
      <c r="B1045" s="1">
        <v>11.0</v>
      </c>
      <c r="C1045" s="1" t="s">
        <v>2414</v>
      </c>
      <c r="D1045" s="1" t="s">
        <v>1645</v>
      </c>
      <c r="E1045" s="5">
        <v>96.61835749</v>
      </c>
      <c r="F1045" s="4">
        <v>481.9518932501434</v>
      </c>
      <c r="G1045" s="1" t="s">
        <v>2433</v>
      </c>
      <c r="H1045" s="95">
        <v>45139.0</v>
      </c>
      <c r="I1045" s="95">
        <v>45147.0</v>
      </c>
      <c r="J1045" s="4">
        <v>486.4720791538912</v>
      </c>
      <c r="K1045" s="1"/>
      <c r="L1045" s="1"/>
      <c r="M1045" s="1" t="str">
        <f>VLOOKUP(B1045,Bounties!A:D,3,FALSE)</f>
        <v>Research</v>
      </c>
      <c r="N1045" s="1" t="str">
        <f>VLOOKUP(B1045,Bounties!A:D,4,FALSE)</f>
        <v>Anti-Scam</v>
      </c>
      <c r="O1045" s="1" t="str">
        <f t="shared" ref="O1045:P1045" si="1049">IF(ISBLANK(K1045),M1045,K1045)</f>
        <v>Research</v>
      </c>
      <c r="P1045" s="1" t="str">
        <f t="shared" si="1049"/>
        <v>Anti-Scam</v>
      </c>
      <c r="Q1045" s="61" t="str">
        <f t="shared" si="3"/>
        <v>2023</v>
      </c>
      <c r="R1045" s="62">
        <f t="shared" si="4"/>
        <v>8</v>
      </c>
      <c r="S1045" s="61" t="str">
        <f t="shared" si="5"/>
        <v>2023-Q3</v>
      </c>
      <c r="T1045" s="63" t="str">
        <f t="shared" si="6"/>
        <v>2023-08</v>
      </c>
      <c r="U1045" s="64" t="str">
        <f t="shared" si="7"/>
        <v>2023-H2</v>
      </c>
      <c r="V1045" s="9" t="str">
        <f>VLOOKUP(B1045,Bounties!A:E,2,FALSE)</f>
        <v>Anti-Scam Bounty</v>
      </c>
    </row>
    <row r="1046" hidden="1">
      <c r="A1046" s="67">
        <f>HYPERLINK("https://polkadot.subsquare.io/treasury/child-bounties/348", 348)</f>
        <v>348</v>
      </c>
      <c r="B1046" s="1">
        <v>17.0</v>
      </c>
      <c r="C1046" s="1" t="s">
        <v>2414</v>
      </c>
      <c r="D1046" s="1" t="s">
        <v>1644</v>
      </c>
      <c r="E1046" s="5">
        <v>4846.0</v>
      </c>
      <c r="F1046" s="4">
        <v>25189.683395385742</v>
      </c>
      <c r="G1046" s="1" t="s">
        <v>2707</v>
      </c>
      <c r="H1046" s="95">
        <v>45136.0</v>
      </c>
      <c r="I1046" s="95">
        <v>45158.0</v>
      </c>
      <c r="J1046" s="4">
        <v>21422.804985046387</v>
      </c>
      <c r="K1046" s="1"/>
      <c r="L1046" s="1" t="s">
        <v>86</v>
      </c>
      <c r="M1046" s="1" t="str">
        <f>VLOOKUP(B1046,Bounties!A:D,3,FALSE)</f>
        <v>Outreach</v>
      </c>
      <c r="N1046" s="1" t="str">
        <f>VLOOKUP(B1046,Bounties!A:D,4,FALSE)</f>
        <v>Events/Meetups</v>
      </c>
      <c r="O1046" s="1" t="str">
        <f t="shared" ref="O1046:P1046" si="1050">IF(ISBLANK(K1046),M1046,K1046)</f>
        <v>Outreach</v>
      </c>
      <c r="P1046" s="1" t="str">
        <f t="shared" si="1050"/>
        <v>Events/Conference Attendance &amp; Side Events</v>
      </c>
      <c r="Q1046" s="61" t="str">
        <f t="shared" si="3"/>
        <v>2023</v>
      </c>
      <c r="R1046" s="62">
        <f t="shared" si="4"/>
        <v>8</v>
      </c>
      <c r="S1046" s="61" t="str">
        <f t="shared" si="5"/>
        <v>2023-Q3</v>
      </c>
      <c r="T1046" s="63" t="str">
        <f t="shared" si="6"/>
        <v>2023-08</v>
      </c>
      <c r="U1046" s="64" t="str">
        <f t="shared" si="7"/>
        <v>2023-H2</v>
      </c>
      <c r="V1046" s="9" t="str">
        <f>VLOOKUP(B1046,Bounties!A:E,2,FALSE)</f>
        <v>Events Bounty</v>
      </c>
    </row>
    <row r="1047" hidden="1">
      <c r="A1047" s="67">
        <f>HYPERLINK("https://polkadot.subsquare.io/treasury/child-bounties/347", 347)</f>
        <v>347</v>
      </c>
      <c r="B1047" s="1">
        <v>17.0</v>
      </c>
      <c r="C1047" s="1" t="s">
        <v>2414</v>
      </c>
      <c r="D1047" s="1" t="s">
        <v>1643</v>
      </c>
      <c r="E1047" s="5">
        <v>1072.0</v>
      </c>
      <c r="F1047" s="4">
        <v>5572.2947998046875</v>
      </c>
      <c r="G1047" s="1" t="s">
        <v>2552</v>
      </c>
      <c r="H1047" s="95">
        <v>45136.0</v>
      </c>
      <c r="I1047" s="95">
        <v>45146.0</v>
      </c>
      <c r="J1047" s="4">
        <v>5364.204368591309</v>
      </c>
      <c r="K1047" s="1"/>
      <c r="L1047" s="1" t="s">
        <v>86</v>
      </c>
      <c r="M1047" s="1" t="str">
        <f>VLOOKUP(B1047,Bounties!A:D,3,FALSE)</f>
        <v>Outreach</v>
      </c>
      <c r="N1047" s="1" t="str">
        <f>VLOOKUP(B1047,Bounties!A:D,4,FALSE)</f>
        <v>Events/Meetups</v>
      </c>
      <c r="O1047" s="1" t="str">
        <f t="shared" ref="O1047:P1047" si="1051">IF(ISBLANK(K1047),M1047,K1047)</f>
        <v>Outreach</v>
      </c>
      <c r="P1047" s="1" t="str">
        <f t="shared" si="1051"/>
        <v>Events/Conference Attendance &amp; Side Events</v>
      </c>
      <c r="Q1047" s="61" t="str">
        <f t="shared" si="3"/>
        <v>2023</v>
      </c>
      <c r="R1047" s="62">
        <f t="shared" si="4"/>
        <v>8</v>
      </c>
      <c r="S1047" s="61" t="str">
        <f t="shared" si="5"/>
        <v>2023-Q3</v>
      </c>
      <c r="T1047" s="63" t="str">
        <f t="shared" si="6"/>
        <v>2023-08</v>
      </c>
      <c r="U1047" s="64" t="str">
        <f t="shared" si="7"/>
        <v>2023-H2</v>
      </c>
      <c r="V1047" s="9" t="str">
        <f>VLOOKUP(B1047,Bounties!A:E,2,FALSE)</f>
        <v>Events Bounty</v>
      </c>
    </row>
    <row r="1048" hidden="1">
      <c r="A1048" s="67">
        <f>HYPERLINK("https://polkadot.subsquare.io/treasury/child-bounties/346", 346)</f>
        <v>346</v>
      </c>
      <c r="B1048" s="1">
        <v>17.0</v>
      </c>
      <c r="C1048" s="1" t="s">
        <v>2414</v>
      </c>
      <c r="D1048" s="1" t="s">
        <v>1642</v>
      </c>
      <c r="E1048" s="5">
        <v>2076.0</v>
      </c>
      <c r="F1048" s="4">
        <v>10791.123138427734</v>
      </c>
      <c r="G1048" s="1" t="s">
        <v>2708</v>
      </c>
      <c r="H1048" s="95">
        <v>45136.0</v>
      </c>
      <c r="I1048" s="95">
        <v>45147.0</v>
      </c>
      <c r="J1048" s="4">
        <v>10388.142042160034</v>
      </c>
      <c r="K1048" s="1"/>
      <c r="L1048" s="1" t="s">
        <v>86</v>
      </c>
      <c r="M1048" s="1" t="str">
        <f>VLOOKUP(B1048,Bounties!A:D,3,FALSE)</f>
        <v>Outreach</v>
      </c>
      <c r="N1048" s="1" t="str">
        <f>VLOOKUP(B1048,Bounties!A:D,4,FALSE)</f>
        <v>Events/Meetups</v>
      </c>
      <c r="O1048" s="1" t="str">
        <f t="shared" ref="O1048:P1048" si="1052">IF(ISBLANK(K1048),M1048,K1048)</f>
        <v>Outreach</v>
      </c>
      <c r="P1048" s="1" t="str">
        <f t="shared" si="1052"/>
        <v>Events/Conference Attendance &amp; Side Events</v>
      </c>
      <c r="Q1048" s="61" t="str">
        <f t="shared" si="3"/>
        <v>2023</v>
      </c>
      <c r="R1048" s="62">
        <f t="shared" si="4"/>
        <v>8</v>
      </c>
      <c r="S1048" s="61" t="str">
        <f t="shared" si="5"/>
        <v>2023-Q3</v>
      </c>
      <c r="T1048" s="63" t="str">
        <f t="shared" si="6"/>
        <v>2023-08</v>
      </c>
      <c r="U1048" s="64" t="str">
        <f t="shared" si="7"/>
        <v>2023-H2</v>
      </c>
      <c r="V1048" s="9" t="str">
        <f>VLOOKUP(B1048,Bounties!A:E,2,FALSE)</f>
        <v>Events Bounty</v>
      </c>
    </row>
    <row r="1049" hidden="1">
      <c r="A1049" s="67">
        <f>HYPERLINK("https://polkadot.subsquare.io/treasury/child-bounties/345", 345)</f>
        <v>345</v>
      </c>
      <c r="B1049" s="1">
        <v>17.0</v>
      </c>
      <c r="C1049" s="1" t="s">
        <v>2414</v>
      </c>
      <c r="D1049" s="1" t="s">
        <v>1641</v>
      </c>
      <c r="E1049" s="5">
        <v>10317.0</v>
      </c>
      <c r="F1049" s="4">
        <v>53628.13941192627</v>
      </c>
      <c r="G1049" s="1" t="s">
        <v>2622</v>
      </c>
      <c r="H1049" s="95">
        <v>45136.0</v>
      </c>
      <c r="I1049" s="95">
        <v>45148.0</v>
      </c>
      <c r="J1049" s="4">
        <v>51945.95075941086</v>
      </c>
      <c r="K1049" s="1"/>
      <c r="L1049" s="1" t="s">
        <v>86</v>
      </c>
      <c r="M1049" s="1" t="str">
        <f>VLOOKUP(B1049,Bounties!A:D,3,FALSE)</f>
        <v>Outreach</v>
      </c>
      <c r="N1049" s="1" t="str">
        <f>VLOOKUP(B1049,Bounties!A:D,4,FALSE)</f>
        <v>Events/Meetups</v>
      </c>
      <c r="O1049" s="1" t="str">
        <f t="shared" ref="O1049:P1049" si="1053">IF(ISBLANK(K1049),M1049,K1049)</f>
        <v>Outreach</v>
      </c>
      <c r="P1049" s="1" t="str">
        <f t="shared" si="1053"/>
        <v>Events/Conference Attendance &amp; Side Events</v>
      </c>
      <c r="Q1049" s="61" t="str">
        <f t="shared" si="3"/>
        <v>2023</v>
      </c>
      <c r="R1049" s="62">
        <f t="shared" si="4"/>
        <v>8</v>
      </c>
      <c r="S1049" s="61" t="str">
        <f t="shared" si="5"/>
        <v>2023-Q3</v>
      </c>
      <c r="T1049" s="63" t="str">
        <f t="shared" si="6"/>
        <v>2023-08</v>
      </c>
      <c r="U1049" s="64" t="str">
        <f t="shared" si="7"/>
        <v>2023-H2</v>
      </c>
      <c r="V1049" s="9" t="str">
        <f>VLOOKUP(B1049,Bounties!A:E,2,FALSE)</f>
        <v>Events Bounty</v>
      </c>
    </row>
    <row r="1050" hidden="1">
      <c r="A1050" s="67">
        <f>HYPERLINK("https://polkadot.subsquare.io/treasury/child-bounties/344", 344)</f>
        <v>344</v>
      </c>
      <c r="B1050" s="1">
        <v>17.0</v>
      </c>
      <c r="C1050" s="1" t="s">
        <v>2414</v>
      </c>
      <c r="D1050" s="1" t="s">
        <v>1640</v>
      </c>
      <c r="E1050" s="5">
        <v>56.8</v>
      </c>
      <c r="F1050" s="4">
        <v>295.2484558105469</v>
      </c>
      <c r="G1050" s="1" t="s">
        <v>2642</v>
      </c>
      <c r="H1050" s="95">
        <v>45136.0</v>
      </c>
      <c r="I1050" s="95">
        <v>45229.0</v>
      </c>
      <c r="J1050" s="4">
        <v>268.715678024292</v>
      </c>
      <c r="K1050" s="1"/>
      <c r="L1050" s="1"/>
      <c r="M1050" s="1" t="str">
        <f>VLOOKUP(B1050,Bounties!A:D,3,FALSE)</f>
        <v>Outreach</v>
      </c>
      <c r="N1050" s="1" t="str">
        <f>VLOOKUP(B1050,Bounties!A:D,4,FALSE)</f>
        <v>Events/Meetups</v>
      </c>
      <c r="O1050" s="1" t="str">
        <f t="shared" ref="O1050:P1050" si="1054">IF(ISBLANK(K1050),M1050,K1050)</f>
        <v>Outreach</v>
      </c>
      <c r="P1050" s="1" t="str">
        <f t="shared" si="1054"/>
        <v>Events/Meetups</v>
      </c>
      <c r="Q1050" s="61" t="str">
        <f t="shared" si="3"/>
        <v>2023</v>
      </c>
      <c r="R1050" s="62">
        <f t="shared" si="4"/>
        <v>10</v>
      </c>
      <c r="S1050" s="61" t="str">
        <f t="shared" si="5"/>
        <v>2023-Q4</v>
      </c>
      <c r="T1050" s="63" t="str">
        <f t="shared" si="6"/>
        <v>2023-10</v>
      </c>
      <c r="U1050" s="64" t="str">
        <f t="shared" si="7"/>
        <v>2023-H2</v>
      </c>
      <c r="V1050" s="9" t="str">
        <f>VLOOKUP(B1050,Bounties!A:E,2,FALSE)</f>
        <v>Events Bounty</v>
      </c>
    </row>
    <row r="1051" hidden="1">
      <c r="A1051" s="67">
        <f>HYPERLINK("https://polkadot.subsquare.io/treasury/child-bounties/343", 343)</f>
        <v>343</v>
      </c>
      <c r="B1051" s="1">
        <v>17.0</v>
      </c>
      <c r="C1051" s="1" t="s">
        <v>2414</v>
      </c>
      <c r="D1051" s="1" t="s">
        <v>1639</v>
      </c>
      <c r="E1051" s="5">
        <v>265.2</v>
      </c>
      <c r="F1051" s="4">
        <v>1378.5191986083985</v>
      </c>
      <c r="G1051" s="1" t="s">
        <v>2709</v>
      </c>
      <c r="H1051" s="95">
        <v>45136.0</v>
      </c>
      <c r="I1051" s="95">
        <v>45153.0</v>
      </c>
      <c r="J1051" s="4">
        <v>1196.5336097717284</v>
      </c>
      <c r="K1051" s="1"/>
      <c r="L1051" s="1" t="s">
        <v>86</v>
      </c>
      <c r="M1051" s="1" t="str">
        <f>VLOOKUP(B1051,Bounties!A:D,3,FALSE)</f>
        <v>Outreach</v>
      </c>
      <c r="N1051" s="1" t="str">
        <f>VLOOKUP(B1051,Bounties!A:D,4,FALSE)</f>
        <v>Events/Meetups</v>
      </c>
      <c r="O1051" s="1" t="str">
        <f t="shared" ref="O1051:P1051" si="1055">IF(ISBLANK(K1051),M1051,K1051)</f>
        <v>Outreach</v>
      </c>
      <c r="P1051" s="1" t="str">
        <f t="shared" si="1055"/>
        <v>Events/Conference Attendance &amp; Side Events</v>
      </c>
      <c r="Q1051" s="61" t="str">
        <f t="shared" si="3"/>
        <v>2023</v>
      </c>
      <c r="R1051" s="62">
        <f t="shared" si="4"/>
        <v>8</v>
      </c>
      <c r="S1051" s="61" t="str">
        <f t="shared" si="5"/>
        <v>2023-Q3</v>
      </c>
      <c r="T1051" s="63" t="str">
        <f t="shared" si="6"/>
        <v>2023-08</v>
      </c>
      <c r="U1051" s="64" t="str">
        <f t="shared" si="7"/>
        <v>2023-H2</v>
      </c>
      <c r="V1051" s="9" t="str">
        <f>VLOOKUP(B1051,Bounties!A:E,2,FALSE)</f>
        <v>Events Bounty</v>
      </c>
    </row>
    <row r="1052" hidden="1">
      <c r="A1052" s="67">
        <f>HYPERLINK("https://polkadot.subsquare.io/treasury/child-bounties/342", 342)</f>
        <v>342</v>
      </c>
      <c r="B1052" s="1">
        <v>17.0</v>
      </c>
      <c r="C1052" s="1" t="s">
        <v>2414</v>
      </c>
      <c r="D1052" s="1" t="s">
        <v>1638</v>
      </c>
      <c r="E1052" s="5">
        <v>571.8</v>
      </c>
      <c r="F1052" s="4">
        <v>2972.2370956420896</v>
      </c>
      <c r="G1052" s="1" t="s">
        <v>2524</v>
      </c>
      <c r="H1052" s="95">
        <v>45136.0</v>
      </c>
      <c r="I1052" s="95">
        <v>45157.0</v>
      </c>
      <c r="J1052" s="4">
        <v>2535.156989765167</v>
      </c>
      <c r="K1052" s="1"/>
      <c r="L1052" s="1"/>
      <c r="M1052" s="1" t="str">
        <f>VLOOKUP(B1052,Bounties!A:D,3,FALSE)</f>
        <v>Outreach</v>
      </c>
      <c r="N1052" s="1" t="str">
        <f>VLOOKUP(B1052,Bounties!A:D,4,FALSE)</f>
        <v>Events/Meetups</v>
      </c>
      <c r="O1052" s="1" t="str">
        <f t="shared" ref="O1052:P1052" si="1056">IF(ISBLANK(K1052),M1052,K1052)</f>
        <v>Outreach</v>
      </c>
      <c r="P1052" s="1" t="str">
        <f t="shared" si="1056"/>
        <v>Events/Meetups</v>
      </c>
      <c r="Q1052" s="61" t="str">
        <f t="shared" si="3"/>
        <v>2023</v>
      </c>
      <c r="R1052" s="62">
        <f t="shared" si="4"/>
        <v>8</v>
      </c>
      <c r="S1052" s="61" t="str">
        <f t="shared" si="5"/>
        <v>2023-Q3</v>
      </c>
      <c r="T1052" s="63" t="str">
        <f t="shared" si="6"/>
        <v>2023-08</v>
      </c>
      <c r="U1052" s="64" t="str">
        <f t="shared" si="7"/>
        <v>2023-H2</v>
      </c>
      <c r="V1052" s="9" t="str">
        <f>VLOOKUP(B1052,Bounties!A:E,2,FALSE)</f>
        <v>Events Bounty</v>
      </c>
    </row>
    <row r="1053" hidden="1">
      <c r="A1053" s="67">
        <f>HYPERLINK("https://polkadot.subsquare.io/treasury/child-bounties/341", 341)</f>
        <v>341</v>
      </c>
      <c r="B1053" s="1">
        <v>10.0</v>
      </c>
      <c r="C1053" s="1" t="s">
        <v>2414</v>
      </c>
      <c r="D1053" s="1" t="s">
        <v>1637</v>
      </c>
      <c r="E1053" s="5">
        <v>2200.0</v>
      </c>
      <c r="F1053" s="4">
        <v>11476.902770996094</v>
      </c>
      <c r="G1053" s="1" t="s">
        <v>2710</v>
      </c>
      <c r="H1053" s="95">
        <v>45132.0</v>
      </c>
      <c r="I1053" s="95">
        <v>45142.0</v>
      </c>
      <c r="J1053" s="4">
        <v>10995.967483520508</v>
      </c>
      <c r="K1053" s="1"/>
      <c r="L1053" s="1"/>
      <c r="M1053" s="1" t="str">
        <f>VLOOKUP(B1053,Bounties!A:D,3,FALSE)</f>
        <v>Talent &amp; Education</v>
      </c>
      <c r="N1053" s="1" t="str">
        <f>VLOOKUP(B1053,Bounties!A:D,4,FALSE)</f>
        <v>Incubation</v>
      </c>
      <c r="O1053" s="1" t="str">
        <f t="shared" ref="O1053:P1053" si="1057">IF(ISBLANK(K1053),M1053,K1053)</f>
        <v>Talent &amp; Education</v>
      </c>
      <c r="P1053" s="1" t="str">
        <f t="shared" si="1057"/>
        <v>Incubation</v>
      </c>
      <c r="Q1053" s="61" t="str">
        <f t="shared" si="3"/>
        <v>2023</v>
      </c>
      <c r="R1053" s="62">
        <f t="shared" si="4"/>
        <v>8</v>
      </c>
      <c r="S1053" s="61" t="str">
        <f t="shared" si="5"/>
        <v>2023-Q3</v>
      </c>
      <c r="T1053" s="63" t="str">
        <f t="shared" si="6"/>
        <v>2023-08</v>
      </c>
      <c r="U1053" s="64" t="str">
        <f t="shared" si="7"/>
        <v>2023-H2</v>
      </c>
      <c r="V1053" s="9" t="str">
        <f>VLOOKUP(B1053,Bounties!A:E,2,FALSE)</f>
        <v>Polkadot Pioneers Bounty</v>
      </c>
    </row>
    <row r="1054" hidden="1">
      <c r="A1054" s="67">
        <f>HYPERLINK("https://polkadot.subsquare.io/treasury/child-bounties/340", 340)</f>
        <v>340</v>
      </c>
      <c r="B1054" s="1">
        <v>17.0</v>
      </c>
      <c r="C1054" s="1" t="s">
        <v>2414</v>
      </c>
      <c r="D1054" s="1" t="s">
        <v>1636</v>
      </c>
      <c r="E1054" s="5">
        <v>29.5</v>
      </c>
      <c r="F1054" s="4">
        <v>153.31397652626038</v>
      </c>
      <c r="G1054" s="1" t="s">
        <v>2711</v>
      </c>
      <c r="H1054" s="95">
        <v>45123.0</v>
      </c>
      <c r="I1054" s="95">
        <v>45142.0</v>
      </c>
      <c r="J1054" s="4">
        <v>146.33658576011658</v>
      </c>
      <c r="K1054" s="1"/>
      <c r="L1054" s="1"/>
      <c r="M1054" s="1" t="str">
        <f>VLOOKUP(B1054,Bounties!A:D,3,FALSE)</f>
        <v>Outreach</v>
      </c>
      <c r="N1054" s="1" t="str">
        <f>VLOOKUP(B1054,Bounties!A:D,4,FALSE)</f>
        <v>Events/Meetups</v>
      </c>
      <c r="O1054" s="1" t="str">
        <f t="shared" ref="O1054:P1054" si="1058">IF(ISBLANK(K1054),M1054,K1054)</f>
        <v>Outreach</v>
      </c>
      <c r="P1054" s="1" t="str">
        <f t="shared" si="1058"/>
        <v>Events/Meetups</v>
      </c>
      <c r="Q1054" s="61" t="str">
        <f t="shared" si="3"/>
        <v>2023</v>
      </c>
      <c r="R1054" s="62">
        <f t="shared" si="4"/>
        <v>8</v>
      </c>
      <c r="S1054" s="61" t="str">
        <f t="shared" si="5"/>
        <v>2023-Q3</v>
      </c>
      <c r="T1054" s="63" t="str">
        <f t="shared" si="6"/>
        <v>2023-08</v>
      </c>
      <c r="U1054" s="64" t="str">
        <f t="shared" si="7"/>
        <v>2023-H2</v>
      </c>
      <c r="V1054" s="9" t="str">
        <f>VLOOKUP(B1054,Bounties!A:E,2,FALSE)</f>
        <v>Events Bounty</v>
      </c>
    </row>
    <row r="1055" hidden="1">
      <c r="A1055" s="67">
        <f>HYPERLINK("https://polkadot.subsquare.io/treasury/child-bounties/339", 339)</f>
        <v>339</v>
      </c>
      <c r="B1055" s="1">
        <v>17.0</v>
      </c>
      <c r="C1055" s="1" t="s">
        <v>2414</v>
      </c>
      <c r="D1055" s="1" t="s">
        <v>1635</v>
      </c>
      <c r="E1055" s="5">
        <v>107.7</v>
      </c>
      <c r="F1055" s="4">
        <v>559.7259414196014</v>
      </c>
      <c r="G1055" s="1" t="s">
        <v>2659</v>
      </c>
      <c r="H1055" s="95">
        <v>45123.0</v>
      </c>
      <c r="I1055" s="95">
        <v>45140.0</v>
      </c>
      <c r="J1055" s="4">
        <v>535.1840356349945</v>
      </c>
      <c r="K1055" s="1"/>
      <c r="L1055" s="1"/>
      <c r="M1055" s="1" t="str">
        <f>VLOOKUP(B1055,Bounties!A:D,3,FALSE)</f>
        <v>Outreach</v>
      </c>
      <c r="N1055" s="1" t="str">
        <f>VLOOKUP(B1055,Bounties!A:D,4,FALSE)</f>
        <v>Events/Meetups</v>
      </c>
      <c r="O1055" s="1" t="str">
        <f t="shared" ref="O1055:P1055" si="1059">IF(ISBLANK(K1055),M1055,K1055)</f>
        <v>Outreach</v>
      </c>
      <c r="P1055" s="1" t="str">
        <f t="shared" si="1059"/>
        <v>Events/Meetups</v>
      </c>
      <c r="Q1055" s="61" t="str">
        <f t="shared" si="3"/>
        <v>2023</v>
      </c>
      <c r="R1055" s="62">
        <f t="shared" si="4"/>
        <v>8</v>
      </c>
      <c r="S1055" s="61" t="str">
        <f t="shared" si="5"/>
        <v>2023-Q3</v>
      </c>
      <c r="T1055" s="63" t="str">
        <f t="shared" si="6"/>
        <v>2023-08</v>
      </c>
      <c r="U1055" s="64" t="str">
        <f t="shared" si="7"/>
        <v>2023-H2</v>
      </c>
      <c r="V1055" s="9" t="str">
        <f>VLOOKUP(B1055,Bounties!A:E,2,FALSE)</f>
        <v>Events Bounty</v>
      </c>
    </row>
    <row r="1056" hidden="1">
      <c r="A1056" s="67">
        <f>HYPERLINK("https://polkadot.subsquare.io/treasury/child-bounties/338", 338)</f>
        <v>338</v>
      </c>
      <c r="B1056" s="1">
        <v>17.0</v>
      </c>
      <c r="C1056" s="1" t="s">
        <v>2414</v>
      </c>
      <c r="D1056" s="1" t="s">
        <v>1634</v>
      </c>
      <c r="E1056" s="5">
        <v>169.6</v>
      </c>
      <c r="F1056" s="4">
        <v>881.4254379272461</v>
      </c>
      <c r="G1056" s="1" t="s">
        <v>2712</v>
      </c>
      <c r="H1056" s="95">
        <v>45123.0</v>
      </c>
      <c r="I1056" s="95">
        <v>45185.0</v>
      </c>
      <c r="J1056" s="4">
        <v>704.8986251831054</v>
      </c>
      <c r="K1056" s="1"/>
      <c r="L1056" s="1"/>
      <c r="M1056" s="1" t="str">
        <f>VLOOKUP(B1056,Bounties!A:D,3,FALSE)</f>
        <v>Outreach</v>
      </c>
      <c r="N1056" s="1" t="str">
        <f>VLOOKUP(B1056,Bounties!A:D,4,FALSE)</f>
        <v>Events/Meetups</v>
      </c>
      <c r="O1056" s="1" t="str">
        <f t="shared" ref="O1056:P1056" si="1060">IF(ISBLANK(K1056),M1056,K1056)</f>
        <v>Outreach</v>
      </c>
      <c r="P1056" s="1" t="str">
        <f t="shared" si="1060"/>
        <v>Events/Meetups</v>
      </c>
      <c r="Q1056" s="61" t="str">
        <f t="shared" si="3"/>
        <v>2023</v>
      </c>
      <c r="R1056" s="62">
        <f t="shared" si="4"/>
        <v>9</v>
      </c>
      <c r="S1056" s="61" t="str">
        <f t="shared" si="5"/>
        <v>2023-Q3</v>
      </c>
      <c r="T1056" s="63" t="str">
        <f t="shared" si="6"/>
        <v>2023-09</v>
      </c>
      <c r="U1056" s="64" t="str">
        <f t="shared" si="7"/>
        <v>2023-H2</v>
      </c>
      <c r="V1056" s="9" t="str">
        <f>VLOOKUP(B1056,Bounties!A:E,2,FALSE)</f>
        <v>Events Bounty</v>
      </c>
    </row>
    <row r="1057" hidden="1">
      <c r="A1057" s="67">
        <f>HYPERLINK("https://polkadot.subsquare.io/treasury/child-bounties/337", 337)</f>
        <v>337</v>
      </c>
      <c r="B1057" s="1">
        <v>17.0</v>
      </c>
      <c r="C1057" s="1" t="s">
        <v>2414</v>
      </c>
      <c r="D1057" s="1" t="s">
        <v>1633</v>
      </c>
      <c r="E1057" s="5">
        <v>8137.02</v>
      </c>
      <c r="F1057" s="4">
        <v>42288.77604317665</v>
      </c>
      <c r="G1057" s="1" t="s">
        <v>2713</v>
      </c>
      <c r="H1057" s="95">
        <v>45123.0</v>
      </c>
      <c r="I1057" s="95">
        <v>45144.0</v>
      </c>
      <c r="J1057" s="4">
        <v>41126.77585261345</v>
      </c>
      <c r="K1057" s="1"/>
      <c r="L1057" s="1" t="s">
        <v>86</v>
      </c>
      <c r="M1057" s="1" t="str">
        <f>VLOOKUP(B1057,Bounties!A:D,3,FALSE)</f>
        <v>Outreach</v>
      </c>
      <c r="N1057" s="1" t="str">
        <f>VLOOKUP(B1057,Bounties!A:D,4,FALSE)</f>
        <v>Events/Meetups</v>
      </c>
      <c r="O1057" s="1" t="str">
        <f t="shared" ref="O1057:P1057" si="1061">IF(ISBLANK(K1057),M1057,K1057)</f>
        <v>Outreach</v>
      </c>
      <c r="P1057" s="1" t="str">
        <f t="shared" si="1061"/>
        <v>Events/Conference Attendance &amp; Side Events</v>
      </c>
      <c r="Q1057" s="61" t="str">
        <f t="shared" si="3"/>
        <v>2023</v>
      </c>
      <c r="R1057" s="62">
        <f t="shared" si="4"/>
        <v>8</v>
      </c>
      <c r="S1057" s="61" t="str">
        <f t="shared" si="5"/>
        <v>2023-Q3</v>
      </c>
      <c r="T1057" s="63" t="str">
        <f t="shared" si="6"/>
        <v>2023-08</v>
      </c>
      <c r="U1057" s="64" t="str">
        <f t="shared" si="7"/>
        <v>2023-H2</v>
      </c>
      <c r="V1057" s="9" t="str">
        <f>VLOOKUP(B1057,Bounties!A:E,2,FALSE)</f>
        <v>Events Bounty</v>
      </c>
    </row>
    <row r="1058" hidden="1">
      <c r="A1058" s="67">
        <f>HYPERLINK("https://polkadot.subsquare.io/treasury/child-bounties/336", 336)</f>
        <v>336</v>
      </c>
      <c r="B1058" s="1">
        <v>17.0</v>
      </c>
      <c r="C1058" s="1" t="s">
        <v>2414</v>
      </c>
      <c r="D1058" s="1" t="s">
        <v>1632</v>
      </c>
      <c r="E1058" s="5">
        <v>10133.0</v>
      </c>
      <c r="F1058" s="4">
        <v>51830.07041835785</v>
      </c>
      <c r="G1058" s="1" t="s">
        <v>2714</v>
      </c>
      <c r="H1058" s="95">
        <v>45112.0</v>
      </c>
      <c r="I1058" s="95">
        <v>45122.0</v>
      </c>
      <c r="J1058" s="4">
        <v>52481.555284023285</v>
      </c>
      <c r="K1058" s="1"/>
      <c r="L1058" s="1" t="s">
        <v>86</v>
      </c>
      <c r="M1058" s="1" t="str">
        <f>VLOOKUP(B1058,Bounties!A:D,3,FALSE)</f>
        <v>Outreach</v>
      </c>
      <c r="N1058" s="1" t="str">
        <f>VLOOKUP(B1058,Bounties!A:D,4,FALSE)</f>
        <v>Events/Meetups</v>
      </c>
      <c r="O1058" s="1" t="str">
        <f t="shared" ref="O1058:P1058" si="1062">IF(ISBLANK(K1058),M1058,K1058)</f>
        <v>Outreach</v>
      </c>
      <c r="P1058" s="1" t="str">
        <f t="shared" si="1062"/>
        <v>Events/Conference Attendance &amp; Side Events</v>
      </c>
      <c r="Q1058" s="61" t="str">
        <f t="shared" si="3"/>
        <v>2023</v>
      </c>
      <c r="R1058" s="62">
        <f t="shared" si="4"/>
        <v>7</v>
      </c>
      <c r="S1058" s="61" t="str">
        <f t="shared" si="5"/>
        <v>2023-Q3</v>
      </c>
      <c r="T1058" s="63" t="str">
        <f t="shared" si="6"/>
        <v>2023-07</v>
      </c>
      <c r="U1058" s="64" t="str">
        <f t="shared" si="7"/>
        <v>2023-H2</v>
      </c>
      <c r="V1058" s="9" t="str">
        <f>VLOOKUP(B1058,Bounties!A:E,2,FALSE)</f>
        <v>Events Bounty</v>
      </c>
    </row>
    <row r="1059" hidden="1">
      <c r="A1059" s="67">
        <f>HYPERLINK("https://polkadot.subsquare.io/treasury/child-bounties/335", 335)</f>
        <v>335</v>
      </c>
      <c r="B1059" s="1">
        <v>11.0</v>
      </c>
      <c r="C1059" s="1" t="s">
        <v>2414</v>
      </c>
      <c r="D1059" s="1" t="s">
        <v>1631</v>
      </c>
      <c r="E1059" s="5">
        <v>76.5843385027</v>
      </c>
      <c r="F1059" s="4">
        <v>398.9364825600255</v>
      </c>
      <c r="G1059" s="1" t="s">
        <v>2437</v>
      </c>
      <c r="H1059" s="95">
        <v>45109.0</v>
      </c>
      <c r="I1059" s="95">
        <v>45117.0</v>
      </c>
      <c r="J1059" s="4">
        <v>424.695001258844</v>
      </c>
      <c r="K1059" s="1"/>
      <c r="L1059" s="1"/>
      <c r="M1059" s="1" t="str">
        <f>VLOOKUP(B1059,Bounties!A:D,3,FALSE)</f>
        <v>Research</v>
      </c>
      <c r="N1059" s="1" t="str">
        <f>VLOOKUP(B1059,Bounties!A:D,4,FALSE)</f>
        <v>Anti-Scam</v>
      </c>
      <c r="O1059" s="1" t="str">
        <f t="shared" ref="O1059:P1059" si="1063">IF(ISBLANK(K1059),M1059,K1059)</f>
        <v>Research</v>
      </c>
      <c r="P1059" s="1" t="str">
        <f t="shared" si="1063"/>
        <v>Anti-Scam</v>
      </c>
      <c r="Q1059" s="61" t="str">
        <f t="shared" si="3"/>
        <v>2023</v>
      </c>
      <c r="R1059" s="62">
        <f t="shared" si="4"/>
        <v>7</v>
      </c>
      <c r="S1059" s="61" t="str">
        <f t="shared" si="5"/>
        <v>2023-Q3</v>
      </c>
      <c r="T1059" s="63" t="str">
        <f t="shared" si="6"/>
        <v>2023-07</v>
      </c>
      <c r="U1059" s="64" t="str">
        <f t="shared" si="7"/>
        <v>2023-H2</v>
      </c>
      <c r="V1059" s="9" t="str">
        <f>VLOOKUP(B1059,Bounties!A:E,2,FALSE)</f>
        <v>Anti-Scam Bounty</v>
      </c>
    </row>
    <row r="1060" hidden="1">
      <c r="A1060" s="67">
        <f>HYPERLINK("https://polkadot.subsquare.io/treasury/child-bounties/334", 334)</f>
        <v>334</v>
      </c>
      <c r="B1060" s="1">
        <v>11.0</v>
      </c>
      <c r="C1060" s="1" t="s">
        <v>2414</v>
      </c>
      <c r="D1060" s="1" t="s">
        <v>1630</v>
      </c>
      <c r="E1060" s="5">
        <v>76.5843385027</v>
      </c>
      <c r="F1060" s="4">
        <v>398.9364825600255</v>
      </c>
      <c r="G1060" s="1" t="s">
        <v>2463</v>
      </c>
      <c r="H1060" s="95">
        <v>45109.0</v>
      </c>
      <c r="I1060" s="95">
        <v>45118.0</v>
      </c>
      <c r="J1060" s="4">
        <v>424.695001258844</v>
      </c>
      <c r="K1060" s="1"/>
      <c r="L1060" s="1"/>
      <c r="M1060" s="1" t="str">
        <f>VLOOKUP(B1060,Bounties!A:D,3,FALSE)</f>
        <v>Research</v>
      </c>
      <c r="N1060" s="1" t="str">
        <f>VLOOKUP(B1060,Bounties!A:D,4,FALSE)</f>
        <v>Anti-Scam</v>
      </c>
      <c r="O1060" s="1" t="str">
        <f t="shared" ref="O1060:P1060" si="1064">IF(ISBLANK(K1060),M1060,K1060)</f>
        <v>Research</v>
      </c>
      <c r="P1060" s="1" t="str">
        <f t="shared" si="1064"/>
        <v>Anti-Scam</v>
      </c>
      <c r="Q1060" s="61" t="str">
        <f t="shared" si="3"/>
        <v>2023</v>
      </c>
      <c r="R1060" s="62">
        <f t="shared" si="4"/>
        <v>7</v>
      </c>
      <c r="S1060" s="61" t="str">
        <f t="shared" si="5"/>
        <v>2023-Q3</v>
      </c>
      <c r="T1060" s="63" t="str">
        <f t="shared" si="6"/>
        <v>2023-07</v>
      </c>
      <c r="U1060" s="64" t="str">
        <f t="shared" si="7"/>
        <v>2023-H2</v>
      </c>
      <c r="V1060" s="9" t="str">
        <f>VLOOKUP(B1060,Bounties!A:E,2,FALSE)</f>
        <v>Anti-Scam Bounty</v>
      </c>
    </row>
    <row r="1061" hidden="1">
      <c r="A1061" s="67">
        <f>HYPERLINK("https://polkadot.subsquare.io/treasury/child-bounties/333", 333)</f>
        <v>333</v>
      </c>
      <c r="B1061" s="1">
        <v>11.0</v>
      </c>
      <c r="C1061" s="1" t="s">
        <v>2414</v>
      </c>
      <c r="D1061" s="1" t="s">
        <v>1629</v>
      </c>
      <c r="E1061" s="5">
        <v>76.5843385027</v>
      </c>
      <c r="F1061" s="4">
        <v>398.9364825600255</v>
      </c>
      <c r="G1061" s="1" t="s">
        <v>2438</v>
      </c>
      <c r="H1061" s="95">
        <v>45109.0</v>
      </c>
      <c r="I1061" s="95">
        <v>45118.0</v>
      </c>
      <c r="J1061" s="4">
        <v>417.582157491743</v>
      </c>
      <c r="K1061" s="1"/>
      <c r="L1061" s="1"/>
      <c r="M1061" s="1" t="str">
        <f>VLOOKUP(B1061,Bounties!A:D,3,FALSE)</f>
        <v>Research</v>
      </c>
      <c r="N1061" s="1" t="str">
        <f>VLOOKUP(B1061,Bounties!A:D,4,FALSE)</f>
        <v>Anti-Scam</v>
      </c>
      <c r="O1061" s="1" t="str">
        <f t="shared" ref="O1061:P1061" si="1065">IF(ISBLANK(K1061),M1061,K1061)</f>
        <v>Research</v>
      </c>
      <c r="P1061" s="1" t="str">
        <f t="shared" si="1065"/>
        <v>Anti-Scam</v>
      </c>
      <c r="Q1061" s="61" t="str">
        <f t="shared" si="3"/>
        <v>2023</v>
      </c>
      <c r="R1061" s="62">
        <f t="shared" si="4"/>
        <v>7</v>
      </c>
      <c r="S1061" s="61" t="str">
        <f t="shared" si="5"/>
        <v>2023-Q3</v>
      </c>
      <c r="T1061" s="63" t="str">
        <f t="shared" si="6"/>
        <v>2023-07</v>
      </c>
      <c r="U1061" s="64" t="str">
        <f t="shared" si="7"/>
        <v>2023-H2</v>
      </c>
      <c r="V1061" s="9" t="str">
        <f>VLOOKUP(B1061,Bounties!A:E,2,FALSE)</f>
        <v>Anti-Scam Bounty</v>
      </c>
    </row>
    <row r="1062" hidden="1">
      <c r="A1062" s="67">
        <f>HYPERLINK("https://polkadot.subsquare.io/treasury/child-bounties/332", 332)</f>
        <v>332</v>
      </c>
      <c r="B1062" s="1">
        <v>11.0</v>
      </c>
      <c r="C1062" s="1" t="s">
        <v>2414</v>
      </c>
      <c r="D1062" s="1" t="s">
        <v>1628</v>
      </c>
      <c r="E1062" s="5">
        <v>89.0292935095</v>
      </c>
      <c r="F1062" s="4">
        <v>463.7636609766091</v>
      </c>
      <c r="G1062" s="1" t="s">
        <v>2438</v>
      </c>
      <c r="H1062" s="95">
        <v>45109.0</v>
      </c>
      <c r="I1062" s="95">
        <v>45118.0</v>
      </c>
      <c r="J1062" s="4">
        <v>485.43925808475774</v>
      </c>
      <c r="K1062" s="1"/>
      <c r="L1062" s="1"/>
      <c r="M1062" s="1" t="str">
        <f>VLOOKUP(B1062,Bounties!A:D,3,FALSE)</f>
        <v>Research</v>
      </c>
      <c r="N1062" s="1" t="str">
        <f>VLOOKUP(B1062,Bounties!A:D,4,FALSE)</f>
        <v>Anti-Scam</v>
      </c>
      <c r="O1062" s="1" t="str">
        <f t="shared" ref="O1062:P1062" si="1066">IF(ISBLANK(K1062),M1062,K1062)</f>
        <v>Research</v>
      </c>
      <c r="P1062" s="1" t="str">
        <f t="shared" si="1066"/>
        <v>Anti-Scam</v>
      </c>
      <c r="Q1062" s="61" t="str">
        <f t="shared" si="3"/>
        <v>2023</v>
      </c>
      <c r="R1062" s="62">
        <f t="shared" si="4"/>
        <v>7</v>
      </c>
      <c r="S1062" s="61" t="str">
        <f t="shared" si="5"/>
        <v>2023-Q3</v>
      </c>
      <c r="T1062" s="63" t="str">
        <f t="shared" si="6"/>
        <v>2023-07</v>
      </c>
      <c r="U1062" s="64" t="str">
        <f t="shared" si="7"/>
        <v>2023-H2</v>
      </c>
      <c r="V1062" s="9" t="str">
        <f>VLOOKUP(B1062,Bounties!A:E,2,FALSE)</f>
        <v>Anti-Scam Bounty</v>
      </c>
    </row>
    <row r="1063" hidden="1">
      <c r="A1063" s="67">
        <f>HYPERLINK("https://polkadot.subsquare.io/treasury/child-bounties/331", 331)</f>
        <v>331</v>
      </c>
      <c r="B1063" s="1">
        <v>11.0</v>
      </c>
      <c r="C1063" s="1" t="s">
        <v>2414</v>
      </c>
      <c r="D1063" s="1" t="s">
        <v>1627</v>
      </c>
      <c r="E1063" s="5">
        <v>104.34616121</v>
      </c>
      <c r="F1063" s="4">
        <v>543.550957488406</v>
      </c>
      <c r="G1063" s="1" t="s">
        <v>2437</v>
      </c>
      <c r="H1063" s="95">
        <v>45109.0</v>
      </c>
      <c r="I1063" s="95">
        <v>45118.0</v>
      </c>
      <c r="J1063" s="4">
        <v>568.9556895828883</v>
      </c>
      <c r="K1063" s="1"/>
      <c r="L1063" s="1"/>
      <c r="M1063" s="1" t="str">
        <f>VLOOKUP(B1063,Bounties!A:D,3,FALSE)</f>
        <v>Research</v>
      </c>
      <c r="N1063" s="1" t="str">
        <f>VLOOKUP(B1063,Bounties!A:D,4,FALSE)</f>
        <v>Anti-Scam</v>
      </c>
      <c r="O1063" s="1" t="str">
        <f t="shared" ref="O1063:P1063" si="1067">IF(ISBLANK(K1063),M1063,K1063)</f>
        <v>Research</v>
      </c>
      <c r="P1063" s="1" t="str">
        <f t="shared" si="1067"/>
        <v>Anti-Scam</v>
      </c>
      <c r="Q1063" s="61" t="str">
        <f t="shared" si="3"/>
        <v>2023</v>
      </c>
      <c r="R1063" s="62">
        <f t="shared" si="4"/>
        <v>7</v>
      </c>
      <c r="S1063" s="61" t="str">
        <f t="shared" si="5"/>
        <v>2023-Q3</v>
      </c>
      <c r="T1063" s="63" t="str">
        <f t="shared" si="6"/>
        <v>2023-07</v>
      </c>
      <c r="U1063" s="64" t="str">
        <f t="shared" si="7"/>
        <v>2023-H2</v>
      </c>
      <c r="V1063" s="9" t="str">
        <f>VLOOKUP(B1063,Bounties!A:E,2,FALSE)</f>
        <v>Anti-Scam Bounty</v>
      </c>
    </row>
    <row r="1064" hidden="1">
      <c r="A1064" s="67">
        <f>HYPERLINK("https://polkadot.subsquare.io/treasury/child-bounties/330", 330)</f>
        <v>330</v>
      </c>
      <c r="B1064" s="1">
        <v>11.0</v>
      </c>
      <c r="C1064" s="1" t="s">
        <v>2414</v>
      </c>
      <c r="D1064" s="1" t="s">
        <v>1626</v>
      </c>
      <c r="E1064" s="5">
        <v>140.1050788091</v>
      </c>
      <c r="F1064" s="4">
        <v>749.1726716637455</v>
      </c>
      <c r="G1064" s="1" t="s">
        <v>2438</v>
      </c>
      <c r="H1064" s="95">
        <v>45109.0</v>
      </c>
      <c r="I1064" s="95">
        <v>45117.0</v>
      </c>
      <c r="J1064" s="4">
        <v>776.9464068571069</v>
      </c>
      <c r="K1064" s="1"/>
      <c r="L1064" s="1"/>
      <c r="M1064" s="1" t="str">
        <f>VLOOKUP(B1064,Bounties!A:D,3,FALSE)</f>
        <v>Research</v>
      </c>
      <c r="N1064" s="1" t="str">
        <f>VLOOKUP(B1064,Bounties!A:D,4,FALSE)</f>
        <v>Anti-Scam</v>
      </c>
      <c r="O1064" s="1" t="str">
        <f t="shared" ref="O1064:P1064" si="1068">IF(ISBLANK(K1064),M1064,K1064)</f>
        <v>Research</v>
      </c>
      <c r="P1064" s="1" t="str">
        <f t="shared" si="1068"/>
        <v>Anti-Scam</v>
      </c>
      <c r="Q1064" s="61" t="str">
        <f t="shared" si="3"/>
        <v>2023</v>
      </c>
      <c r="R1064" s="62">
        <f t="shared" si="4"/>
        <v>7</v>
      </c>
      <c r="S1064" s="61" t="str">
        <f t="shared" si="5"/>
        <v>2023-Q3</v>
      </c>
      <c r="T1064" s="63" t="str">
        <f t="shared" si="6"/>
        <v>2023-07</v>
      </c>
      <c r="U1064" s="64" t="str">
        <f t="shared" si="7"/>
        <v>2023-H2</v>
      </c>
      <c r="V1064" s="9" t="str">
        <f>VLOOKUP(B1064,Bounties!A:E,2,FALSE)</f>
        <v>Anti-Scam Bounty</v>
      </c>
    </row>
    <row r="1065" hidden="1">
      <c r="A1065" s="67">
        <f>HYPERLINK("https://polkadot.subsquare.io/treasury/child-bounties/329", 329)</f>
        <v>329</v>
      </c>
      <c r="B1065" s="1">
        <v>11.0</v>
      </c>
      <c r="C1065" s="1" t="s">
        <v>2414</v>
      </c>
      <c r="D1065" s="1" t="s">
        <v>1625</v>
      </c>
      <c r="E1065" s="5">
        <v>163.4559252773</v>
      </c>
      <c r="F1065" s="4">
        <v>874.0347836077922</v>
      </c>
      <c r="G1065" s="1" t="s">
        <v>2534</v>
      </c>
      <c r="H1065" s="95">
        <v>45109.0</v>
      </c>
      <c r="I1065" s="95">
        <v>45117.0</v>
      </c>
      <c r="J1065" s="4">
        <v>906.4374746667172</v>
      </c>
      <c r="K1065" s="1"/>
      <c r="L1065" s="1"/>
      <c r="M1065" s="1" t="str">
        <f>VLOOKUP(B1065,Bounties!A:D,3,FALSE)</f>
        <v>Research</v>
      </c>
      <c r="N1065" s="1" t="str">
        <f>VLOOKUP(B1065,Bounties!A:D,4,FALSE)</f>
        <v>Anti-Scam</v>
      </c>
      <c r="O1065" s="1" t="str">
        <f t="shared" ref="O1065:P1065" si="1069">IF(ISBLANK(K1065),M1065,K1065)</f>
        <v>Research</v>
      </c>
      <c r="P1065" s="1" t="str">
        <f t="shared" si="1069"/>
        <v>Anti-Scam</v>
      </c>
      <c r="Q1065" s="61" t="str">
        <f t="shared" si="3"/>
        <v>2023</v>
      </c>
      <c r="R1065" s="62">
        <f t="shared" si="4"/>
        <v>7</v>
      </c>
      <c r="S1065" s="61" t="str">
        <f t="shared" si="5"/>
        <v>2023-Q3</v>
      </c>
      <c r="T1065" s="63" t="str">
        <f t="shared" si="6"/>
        <v>2023-07</v>
      </c>
      <c r="U1065" s="64" t="str">
        <f t="shared" si="7"/>
        <v>2023-H2</v>
      </c>
      <c r="V1065" s="9" t="str">
        <f>VLOOKUP(B1065,Bounties!A:E,2,FALSE)</f>
        <v>Anti-Scam Bounty</v>
      </c>
    </row>
    <row r="1066" hidden="1">
      <c r="A1066" s="67">
        <f>HYPERLINK("https://polkadot.subsquare.io/treasury/child-bounties/328", 328)</f>
        <v>328</v>
      </c>
      <c r="B1066" s="1">
        <v>11.0</v>
      </c>
      <c r="C1066" s="1" t="s">
        <v>2414</v>
      </c>
      <c r="D1066" s="1" t="s">
        <v>1624</v>
      </c>
      <c r="E1066" s="5">
        <v>97.29519362</v>
      </c>
      <c r="F1066" s="4">
        <v>520.2587997802293</v>
      </c>
      <c r="G1066" s="1" t="s">
        <v>2534</v>
      </c>
      <c r="H1066" s="95">
        <v>45109.0</v>
      </c>
      <c r="I1066" s="95">
        <v>45117.0</v>
      </c>
      <c r="J1066" s="4">
        <v>539.5461158872397</v>
      </c>
      <c r="K1066" s="1"/>
      <c r="L1066" s="1"/>
      <c r="M1066" s="1" t="str">
        <f>VLOOKUP(B1066,Bounties!A:D,3,FALSE)</f>
        <v>Research</v>
      </c>
      <c r="N1066" s="1" t="str">
        <f>VLOOKUP(B1066,Bounties!A:D,4,FALSE)</f>
        <v>Anti-Scam</v>
      </c>
      <c r="O1066" s="1" t="str">
        <f t="shared" ref="O1066:P1066" si="1070">IF(ISBLANK(K1066),M1066,K1066)</f>
        <v>Research</v>
      </c>
      <c r="P1066" s="1" t="str">
        <f t="shared" si="1070"/>
        <v>Anti-Scam</v>
      </c>
      <c r="Q1066" s="61" t="str">
        <f t="shared" si="3"/>
        <v>2023</v>
      </c>
      <c r="R1066" s="62">
        <f t="shared" si="4"/>
        <v>7</v>
      </c>
      <c r="S1066" s="61" t="str">
        <f t="shared" si="5"/>
        <v>2023-Q3</v>
      </c>
      <c r="T1066" s="63" t="str">
        <f t="shared" si="6"/>
        <v>2023-07</v>
      </c>
      <c r="U1066" s="64" t="str">
        <f t="shared" si="7"/>
        <v>2023-H2</v>
      </c>
      <c r="V1066" s="9" t="str">
        <f>VLOOKUP(B1066,Bounties!A:E,2,FALSE)</f>
        <v>Anti-Scam Bounty</v>
      </c>
    </row>
    <row r="1067" hidden="1">
      <c r="A1067" s="67">
        <f>HYPERLINK("https://polkadot.subsquare.io/treasury/child-bounties/327", 327)</f>
        <v>327</v>
      </c>
      <c r="B1067" s="1">
        <v>11.0</v>
      </c>
      <c r="C1067" s="1" t="s">
        <v>2414</v>
      </c>
      <c r="D1067" s="1" t="s">
        <v>1623</v>
      </c>
      <c r="E1067" s="5">
        <v>97.29519362</v>
      </c>
      <c r="F1067" s="4">
        <v>520.2587997802293</v>
      </c>
      <c r="G1067" s="1" t="s">
        <v>2433</v>
      </c>
      <c r="H1067" s="95">
        <v>45108.0</v>
      </c>
      <c r="I1067" s="95">
        <v>45117.0</v>
      </c>
      <c r="J1067" s="4">
        <v>500.87772147271755</v>
      </c>
      <c r="K1067" s="1"/>
      <c r="L1067" s="1"/>
      <c r="M1067" s="1" t="str">
        <f>VLOOKUP(B1067,Bounties!A:D,3,FALSE)</f>
        <v>Research</v>
      </c>
      <c r="N1067" s="1" t="str">
        <f>VLOOKUP(B1067,Bounties!A:D,4,FALSE)</f>
        <v>Anti-Scam</v>
      </c>
      <c r="O1067" s="1" t="str">
        <f t="shared" ref="O1067:P1067" si="1071">IF(ISBLANK(K1067),M1067,K1067)</f>
        <v>Research</v>
      </c>
      <c r="P1067" s="1" t="str">
        <f t="shared" si="1071"/>
        <v>Anti-Scam</v>
      </c>
      <c r="Q1067" s="61" t="str">
        <f t="shared" si="3"/>
        <v>2023</v>
      </c>
      <c r="R1067" s="62">
        <f t="shared" si="4"/>
        <v>7</v>
      </c>
      <c r="S1067" s="61" t="str">
        <f t="shared" si="5"/>
        <v>2023-Q3</v>
      </c>
      <c r="T1067" s="63" t="str">
        <f t="shared" si="6"/>
        <v>2023-07</v>
      </c>
      <c r="U1067" s="64" t="str">
        <f t="shared" si="7"/>
        <v>2023-H2</v>
      </c>
      <c r="V1067" s="9" t="str">
        <f>VLOOKUP(B1067,Bounties!A:E,2,FALSE)</f>
        <v>Anti-Scam Bounty</v>
      </c>
    </row>
    <row r="1068" hidden="1">
      <c r="A1068" s="67">
        <f>HYPERLINK("https://polkadot.subsquare.io/treasury/child-bounties/326", 326)</f>
        <v>326</v>
      </c>
      <c r="B1068" s="1">
        <v>11.0</v>
      </c>
      <c r="C1068" s="1" t="s">
        <v>2414</v>
      </c>
      <c r="D1068" s="1" t="s">
        <v>1622</v>
      </c>
      <c r="E1068" s="5">
        <v>116.7542323409</v>
      </c>
      <c r="F1068" s="4">
        <v>624.3105597196989</v>
      </c>
      <c r="G1068" s="1" t="s">
        <v>2437</v>
      </c>
      <c r="H1068" s="95">
        <v>45108.0</v>
      </c>
      <c r="I1068" s="95">
        <v>45117.0</v>
      </c>
      <c r="J1068" s="4">
        <v>601.0532657513022</v>
      </c>
      <c r="K1068" s="1"/>
      <c r="L1068" s="1"/>
      <c r="M1068" s="1" t="str">
        <f>VLOOKUP(B1068,Bounties!A:D,3,FALSE)</f>
        <v>Research</v>
      </c>
      <c r="N1068" s="1" t="str">
        <f>VLOOKUP(B1068,Bounties!A:D,4,FALSE)</f>
        <v>Anti-Scam</v>
      </c>
      <c r="O1068" s="1" t="str">
        <f t="shared" ref="O1068:P1068" si="1072">IF(ISBLANK(K1068),M1068,K1068)</f>
        <v>Research</v>
      </c>
      <c r="P1068" s="1" t="str">
        <f t="shared" si="1072"/>
        <v>Anti-Scam</v>
      </c>
      <c r="Q1068" s="61" t="str">
        <f t="shared" si="3"/>
        <v>2023</v>
      </c>
      <c r="R1068" s="62">
        <f t="shared" si="4"/>
        <v>7</v>
      </c>
      <c r="S1068" s="61" t="str">
        <f t="shared" si="5"/>
        <v>2023-Q3</v>
      </c>
      <c r="T1068" s="63" t="str">
        <f t="shared" si="6"/>
        <v>2023-07</v>
      </c>
      <c r="U1068" s="64" t="str">
        <f t="shared" si="7"/>
        <v>2023-H2</v>
      </c>
      <c r="V1068" s="9" t="str">
        <f>VLOOKUP(B1068,Bounties!A:E,2,FALSE)</f>
        <v>Anti-Scam Bounty</v>
      </c>
    </row>
    <row r="1069" hidden="1">
      <c r="A1069" s="67">
        <f>HYPERLINK("https://polkadot.subsquare.io/treasury/child-bounties/325", 325)</f>
        <v>325</v>
      </c>
      <c r="B1069" s="1">
        <v>11.0</v>
      </c>
      <c r="C1069" s="1" t="s">
        <v>2414</v>
      </c>
      <c r="D1069" s="1" t="s">
        <v>1621</v>
      </c>
      <c r="E1069" s="5">
        <v>140.1050788091</v>
      </c>
      <c r="F1069" s="4">
        <v>749.1726716637455</v>
      </c>
      <c r="G1069" s="1" t="s">
        <v>2535</v>
      </c>
      <c r="H1069" s="95">
        <v>45108.0</v>
      </c>
      <c r="I1069" s="95">
        <v>45119.0</v>
      </c>
      <c r="J1069" s="4">
        <v>761.0048471106378</v>
      </c>
      <c r="K1069" s="1"/>
      <c r="L1069" s="1"/>
      <c r="M1069" s="1" t="str">
        <f>VLOOKUP(B1069,Bounties!A:D,3,FALSE)</f>
        <v>Research</v>
      </c>
      <c r="N1069" s="1" t="str">
        <f>VLOOKUP(B1069,Bounties!A:D,4,FALSE)</f>
        <v>Anti-Scam</v>
      </c>
      <c r="O1069" s="1" t="str">
        <f t="shared" ref="O1069:P1069" si="1073">IF(ISBLANK(K1069),M1069,K1069)</f>
        <v>Research</v>
      </c>
      <c r="P1069" s="1" t="str">
        <f t="shared" si="1073"/>
        <v>Anti-Scam</v>
      </c>
      <c r="Q1069" s="61" t="str">
        <f t="shared" si="3"/>
        <v>2023</v>
      </c>
      <c r="R1069" s="62">
        <f t="shared" si="4"/>
        <v>7</v>
      </c>
      <c r="S1069" s="61" t="str">
        <f t="shared" si="5"/>
        <v>2023-Q3</v>
      </c>
      <c r="T1069" s="63" t="str">
        <f t="shared" si="6"/>
        <v>2023-07</v>
      </c>
      <c r="U1069" s="64" t="str">
        <f t="shared" si="7"/>
        <v>2023-H2</v>
      </c>
      <c r="V1069" s="9" t="str">
        <f>VLOOKUP(B1069,Bounties!A:E,2,FALSE)</f>
        <v>Anti-Scam Bounty</v>
      </c>
    </row>
    <row r="1070" hidden="1">
      <c r="A1070" s="67">
        <f>HYPERLINK("https://polkadot.subsquare.io/treasury/child-bounties/324", 324)</f>
        <v>324</v>
      </c>
      <c r="B1070" s="1">
        <v>11.0</v>
      </c>
      <c r="C1070" s="1" t="s">
        <v>2414</v>
      </c>
      <c r="D1070" s="1" t="s">
        <v>1620</v>
      </c>
      <c r="E1070" s="5">
        <v>140.1050788091</v>
      </c>
      <c r="F1070" s="4">
        <v>749.1726716637455</v>
      </c>
      <c r="G1070" s="1" t="s">
        <v>2463</v>
      </c>
      <c r="H1070" s="95">
        <v>45108.0</v>
      </c>
      <c r="I1070" s="95">
        <v>45118.0</v>
      </c>
      <c r="J1070" s="4">
        <v>776.9464068571069</v>
      </c>
      <c r="K1070" s="1"/>
      <c r="L1070" s="1"/>
      <c r="M1070" s="1" t="str">
        <f>VLOOKUP(B1070,Bounties!A:D,3,FALSE)</f>
        <v>Research</v>
      </c>
      <c r="N1070" s="1" t="str">
        <f>VLOOKUP(B1070,Bounties!A:D,4,FALSE)</f>
        <v>Anti-Scam</v>
      </c>
      <c r="O1070" s="1" t="str">
        <f t="shared" ref="O1070:P1070" si="1074">IF(ISBLANK(K1070),M1070,K1070)</f>
        <v>Research</v>
      </c>
      <c r="P1070" s="1" t="str">
        <f t="shared" si="1074"/>
        <v>Anti-Scam</v>
      </c>
      <c r="Q1070" s="61" t="str">
        <f t="shared" si="3"/>
        <v>2023</v>
      </c>
      <c r="R1070" s="62">
        <f t="shared" si="4"/>
        <v>7</v>
      </c>
      <c r="S1070" s="61" t="str">
        <f t="shared" si="5"/>
        <v>2023-Q3</v>
      </c>
      <c r="T1070" s="63" t="str">
        <f t="shared" si="6"/>
        <v>2023-07</v>
      </c>
      <c r="U1070" s="64" t="str">
        <f t="shared" si="7"/>
        <v>2023-H2</v>
      </c>
      <c r="V1070" s="9" t="str">
        <f>VLOOKUP(B1070,Bounties!A:E,2,FALSE)</f>
        <v>Anti-Scam Bounty</v>
      </c>
    </row>
    <row r="1071" hidden="1">
      <c r="A1071" s="67">
        <f>HYPERLINK("https://polkadot.subsquare.io/treasury/child-bounties/323", 323)</f>
        <v>323</v>
      </c>
      <c r="B1071" s="1">
        <v>11.0</v>
      </c>
      <c r="C1071" s="1" t="s">
        <v>2414</v>
      </c>
      <c r="D1071" s="1" t="s">
        <v>1619</v>
      </c>
      <c r="E1071" s="5">
        <v>116.7542323409</v>
      </c>
      <c r="F1071" s="4">
        <v>624.3105597196989</v>
      </c>
      <c r="G1071" s="1" t="s">
        <v>2531</v>
      </c>
      <c r="H1071" s="95">
        <v>45108.0</v>
      </c>
      <c r="I1071" s="95">
        <v>45117.0</v>
      </c>
      <c r="J1071" s="4">
        <v>647.4553390474968</v>
      </c>
      <c r="K1071" s="1"/>
      <c r="L1071" s="1"/>
      <c r="M1071" s="1" t="str">
        <f>VLOOKUP(B1071,Bounties!A:D,3,FALSE)</f>
        <v>Research</v>
      </c>
      <c r="N1071" s="1" t="str">
        <f>VLOOKUP(B1071,Bounties!A:D,4,FALSE)</f>
        <v>Anti-Scam</v>
      </c>
      <c r="O1071" s="1" t="str">
        <f t="shared" ref="O1071:P1071" si="1075">IF(ISBLANK(K1071),M1071,K1071)</f>
        <v>Research</v>
      </c>
      <c r="P1071" s="1" t="str">
        <f t="shared" si="1075"/>
        <v>Anti-Scam</v>
      </c>
      <c r="Q1071" s="61" t="str">
        <f t="shared" si="3"/>
        <v>2023</v>
      </c>
      <c r="R1071" s="62">
        <f t="shared" si="4"/>
        <v>7</v>
      </c>
      <c r="S1071" s="61" t="str">
        <f t="shared" si="5"/>
        <v>2023-Q3</v>
      </c>
      <c r="T1071" s="63" t="str">
        <f t="shared" si="6"/>
        <v>2023-07</v>
      </c>
      <c r="U1071" s="64" t="str">
        <f t="shared" si="7"/>
        <v>2023-H2</v>
      </c>
      <c r="V1071" s="9" t="str">
        <f>VLOOKUP(B1071,Bounties!A:E,2,FALSE)</f>
        <v>Anti-Scam Bounty</v>
      </c>
    </row>
    <row r="1072" hidden="1">
      <c r="A1072" s="67">
        <f>HYPERLINK("https://polkadot.subsquare.io/treasury/child-bounties/322", 322)</f>
        <v>322</v>
      </c>
      <c r="B1072" s="1">
        <v>11.0</v>
      </c>
      <c r="C1072" s="1" t="s">
        <v>2414</v>
      </c>
      <c r="D1072" s="1" t="s">
        <v>1618</v>
      </c>
      <c r="E1072" s="5">
        <v>97.29519362</v>
      </c>
      <c r="F1072" s="4">
        <v>520.2587997802293</v>
      </c>
      <c r="G1072" s="1" t="s">
        <v>2526</v>
      </c>
      <c r="H1072" s="95">
        <v>45108.0</v>
      </c>
      <c r="I1072" s="95">
        <v>45121.0</v>
      </c>
      <c r="J1072" s="4">
        <v>516.0273455391923</v>
      </c>
      <c r="K1072" s="1"/>
      <c r="L1072" s="1"/>
      <c r="M1072" s="1" t="str">
        <f>VLOOKUP(B1072,Bounties!A:D,3,FALSE)</f>
        <v>Research</v>
      </c>
      <c r="N1072" s="1" t="str">
        <f>VLOOKUP(B1072,Bounties!A:D,4,FALSE)</f>
        <v>Anti-Scam</v>
      </c>
      <c r="O1072" s="1" t="str">
        <f t="shared" ref="O1072:P1072" si="1076">IF(ISBLANK(K1072),M1072,K1072)</f>
        <v>Research</v>
      </c>
      <c r="P1072" s="1" t="str">
        <f t="shared" si="1076"/>
        <v>Anti-Scam</v>
      </c>
      <c r="Q1072" s="61" t="str">
        <f t="shared" si="3"/>
        <v>2023</v>
      </c>
      <c r="R1072" s="62">
        <f t="shared" si="4"/>
        <v>7</v>
      </c>
      <c r="S1072" s="61" t="str">
        <f t="shared" si="5"/>
        <v>2023-Q3</v>
      </c>
      <c r="T1072" s="63" t="str">
        <f t="shared" si="6"/>
        <v>2023-07</v>
      </c>
      <c r="U1072" s="64" t="str">
        <f t="shared" si="7"/>
        <v>2023-H2</v>
      </c>
      <c r="V1072" s="9" t="str">
        <f>VLOOKUP(B1072,Bounties!A:E,2,FALSE)</f>
        <v>Anti-Scam Bounty</v>
      </c>
    </row>
    <row r="1073" hidden="1">
      <c r="A1073" s="67">
        <f>HYPERLINK("https://polkadot.subsquare.io/treasury/child-bounties/321", 321)</f>
        <v>321</v>
      </c>
      <c r="B1073" s="1">
        <v>11.0</v>
      </c>
      <c r="C1073" s="1" t="s">
        <v>2414</v>
      </c>
      <c r="D1073" s="1" t="s">
        <v>1617</v>
      </c>
      <c r="E1073" s="5">
        <v>97.29519362</v>
      </c>
      <c r="F1073" s="4">
        <v>520.2587997802293</v>
      </c>
      <c r="G1073" s="1" t="s">
        <v>2528</v>
      </c>
      <c r="H1073" s="95">
        <v>45108.0</v>
      </c>
      <c r="I1073" s="95">
        <v>45116.0</v>
      </c>
      <c r="J1073" s="4">
        <v>500.87772147271755</v>
      </c>
      <c r="K1073" s="1"/>
      <c r="L1073" s="1"/>
      <c r="M1073" s="1" t="str">
        <f>VLOOKUP(B1073,Bounties!A:D,3,FALSE)</f>
        <v>Research</v>
      </c>
      <c r="N1073" s="1" t="str">
        <f>VLOOKUP(B1073,Bounties!A:D,4,FALSE)</f>
        <v>Anti-Scam</v>
      </c>
      <c r="O1073" s="1" t="str">
        <f t="shared" ref="O1073:P1073" si="1077">IF(ISBLANK(K1073),M1073,K1073)</f>
        <v>Research</v>
      </c>
      <c r="P1073" s="1" t="str">
        <f t="shared" si="1077"/>
        <v>Anti-Scam</v>
      </c>
      <c r="Q1073" s="61" t="str">
        <f t="shared" si="3"/>
        <v>2023</v>
      </c>
      <c r="R1073" s="62">
        <f t="shared" si="4"/>
        <v>7</v>
      </c>
      <c r="S1073" s="61" t="str">
        <f t="shared" si="5"/>
        <v>2023-Q3</v>
      </c>
      <c r="T1073" s="63" t="str">
        <f t="shared" si="6"/>
        <v>2023-07</v>
      </c>
      <c r="U1073" s="64" t="str">
        <f t="shared" si="7"/>
        <v>2023-H2</v>
      </c>
      <c r="V1073" s="9" t="str">
        <f>VLOOKUP(B1073,Bounties!A:E,2,FALSE)</f>
        <v>Anti-Scam Bounty</v>
      </c>
    </row>
    <row r="1074" hidden="1">
      <c r="A1074" s="67">
        <f>HYPERLINK("https://polkadot.subsquare.io/treasury/child-bounties/320", 320)</f>
        <v>320</v>
      </c>
      <c r="B1074" s="1">
        <v>11.0</v>
      </c>
      <c r="C1074" s="1" t="s">
        <v>2414</v>
      </c>
      <c r="D1074" s="1" t="s">
        <v>1616</v>
      </c>
      <c r="E1074" s="5">
        <v>81.72796264</v>
      </c>
      <c r="F1074" s="4">
        <v>437.01739181111486</v>
      </c>
      <c r="G1074" s="1" t="s">
        <v>2437</v>
      </c>
      <c r="H1074" s="95">
        <v>45108.0</v>
      </c>
      <c r="I1074" s="95">
        <v>45118.0</v>
      </c>
      <c r="J1074" s="4">
        <v>445.6281745570286</v>
      </c>
      <c r="K1074" s="1"/>
      <c r="L1074" s="1"/>
      <c r="M1074" s="1" t="str">
        <f>VLOOKUP(B1074,Bounties!A:D,3,FALSE)</f>
        <v>Research</v>
      </c>
      <c r="N1074" s="1" t="str">
        <f>VLOOKUP(B1074,Bounties!A:D,4,FALSE)</f>
        <v>Anti-Scam</v>
      </c>
      <c r="O1074" s="1" t="str">
        <f t="shared" ref="O1074:P1074" si="1078">IF(ISBLANK(K1074),M1074,K1074)</f>
        <v>Research</v>
      </c>
      <c r="P1074" s="1" t="str">
        <f t="shared" si="1078"/>
        <v>Anti-Scam</v>
      </c>
      <c r="Q1074" s="61" t="str">
        <f t="shared" si="3"/>
        <v>2023</v>
      </c>
      <c r="R1074" s="62">
        <f t="shared" si="4"/>
        <v>7</v>
      </c>
      <c r="S1074" s="61" t="str">
        <f t="shared" si="5"/>
        <v>2023-Q3</v>
      </c>
      <c r="T1074" s="63" t="str">
        <f t="shared" si="6"/>
        <v>2023-07</v>
      </c>
      <c r="U1074" s="64" t="str">
        <f t="shared" si="7"/>
        <v>2023-H2</v>
      </c>
      <c r="V1074" s="9" t="str">
        <f>VLOOKUP(B1074,Bounties!A:E,2,FALSE)</f>
        <v>Anti-Scam Bounty</v>
      </c>
    </row>
    <row r="1075" hidden="1">
      <c r="A1075" s="67">
        <f>HYPERLINK("https://polkadot.subsquare.io/treasury/child-bounties/319", 319)</f>
        <v>319</v>
      </c>
      <c r="B1075" s="1">
        <v>11.0</v>
      </c>
      <c r="C1075" s="1" t="s">
        <v>2414</v>
      </c>
      <c r="D1075" s="1" t="s">
        <v>1615</v>
      </c>
      <c r="E1075" s="5">
        <v>303.9891029</v>
      </c>
      <c r="F1075" s="4">
        <v>1625.4965937856223</v>
      </c>
      <c r="G1075" s="1" t="s">
        <v>2437</v>
      </c>
      <c r="H1075" s="95">
        <v>45108.0</v>
      </c>
      <c r="I1075" s="95">
        <v>45117.0</v>
      </c>
      <c r="J1075" s="4">
        <v>1564.9423527308609</v>
      </c>
      <c r="K1075" s="1"/>
      <c r="L1075" s="1"/>
      <c r="M1075" s="1" t="str">
        <f>VLOOKUP(B1075,Bounties!A:D,3,FALSE)</f>
        <v>Research</v>
      </c>
      <c r="N1075" s="1" t="str">
        <f>VLOOKUP(B1075,Bounties!A:D,4,FALSE)</f>
        <v>Anti-Scam</v>
      </c>
      <c r="O1075" s="1" t="str">
        <f t="shared" ref="O1075:P1075" si="1079">IF(ISBLANK(K1075),M1075,K1075)</f>
        <v>Research</v>
      </c>
      <c r="P1075" s="1" t="str">
        <f t="shared" si="1079"/>
        <v>Anti-Scam</v>
      </c>
      <c r="Q1075" s="61" t="str">
        <f t="shared" si="3"/>
        <v>2023</v>
      </c>
      <c r="R1075" s="62">
        <f t="shared" si="4"/>
        <v>7</v>
      </c>
      <c r="S1075" s="61" t="str">
        <f t="shared" si="5"/>
        <v>2023-Q3</v>
      </c>
      <c r="T1075" s="63" t="str">
        <f t="shared" si="6"/>
        <v>2023-07</v>
      </c>
      <c r="U1075" s="64" t="str">
        <f t="shared" si="7"/>
        <v>2023-H2</v>
      </c>
      <c r="V1075" s="9" t="str">
        <f>VLOOKUP(B1075,Bounties!A:E,2,FALSE)</f>
        <v>Anti-Scam Bounty</v>
      </c>
    </row>
    <row r="1076" hidden="1">
      <c r="A1076" s="67">
        <f>HYPERLINK("https://polkadot.subsquare.io/treasury/child-bounties/318", 318)</f>
        <v>318</v>
      </c>
      <c r="B1076" s="1">
        <v>11.0</v>
      </c>
      <c r="C1076" s="1" t="s">
        <v>2414</v>
      </c>
      <c r="D1076" s="1" t="s">
        <v>1614</v>
      </c>
      <c r="E1076" s="5">
        <v>844.9114614</v>
      </c>
      <c r="F1076" s="4">
        <v>4517.927417312472</v>
      </c>
      <c r="G1076" s="1" t="s">
        <v>2438</v>
      </c>
      <c r="H1076" s="95">
        <v>45108.0</v>
      </c>
      <c r="I1076" s="95">
        <v>45117.0</v>
      </c>
      <c r="J1076" s="4">
        <v>4685.418470386528</v>
      </c>
      <c r="K1076" s="1"/>
      <c r="L1076" s="1"/>
      <c r="M1076" s="1" t="str">
        <f>VLOOKUP(B1076,Bounties!A:D,3,FALSE)</f>
        <v>Research</v>
      </c>
      <c r="N1076" s="1" t="str">
        <f>VLOOKUP(B1076,Bounties!A:D,4,FALSE)</f>
        <v>Anti-Scam</v>
      </c>
      <c r="O1076" s="1" t="str">
        <f t="shared" ref="O1076:P1076" si="1080">IF(ISBLANK(K1076),M1076,K1076)</f>
        <v>Research</v>
      </c>
      <c r="P1076" s="1" t="str">
        <f t="shared" si="1080"/>
        <v>Anti-Scam</v>
      </c>
      <c r="Q1076" s="61" t="str">
        <f t="shared" si="3"/>
        <v>2023</v>
      </c>
      <c r="R1076" s="62">
        <f t="shared" si="4"/>
        <v>7</v>
      </c>
      <c r="S1076" s="61" t="str">
        <f t="shared" si="5"/>
        <v>2023-Q3</v>
      </c>
      <c r="T1076" s="63" t="str">
        <f t="shared" si="6"/>
        <v>2023-07</v>
      </c>
      <c r="U1076" s="64" t="str">
        <f t="shared" si="7"/>
        <v>2023-H2</v>
      </c>
      <c r="V1076" s="9" t="str">
        <f>VLOOKUP(B1076,Bounties!A:E,2,FALSE)</f>
        <v>Anti-Scam Bounty</v>
      </c>
    </row>
    <row r="1077" hidden="1">
      <c r="A1077" s="67">
        <f>HYPERLINK("https://polkadot.subsquare.io/treasury/child-bounties/317", 317)</f>
        <v>317</v>
      </c>
      <c r="B1077" s="1">
        <v>11.0</v>
      </c>
      <c r="C1077" s="1" t="s">
        <v>2414</v>
      </c>
      <c r="D1077" s="1" t="s">
        <v>1613</v>
      </c>
      <c r="E1077" s="5">
        <v>150.0681066</v>
      </c>
      <c r="F1077" s="4">
        <v>802.4471725698746</v>
      </c>
      <c r="G1077" s="1" t="s">
        <v>2463</v>
      </c>
      <c r="H1077" s="95">
        <v>45108.0</v>
      </c>
      <c r="I1077" s="95">
        <v>45118.0</v>
      </c>
      <c r="J1077" s="4">
        <v>832.1959289254995</v>
      </c>
      <c r="K1077" s="1"/>
      <c r="L1077" s="1"/>
      <c r="M1077" s="1" t="str">
        <f>VLOOKUP(B1077,Bounties!A:D,3,FALSE)</f>
        <v>Research</v>
      </c>
      <c r="N1077" s="1" t="str">
        <f>VLOOKUP(B1077,Bounties!A:D,4,FALSE)</f>
        <v>Anti-Scam</v>
      </c>
      <c r="O1077" s="1" t="str">
        <f t="shared" ref="O1077:P1077" si="1081">IF(ISBLANK(K1077),M1077,K1077)</f>
        <v>Research</v>
      </c>
      <c r="P1077" s="1" t="str">
        <f t="shared" si="1081"/>
        <v>Anti-Scam</v>
      </c>
      <c r="Q1077" s="61" t="str">
        <f t="shared" si="3"/>
        <v>2023</v>
      </c>
      <c r="R1077" s="62">
        <f t="shared" si="4"/>
        <v>7</v>
      </c>
      <c r="S1077" s="61" t="str">
        <f t="shared" si="5"/>
        <v>2023-Q3</v>
      </c>
      <c r="T1077" s="63" t="str">
        <f t="shared" si="6"/>
        <v>2023-07</v>
      </c>
      <c r="U1077" s="64" t="str">
        <f t="shared" si="7"/>
        <v>2023-H2</v>
      </c>
      <c r="V1077" s="9" t="str">
        <f>VLOOKUP(B1077,Bounties!A:E,2,FALSE)</f>
        <v>Anti-Scam Bounty</v>
      </c>
    </row>
    <row r="1078" hidden="1">
      <c r="A1078" s="67">
        <f>HYPERLINK("https://polkadot.subsquare.io/treasury/child-bounties/316", 316)</f>
        <v>316</v>
      </c>
      <c r="B1078" s="1">
        <v>17.0</v>
      </c>
      <c r="C1078" s="1" t="s">
        <v>2414</v>
      </c>
      <c r="D1078" s="1" t="s">
        <v>1612</v>
      </c>
      <c r="E1078" s="5">
        <v>21418.579</v>
      </c>
      <c r="F1078" s="4">
        <v>104587.17438031292</v>
      </c>
      <c r="G1078" s="1" t="s">
        <v>2592</v>
      </c>
      <c r="H1078" s="95">
        <v>45102.0</v>
      </c>
      <c r="I1078" s="95">
        <v>45120.0</v>
      </c>
      <c r="J1078" s="4">
        <v>116338.69789567853</v>
      </c>
      <c r="K1078" s="1"/>
      <c r="M1078" s="1" t="str">
        <f>VLOOKUP(B1078,Bounties!A:D,3,FALSE)</f>
        <v>Outreach</v>
      </c>
      <c r="N1078" s="1" t="str">
        <f>VLOOKUP(B1078,Bounties!A:D,4,FALSE)</f>
        <v>Events/Meetups</v>
      </c>
      <c r="O1078" s="1" t="str">
        <f t="shared" ref="O1078:P1078" si="1082">IF(ISBLANK(K1078),M1078,K1078)</f>
        <v>Outreach</v>
      </c>
      <c r="P1078" s="1" t="str">
        <f t="shared" si="1082"/>
        <v>Events/Meetups</v>
      </c>
      <c r="Q1078" s="61" t="str">
        <f t="shared" si="3"/>
        <v>2023</v>
      </c>
      <c r="R1078" s="62">
        <f t="shared" si="4"/>
        <v>7</v>
      </c>
      <c r="S1078" s="61" t="str">
        <f t="shared" si="5"/>
        <v>2023-Q3</v>
      </c>
      <c r="T1078" s="63" t="str">
        <f t="shared" si="6"/>
        <v>2023-07</v>
      </c>
      <c r="U1078" s="64" t="str">
        <f t="shared" si="7"/>
        <v>2023-H2</v>
      </c>
      <c r="V1078" s="9" t="str">
        <f>VLOOKUP(B1078,Bounties!A:E,2,FALSE)</f>
        <v>Events Bounty</v>
      </c>
    </row>
    <row r="1079" hidden="1">
      <c r="A1079" s="67">
        <f>HYPERLINK("https://polkadot.subsquare.io/treasury/child-bounties/315", 315)</f>
        <v>315</v>
      </c>
      <c r="B1079" s="1">
        <v>17.0</v>
      </c>
      <c r="C1079" s="1" t="s">
        <v>2414</v>
      </c>
      <c r="D1079" s="1" t="s">
        <v>1611</v>
      </c>
      <c r="E1079" s="5">
        <v>4938.7</v>
      </c>
      <c r="F1079" s="4">
        <v>24730.277342748643</v>
      </c>
      <c r="G1079" s="1" t="s">
        <v>2681</v>
      </c>
      <c r="H1079" s="95">
        <v>45098.0</v>
      </c>
      <c r="I1079" s="95">
        <v>45111.0</v>
      </c>
      <c r="J1079" s="4">
        <v>25261.341041660307</v>
      </c>
      <c r="K1079" s="1"/>
      <c r="L1079" s="1" t="s">
        <v>86</v>
      </c>
      <c r="M1079" s="1" t="str">
        <f>VLOOKUP(B1079,Bounties!A:D,3,FALSE)</f>
        <v>Outreach</v>
      </c>
      <c r="N1079" s="1" t="str">
        <f>VLOOKUP(B1079,Bounties!A:D,4,FALSE)</f>
        <v>Events/Meetups</v>
      </c>
      <c r="O1079" s="1" t="str">
        <f t="shared" ref="O1079:P1079" si="1083">IF(ISBLANK(K1079),M1079,K1079)</f>
        <v>Outreach</v>
      </c>
      <c r="P1079" s="1" t="str">
        <f t="shared" si="1083"/>
        <v>Events/Conference Attendance &amp; Side Events</v>
      </c>
      <c r="Q1079" s="61" t="str">
        <f t="shared" si="3"/>
        <v>2023</v>
      </c>
      <c r="R1079" s="62">
        <f t="shared" si="4"/>
        <v>7</v>
      </c>
      <c r="S1079" s="61" t="str">
        <f t="shared" si="5"/>
        <v>2023-Q3</v>
      </c>
      <c r="T1079" s="63" t="str">
        <f t="shared" si="6"/>
        <v>2023-07</v>
      </c>
      <c r="U1079" s="64" t="str">
        <f t="shared" si="7"/>
        <v>2023-H2</v>
      </c>
      <c r="V1079" s="9" t="str">
        <f>VLOOKUP(B1079,Bounties!A:E,2,FALSE)</f>
        <v>Events Bounty</v>
      </c>
    </row>
    <row r="1080" hidden="1">
      <c r="A1080" s="67">
        <f>HYPERLINK("https://polkadot.subsquare.io/treasury/child-bounties/314", 314)</f>
        <v>314</v>
      </c>
      <c r="B1080" s="1">
        <v>17.0</v>
      </c>
      <c r="C1080" s="1" t="s">
        <v>2414</v>
      </c>
      <c r="D1080" s="1" t="s">
        <v>1610</v>
      </c>
      <c r="E1080" s="5">
        <v>3316.7</v>
      </c>
      <c r="F1080" s="4">
        <v>16608.198688459397</v>
      </c>
      <c r="G1080" s="1" t="s">
        <v>2681</v>
      </c>
      <c r="H1080" s="95">
        <v>45098.0</v>
      </c>
      <c r="I1080" s="95">
        <v>45111.0</v>
      </c>
      <c r="J1080" s="4">
        <v>16964.846990680693</v>
      </c>
      <c r="K1080" s="1"/>
      <c r="L1080" s="1" t="s">
        <v>86</v>
      </c>
      <c r="M1080" s="1" t="str">
        <f>VLOOKUP(B1080,Bounties!A:D,3,FALSE)</f>
        <v>Outreach</v>
      </c>
      <c r="N1080" s="1" t="str">
        <f>VLOOKUP(B1080,Bounties!A:D,4,FALSE)</f>
        <v>Events/Meetups</v>
      </c>
      <c r="O1080" s="1" t="str">
        <f t="shared" ref="O1080:P1080" si="1084">IF(ISBLANK(K1080),M1080,K1080)</f>
        <v>Outreach</v>
      </c>
      <c r="P1080" s="1" t="str">
        <f t="shared" si="1084"/>
        <v>Events/Conference Attendance &amp; Side Events</v>
      </c>
      <c r="Q1080" s="61" t="str">
        <f t="shared" si="3"/>
        <v>2023</v>
      </c>
      <c r="R1080" s="62">
        <f t="shared" si="4"/>
        <v>7</v>
      </c>
      <c r="S1080" s="61" t="str">
        <f t="shared" si="5"/>
        <v>2023-Q3</v>
      </c>
      <c r="T1080" s="63" t="str">
        <f t="shared" si="6"/>
        <v>2023-07</v>
      </c>
      <c r="U1080" s="64" t="str">
        <f t="shared" si="7"/>
        <v>2023-H2</v>
      </c>
      <c r="V1080" s="9" t="str">
        <f>VLOOKUP(B1080,Bounties!A:E,2,FALSE)</f>
        <v>Events Bounty</v>
      </c>
    </row>
    <row r="1081" hidden="1">
      <c r="A1081" s="67">
        <f>HYPERLINK("https://polkadot.subsquare.io/treasury/child-bounties/313", 313)</f>
        <v>313</v>
      </c>
      <c r="B1081" s="1">
        <v>17.0</v>
      </c>
      <c r="C1081" s="1" t="s">
        <v>2414</v>
      </c>
      <c r="D1081" s="1" t="s">
        <v>1609</v>
      </c>
      <c r="E1081" s="5">
        <v>8597.0</v>
      </c>
      <c r="F1081" s="4">
        <v>37971.63562774658</v>
      </c>
      <c r="G1081" s="1" t="s">
        <v>2715</v>
      </c>
      <c r="H1081" s="95">
        <v>45091.0</v>
      </c>
      <c r="I1081" s="95">
        <v>45103.0</v>
      </c>
      <c r="J1081" s="4">
        <v>42866.88487958908</v>
      </c>
      <c r="K1081" s="1"/>
      <c r="L1081" s="1" t="s">
        <v>86</v>
      </c>
      <c r="M1081" s="1" t="str">
        <f>VLOOKUP(B1081,Bounties!A:D,3,FALSE)</f>
        <v>Outreach</v>
      </c>
      <c r="N1081" s="1" t="str">
        <f>VLOOKUP(B1081,Bounties!A:D,4,FALSE)</f>
        <v>Events/Meetups</v>
      </c>
      <c r="O1081" s="1" t="str">
        <f t="shared" ref="O1081:P1081" si="1085">IF(ISBLANK(K1081),M1081,K1081)</f>
        <v>Outreach</v>
      </c>
      <c r="P1081" s="1" t="str">
        <f t="shared" si="1085"/>
        <v>Events/Conference Attendance &amp; Side Events</v>
      </c>
      <c r="Q1081" s="61" t="str">
        <f t="shared" si="3"/>
        <v>2023</v>
      </c>
      <c r="R1081" s="62">
        <f t="shared" si="4"/>
        <v>6</v>
      </c>
      <c r="S1081" s="61" t="str">
        <f t="shared" si="5"/>
        <v>2023-Q2</v>
      </c>
      <c r="T1081" s="63" t="str">
        <f t="shared" si="6"/>
        <v>2023-06</v>
      </c>
      <c r="U1081" s="64" t="str">
        <f t="shared" si="7"/>
        <v>2023-H1</v>
      </c>
      <c r="V1081" s="9" t="str">
        <f>VLOOKUP(B1081,Bounties!A:E,2,FALSE)</f>
        <v>Events Bounty</v>
      </c>
    </row>
    <row r="1082" hidden="1">
      <c r="A1082" s="67">
        <f>HYPERLINK("https://polkadot.subsquare.io/treasury/child-bounties/312", 312)</f>
        <v>312</v>
      </c>
      <c r="B1082" s="1">
        <v>17.0</v>
      </c>
      <c r="C1082" s="1" t="s">
        <v>2414</v>
      </c>
      <c r="D1082" s="1" t="s">
        <v>1608</v>
      </c>
      <c r="E1082" s="5">
        <v>717.8</v>
      </c>
      <c r="F1082" s="4">
        <v>3141.9426136016846</v>
      </c>
      <c r="G1082" s="1" t="s">
        <v>2716</v>
      </c>
      <c r="H1082" s="95">
        <v>45089.0</v>
      </c>
      <c r="I1082" s="95">
        <v>45100.0</v>
      </c>
      <c r="J1082" s="4">
        <v>3608.1875220298766</v>
      </c>
      <c r="K1082" s="1"/>
      <c r="L1082" s="1" t="s">
        <v>86</v>
      </c>
      <c r="M1082" s="1" t="str">
        <f>VLOOKUP(B1082,Bounties!A:D,3,FALSE)</f>
        <v>Outreach</v>
      </c>
      <c r="N1082" s="1" t="str">
        <f>VLOOKUP(B1082,Bounties!A:D,4,FALSE)</f>
        <v>Events/Meetups</v>
      </c>
      <c r="O1082" s="1" t="str">
        <f t="shared" ref="O1082:P1082" si="1086">IF(ISBLANK(K1082),M1082,K1082)</f>
        <v>Outreach</v>
      </c>
      <c r="P1082" s="1" t="str">
        <f t="shared" si="1086"/>
        <v>Events/Conference Attendance &amp; Side Events</v>
      </c>
      <c r="Q1082" s="61" t="str">
        <f t="shared" si="3"/>
        <v>2023</v>
      </c>
      <c r="R1082" s="62">
        <f t="shared" si="4"/>
        <v>6</v>
      </c>
      <c r="S1082" s="61" t="str">
        <f t="shared" si="5"/>
        <v>2023-Q2</v>
      </c>
      <c r="T1082" s="63" t="str">
        <f t="shared" si="6"/>
        <v>2023-06</v>
      </c>
      <c r="U1082" s="64" t="str">
        <f t="shared" si="7"/>
        <v>2023-H1</v>
      </c>
      <c r="V1082" s="9" t="str">
        <f>VLOOKUP(B1082,Bounties!A:E,2,FALSE)</f>
        <v>Events Bounty</v>
      </c>
    </row>
    <row r="1083" hidden="1">
      <c r="A1083" s="67">
        <f>HYPERLINK("https://polkadot.subsquare.io/treasury/child-bounties/311", 311)</f>
        <v>311</v>
      </c>
      <c r="B1083" s="1">
        <v>17.0</v>
      </c>
      <c r="C1083" s="1" t="s">
        <v>2414</v>
      </c>
      <c r="D1083" s="1" t="s">
        <v>1607</v>
      </c>
      <c r="E1083" s="5">
        <v>1058.2</v>
      </c>
      <c r="F1083" s="4">
        <v>4631.936017990112</v>
      </c>
      <c r="G1083" s="1" t="s">
        <v>2717</v>
      </c>
      <c r="H1083" s="95">
        <v>45089.0</v>
      </c>
      <c r="I1083" s="95">
        <v>45098.0</v>
      </c>
      <c r="J1083" s="4">
        <v>5298.880167675018</v>
      </c>
      <c r="K1083" s="1"/>
      <c r="L1083" s="1" t="s">
        <v>86</v>
      </c>
      <c r="M1083" s="1" t="str">
        <f>VLOOKUP(B1083,Bounties!A:D,3,FALSE)</f>
        <v>Outreach</v>
      </c>
      <c r="N1083" s="1" t="str">
        <f>VLOOKUP(B1083,Bounties!A:D,4,FALSE)</f>
        <v>Events/Meetups</v>
      </c>
      <c r="O1083" s="1" t="str">
        <f t="shared" ref="O1083:P1083" si="1087">IF(ISBLANK(K1083),M1083,K1083)</f>
        <v>Outreach</v>
      </c>
      <c r="P1083" s="1" t="str">
        <f t="shared" si="1087"/>
        <v>Events/Conference Attendance &amp; Side Events</v>
      </c>
      <c r="Q1083" s="61" t="str">
        <f t="shared" si="3"/>
        <v>2023</v>
      </c>
      <c r="R1083" s="62">
        <f t="shared" si="4"/>
        <v>6</v>
      </c>
      <c r="S1083" s="61" t="str">
        <f t="shared" si="5"/>
        <v>2023-Q2</v>
      </c>
      <c r="T1083" s="63" t="str">
        <f t="shared" si="6"/>
        <v>2023-06</v>
      </c>
      <c r="U1083" s="64" t="str">
        <f t="shared" si="7"/>
        <v>2023-H1</v>
      </c>
      <c r="V1083" s="9" t="str">
        <f>VLOOKUP(B1083,Bounties!A:E,2,FALSE)</f>
        <v>Events Bounty</v>
      </c>
    </row>
    <row r="1084" hidden="1">
      <c r="A1084" s="67">
        <f>HYPERLINK("https://polkadot.subsquare.io/treasury/child-bounties/310", 310)</f>
        <v>310</v>
      </c>
      <c r="B1084" s="1">
        <v>17.0</v>
      </c>
      <c r="C1084" s="1" t="s">
        <v>2414</v>
      </c>
      <c r="D1084" s="1" t="s">
        <v>1606</v>
      </c>
      <c r="E1084" s="5">
        <v>880.4</v>
      </c>
      <c r="F1084" s="4">
        <v>3853.6727180480957</v>
      </c>
      <c r="G1084" s="1" t="s">
        <v>2718</v>
      </c>
      <c r="H1084" s="95">
        <v>45089.0</v>
      </c>
      <c r="I1084" s="95">
        <v>45103.0</v>
      </c>
      <c r="J1084" s="4">
        <v>4299.003604507446</v>
      </c>
      <c r="K1084" s="1"/>
      <c r="L1084" s="1" t="s">
        <v>86</v>
      </c>
      <c r="M1084" s="1" t="str">
        <f>VLOOKUP(B1084,Bounties!A:D,3,FALSE)</f>
        <v>Outreach</v>
      </c>
      <c r="N1084" s="1" t="str">
        <f>VLOOKUP(B1084,Bounties!A:D,4,FALSE)</f>
        <v>Events/Meetups</v>
      </c>
      <c r="O1084" s="1" t="str">
        <f t="shared" ref="O1084:P1084" si="1088">IF(ISBLANK(K1084),M1084,K1084)</f>
        <v>Outreach</v>
      </c>
      <c r="P1084" s="1" t="str">
        <f t="shared" si="1088"/>
        <v>Events/Conference Attendance &amp; Side Events</v>
      </c>
      <c r="Q1084" s="61" t="str">
        <f t="shared" si="3"/>
        <v>2023</v>
      </c>
      <c r="R1084" s="62">
        <f t="shared" si="4"/>
        <v>6</v>
      </c>
      <c r="S1084" s="61" t="str">
        <f t="shared" si="5"/>
        <v>2023-Q2</v>
      </c>
      <c r="T1084" s="63" t="str">
        <f t="shared" si="6"/>
        <v>2023-06</v>
      </c>
      <c r="U1084" s="64" t="str">
        <f t="shared" si="7"/>
        <v>2023-H1</v>
      </c>
      <c r="V1084" s="9" t="str">
        <f>VLOOKUP(B1084,Bounties!A:E,2,FALSE)</f>
        <v>Events Bounty</v>
      </c>
    </row>
    <row r="1085" hidden="1">
      <c r="A1085" s="67">
        <f>HYPERLINK("https://polkadot.subsquare.io/treasury/child-bounties/309", 309)</f>
        <v>309</v>
      </c>
      <c r="B1085" s="1">
        <v>17.0</v>
      </c>
      <c r="C1085" s="1" t="s">
        <v>2414</v>
      </c>
      <c r="D1085" s="1" t="s">
        <v>1605</v>
      </c>
      <c r="E1085" s="5">
        <v>910.0</v>
      </c>
      <c r="F1085" s="4">
        <v>3983.237361907959</v>
      </c>
      <c r="G1085" s="1" t="s">
        <v>2719</v>
      </c>
      <c r="H1085" s="95">
        <v>45089.0</v>
      </c>
      <c r="I1085" s="95">
        <v>45098.0</v>
      </c>
      <c r="J1085" s="4">
        <v>4556.776556968689</v>
      </c>
      <c r="K1085" s="1"/>
      <c r="L1085" s="1" t="s">
        <v>86</v>
      </c>
      <c r="M1085" s="1" t="str">
        <f>VLOOKUP(B1085,Bounties!A:D,3,FALSE)</f>
        <v>Outreach</v>
      </c>
      <c r="N1085" s="1" t="str">
        <f>VLOOKUP(B1085,Bounties!A:D,4,FALSE)</f>
        <v>Events/Meetups</v>
      </c>
      <c r="O1085" s="1" t="str">
        <f t="shared" ref="O1085:P1085" si="1089">IF(ISBLANK(K1085),M1085,K1085)</f>
        <v>Outreach</v>
      </c>
      <c r="P1085" s="1" t="str">
        <f t="shared" si="1089"/>
        <v>Events/Conference Attendance &amp; Side Events</v>
      </c>
      <c r="Q1085" s="61" t="str">
        <f t="shared" si="3"/>
        <v>2023</v>
      </c>
      <c r="R1085" s="62">
        <f t="shared" si="4"/>
        <v>6</v>
      </c>
      <c r="S1085" s="61" t="str">
        <f t="shared" si="5"/>
        <v>2023-Q2</v>
      </c>
      <c r="T1085" s="63" t="str">
        <f t="shared" si="6"/>
        <v>2023-06</v>
      </c>
      <c r="U1085" s="64" t="str">
        <f t="shared" si="7"/>
        <v>2023-H1</v>
      </c>
      <c r="V1085" s="9" t="str">
        <f>VLOOKUP(B1085,Bounties!A:E,2,FALSE)</f>
        <v>Events Bounty</v>
      </c>
    </row>
    <row r="1086" hidden="1">
      <c r="A1086" s="67">
        <f>HYPERLINK("https://polkadot.subsquare.io/treasury/child-bounties/308", 308)</f>
        <v>308</v>
      </c>
      <c r="B1086" s="1">
        <v>17.0</v>
      </c>
      <c r="C1086" s="1" t="s">
        <v>2414</v>
      </c>
      <c r="D1086" s="1" t="s">
        <v>1604</v>
      </c>
      <c r="E1086" s="5">
        <v>783.0</v>
      </c>
      <c r="F1086" s="4">
        <v>3427.3350048065186</v>
      </c>
      <c r="G1086" s="1" t="s">
        <v>2720</v>
      </c>
      <c r="H1086" s="95">
        <v>45089.0</v>
      </c>
      <c r="I1086" s="95">
        <v>45098.0</v>
      </c>
      <c r="J1086" s="4">
        <v>3993.4683122634888</v>
      </c>
      <c r="K1086" s="1"/>
      <c r="L1086" s="1" t="s">
        <v>86</v>
      </c>
      <c r="M1086" s="1" t="str">
        <f>VLOOKUP(B1086,Bounties!A:D,3,FALSE)</f>
        <v>Outreach</v>
      </c>
      <c r="N1086" s="1" t="str">
        <f>VLOOKUP(B1086,Bounties!A:D,4,FALSE)</f>
        <v>Events/Meetups</v>
      </c>
      <c r="O1086" s="1" t="str">
        <f t="shared" ref="O1086:P1086" si="1090">IF(ISBLANK(K1086),M1086,K1086)</f>
        <v>Outreach</v>
      </c>
      <c r="P1086" s="1" t="str">
        <f t="shared" si="1090"/>
        <v>Events/Conference Attendance &amp; Side Events</v>
      </c>
      <c r="Q1086" s="61" t="str">
        <f t="shared" si="3"/>
        <v>2023</v>
      </c>
      <c r="R1086" s="62">
        <f t="shared" si="4"/>
        <v>6</v>
      </c>
      <c r="S1086" s="61" t="str">
        <f t="shared" si="5"/>
        <v>2023-Q2</v>
      </c>
      <c r="T1086" s="63" t="str">
        <f t="shared" si="6"/>
        <v>2023-06</v>
      </c>
      <c r="U1086" s="64" t="str">
        <f t="shared" si="7"/>
        <v>2023-H1</v>
      </c>
      <c r="V1086" s="9" t="str">
        <f>VLOOKUP(B1086,Bounties!A:E,2,FALSE)</f>
        <v>Events Bounty</v>
      </c>
    </row>
    <row r="1087" hidden="1">
      <c r="A1087" s="67">
        <f>HYPERLINK("https://polkadot.subsquare.io/treasury/child-bounties/307", 307)</f>
        <v>307</v>
      </c>
      <c r="B1087" s="1">
        <v>17.0</v>
      </c>
      <c r="C1087" s="1" t="s">
        <v>2414</v>
      </c>
      <c r="D1087" s="1" t="s">
        <v>1603</v>
      </c>
      <c r="E1087" s="5">
        <v>974.0</v>
      </c>
      <c r="F1087" s="4">
        <v>4263.3771324157715</v>
      </c>
      <c r="G1087" s="1" t="s">
        <v>2720</v>
      </c>
      <c r="H1087" s="95">
        <v>45089.0</v>
      </c>
      <c r="I1087" s="95">
        <v>45098.0</v>
      </c>
      <c r="J1087" s="4">
        <v>4967.609369277954</v>
      </c>
      <c r="K1087" s="1"/>
      <c r="L1087" s="1" t="s">
        <v>86</v>
      </c>
      <c r="M1087" s="1" t="str">
        <f>VLOOKUP(B1087,Bounties!A:D,3,FALSE)</f>
        <v>Outreach</v>
      </c>
      <c r="N1087" s="1" t="str">
        <f>VLOOKUP(B1087,Bounties!A:D,4,FALSE)</f>
        <v>Events/Meetups</v>
      </c>
      <c r="O1087" s="1" t="str">
        <f t="shared" ref="O1087:P1087" si="1091">IF(ISBLANK(K1087),M1087,K1087)</f>
        <v>Outreach</v>
      </c>
      <c r="P1087" s="1" t="str">
        <f t="shared" si="1091"/>
        <v>Events/Conference Attendance &amp; Side Events</v>
      </c>
      <c r="Q1087" s="61" t="str">
        <f t="shared" si="3"/>
        <v>2023</v>
      </c>
      <c r="R1087" s="62">
        <f t="shared" si="4"/>
        <v>6</v>
      </c>
      <c r="S1087" s="61" t="str">
        <f t="shared" si="5"/>
        <v>2023-Q2</v>
      </c>
      <c r="T1087" s="63" t="str">
        <f t="shared" si="6"/>
        <v>2023-06</v>
      </c>
      <c r="U1087" s="64" t="str">
        <f t="shared" si="7"/>
        <v>2023-H1</v>
      </c>
      <c r="V1087" s="9" t="str">
        <f>VLOOKUP(B1087,Bounties!A:E,2,FALSE)</f>
        <v>Events Bounty</v>
      </c>
    </row>
    <row r="1088" hidden="1">
      <c r="A1088" s="67">
        <f>HYPERLINK("https://polkadot.subsquare.io/treasury/child-bounties/306", 306)</f>
        <v>306</v>
      </c>
      <c r="B1088" s="1">
        <v>17.0</v>
      </c>
      <c r="C1088" s="1" t="s">
        <v>2414</v>
      </c>
      <c r="D1088" s="1" t="s">
        <v>1602</v>
      </c>
      <c r="E1088" s="5">
        <v>911.0</v>
      </c>
      <c r="F1088" s="4">
        <v>3987.6145458221436</v>
      </c>
      <c r="G1088" s="1" t="s">
        <v>2709</v>
      </c>
      <c r="H1088" s="95">
        <v>45089.0</v>
      </c>
      <c r="I1088" s="95">
        <v>45099.0</v>
      </c>
      <c r="J1088" s="4">
        <v>4561.784003734589</v>
      </c>
      <c r="K1088" s="1"/>
      <c r="L1088" s="1" t="s">
        <v>86</v>
      </c>
      <c r="M1088" s="1" t="str">
        <f>VLOOKUP(B1088,Bounties!A:D,3,FALSE)</f>
        <v>Outreach</v>
      </c>
      <c r="N1088" s="1" t="str">
        <f>VLOOKUP(B1088,Bounties!A:D,4,FALSE)</f>
        <v>Events/Meetups</v>
      </c>
      <c r="O1088" s="1" t="str">
        <f t="shared" ref="O1088:P1088" si="1092">IF(ISBLANK(K1088),M1088,K1088)</f>
        <v>Outreach</v>
      </c>
      <c r="P1088" s="1" t="str">
        <f t="shared" si="1092"/>
        <v>Events/Conference Attendance &amp; Side Events</v>
      </c>
      <c r="Q1088" s="61" t="str">
        <f t="shared" si="3"/>
        <v>2023</v>
      </c>
      <c r="R1088" s="62">
        <f t="shared" si="4"/>
        <v>6</v>
      </c>
      <c r="S1088" s="61" t="str">
        <f t="shared" si="5"/>
        <v>2023-Q2</v>
      </c>
      <c r="T1088" s="63" t="str">
        <f t="shared" si="6"/>
        <v>2023-06</v>
      </c>
      <c r="U1088" s="64" t="str">
        <f t="shared" si="7"/>
        <v>2023-H1</v>
      </c>
      <c r="V1088" s="9" t="str">
        <f>VLOOKUP(B1088,Bounties!A:E,2,FALSE)</f>
        <v>Events Bounty</v>
      </c>
    </row>
    <row r="1089" hidden="1">
      <c r="A1089" s="67">
        <f>HYPERLINK("https://polkadot.subsquare.io/treasury/child-bounties/305", 305)</f>
        <v>305</v>
      </c>
      <c r="B1089" s="1">
        <v>17.0</v>
      </c>
      <c r="C1089" s="1" t="s">
        <v>2414</v>
      </c>
      <c r="D1089" s="1" t="s">
        <v>1601</v>
      </c>
      <c r="E1089" s="5">
        <v>767.0</v>
      </c>
      <c r="F1089" s="4">
        <v>3357.3000621795654</v>
      </c>
      <c r="G1089" s="1" t="s">
        <v>2716</v>
      </c>
      <c r="H1089" s="95">
        <v>45089.0</v>
      </c>
      <c r="I1089" s="95">
        <v>45100.0</v>
      </c>
      <c r="J1089" s="4">
        <v>3855.502687931061</v>
      </c>
      <c r="K1089" s="1"/>
      <c r="L1089" s="1" t="s">
        <v>86</v>
      </c>
      <c r="M1089" s="1" t="str">
        <f>VLOOKUP(B1089,Bounties!A:D,3,FALSE)</f>
        <v>Outreach</v>
      </c>
      <c r="N1089" s="1" t="str">
        <f>VLOOKUP(B1089,Bounties!A:D,4,FALSE)</f>
        <v>Events/Meetups</v>
      </c>
      <c r="O1089" s="1" t="str">
        <f t="shared" ref="O1089:P1089" si="1093">IF(ISBLANK(K1089),M1089,K1089)</f>
        <v>Outreach</v>
      </c>
      <c r="P1089" s="1" t="str">
        <f t="shared" si="1093"/>
        <v>Events/Conference Attendance &amp; Side Events</v>
      </c>
      <c r="Q1089" s="61" t="str">
        <f t="shared" si="3"/>
        <v>2023</v>
      </c>
      <c r="R1089" s="62">
        <f t="shared" si="4"/>
        <v>6</v>
      </c>
      <c r="S1089" s="61" t="str">
        <f t="shared" si="5"/>
        <v>2023-Q2</v>
      </c>
      <c r="T1089" s="63" t="str">
        <f t="shared" si="6"/>
        <v>2023-06</v>
      </c>
      <c r="U1089" s="64" t="str">
        <f t="shared" si="7"/>
        <v>2023-H1</v>
      </c>
      <c r="V1089" s="9" t="str">
        <f>VLOOKUP(B1089,Bounties!A:E,2,FALSE)</f>
        <v>Events Bounty</v>
      </c>
    </row>
    <row r="1090" hidden="1">
      <c r="A1090" s="67">
        <f>HYPERLINK("https://polkadot.subsquare.io/treasury/child-bounties/304", 304)</f>
        <v>304</v>
      </c>
      <c r="B1090" s="1">
        <v>17.0</v>
      </c>
      <c r="C1090" s="1" t="s">
        <v>2414</v>
      </c>
      <c r="D1090" s="1" t="s">
        <v>1600</v>
      </c>
      <c r="E1090" s="5">
        <v>958.0</v>
      </c>
      <c r="F1090" s="4">
        <v>4193.342189788818</v>
      </c>
      <c r="G1090" s="1" t="s">
        <v>2620</v>
      </c>
      <c r="H1090" s="95">
        <v>45089.0</v>
      </c>
      <c r="I1090" s="95">
        <v>45099.0</v>
      </c>
      <c r="J1090" s="4">
        <v>4797.134001731873</v>
      </c>
      <c r="K1090" s="1"/>
      <c r="L1090" s="1" t="s">
        <v>86</v>
      </c>
      <c r="M1090" s="1" t="str">
        <f>VLOOKUP(B1090,Bounties!A:D,3,FALSE)</f>
        <v>Outreach</v>
      </c>
      <c r="N1090" s="1" t="str">
        <f>VLOOKUP(B1090,Bounties!A:D,4,FALSE)</f>
        <v>Events/Meetups</v>
      </c>
      <c r="O1090" s="1" t="str">
        <f t="shared" ref="O1090:P1090" si="1094">IF(ISBLANK(K1090),M1090,K1090)</f>
        <v>Outreach</v>
      </c>
      <c r="P1090" s="1" t="str">
        <f t="shared" si="1094"/>
        <v>Events/Conference Attendance &amp; Side Events</v>
      </c>
      <c r="Q1090" s="61" t="str">
        <f t="shared" si="3"/>
        <v>2023</v>
      </c>
      <c r="R1090" s="62">
        <f t="shared" si="4"/>
        <v>6</v>
      </c>
      <c r="S1090" s="61" t="str">
        <f t="shared" si="5"/>
        <v>2023-Q2</v>
      </c>
      <c r="T1090" s="63" t="str">
        <f t="shared" si="6"/>
        <v>2023-06</v>
      </c>
      <c r="U1090" s="64" t="str">
        <f t="shared" si="7"/>
        <v>2023-H1</v>
      </c>
      <c r="V1090" s="9" t="str">
        <f>VLOOKUP(B1090,Bounties!A:E,2,FALSE)</f>
        <v>Events Bounty</v>
      </c>
    </row>
    <row r="1091" hidden="1">
      <c r="A1091" s="67">
        <f>HYPERLINK("https://polkadot.subsquare.io/treasury/child-bounties/303", 303)</f>
        <v>303</v>
      </c>
      <c r="B1091" s="1">
        <v>17.0</v>
      </c>
      <c r="C1091" s="1" t="s">
        <v>2414</v>
      </c>
      <c r="D1091" s="1" t="s">
        <v>1599</v>
      </c>
      <c r="E1091" s="5">
        <v>5639.0</v>
      </c>
      <c r="F1091" s="4">
        <v>24682.940092086792</v>
      </c>
      <c r="G1091" s="1" t="s">
        <v>2721</v>
      </c>
      <c r="H1091" s="95">
        <v>45089.0</v>
      </c>
      <c r="I1091" s="95">
        <v>45097.0</v>
      </c>
      <c r="J1091" s="4">
        <v>28760.112149238586</v>
      </c>
      <c r="K1091" s="1"/>
      <c r="L1091" s="1" t="s">
        <v>86</v>
      </c>
      <c r="M1091" s="1" t="str">
        <f>VLOOKUP(B1091,Bounties!A:D,3,FALSE)</f>
        <v>Outreach</v>
      </c>
      <c r="N1091" s="1" t="str">
        <f>VLOOKUP(B1091,Bounties!A:D,4,FALSE)</f>
        <v>Events/Meetups</v>
      </c>
      <c r="O1091" s="1" t="str">
        <f t="shared" ref="O1091:P1091" si="1095">IF(ISBLANK(K1091),M1091,K1091)</f>
        <v>Outreach</v>
      </c>
      <c r="P1091" s="1" t="str">
        <f t="shared" si="1095"/>
        <v>Events/Conference Attendance &amp; Side Events</v>
      </c>
      <c r="Q1091" s="61" t="str">
        <f t="shared" si="3"/>
        <v>2023</v>
      </c>
      <c r="R1091" s="62">
        <f t="shared" si="4"/>
        <v>6</v>
      </c>
      <c r="S1091" s="61" t="str">
        <f t="shared" si="5"/>
        <v>2023-Q2</v>
      </c>
      <c r="T1091" s="63" t="str">
        <f t="shared" si="6"/>
        <v>2023-06</v>
      </c>
      <c r="U1091" s="64" t="str">
        <f t="shared" si="7"/>
        <v>2023-H1</v>
      </c>
      <c r="V1091" s="9" t="str">
        <f>VLOOKUP(B1091,Bounties!A:E,2,FALSE)</f>
        <v>Events Bounty</v>
      </c>
    </row>
    <row r="1092" hidden="1">
      <c r="A1092" s="67">
        <f>HYPERLINK("https://polkadot.subsquare.io/treasury/child-bounties/302", 302)</f>
        <v>302</v>
      </c>
      <c r="B1092" s="1">
        <v>17.0</v>
      </c>
      <c r="C1092" s="1" t="s">
        <v>2414</v>
      </c>
      <c r="D1092" s="1" t="s">
        <v>1598</v>
      </c>
      <c r="E1092" s="5">
        <v>843.0</v>
      </c>
      <c r="F1092" s="4">
        <v>3689.966039657593</v>
      </c>
      <c r="G1092" s="1" t="s">
        <v>2674</v>
      </c>
      <c r="H1092" s="95">
        <v>45089.0</v>
      </c>
      <c r="I1092" s="95">
        <v>45098.0</v>
      </c>
      <c r="J1092" s="4">
        <v>4299.481209754944</v>
      </c>
      <c r="K1092" s="1"/>
      <c r="L1092" s="1" t="s">
        <v>86</v>
      </c>
      <c r="M1092" s="1" t="str">
        <f>VLOOKUP(B1092,Bounties!A:D,3,FALSE)</f>
        <v>Outreach</v>
      </c>
      <c r="N1092" s="1" t="str">
        <f>VLOOKUP(B1092,Bounties!A:D,4,FALSE)</f>
        <v>Events/Meetups</v>
      </c>
      <c r="O1092" s="1" t="str">
        <f t="shared" ref="O1092:P1092" si="1096">IF(ISBLANK(K1092),M1092,K1092)</f>
        <v>Outreach</v>
      </c>
      <c r="P1092" s="1" t="str">
        <f t="shared" si="1096"/>
        <v>Events/Conference Attendance &amp; Side Events</v>
      </c>
      <c r="Q1092" s="61" t="str">
        <f t="shared" si="3"/>
        <v>2023</v>
      </c>
      <c r="R1092" s="62">
        <f t="shared" si="4"/>
        <v>6</v>
      </c>
      <c r="S1092" s="61" t="str">
        <f t="shared" si="5"/>
        <v>2023-Q2</v>
      </c>
      <c r="T1092" s="63" t="str">
        <f t="shared" si="6"/>
        <v>2023-06</v>
      </c>
      <c r="U1092" s="64" t="str">
        <f t="shared" si="7"/>
        <v>2023-H1</v>
      </c>
      <c r="V1092" s="9" t="str">
        <f>VLOOKUP(B1092,Bounties!A:E,2,FALSE)</f>
        <v>Events Bounty</v>
      </c>
    </row>
    <row r="1093" hidden="1">
      <c r="A1093" s="67">
        <f>HYPERLINK("https://polkadot.subsquare.io/treasury/child-bounties/301", 301)</f>
        <v>301</v>
      </c>
      <c r="B1093" s="1">
        <v>17.0</v>
      </c>
      <c r="C1093" s="1" t="s">
        <v>2414</v>
      </c>
      <c r="D1093" s="1" t="s">
        <v>1597</v>
      </c>
      <c r="E1093" s="5">
        <v>1027.0</v>
      </c>
      <c r="F1093" s="4">
        <v>4495.367879867554</v>
      </c>
      <c r="G1093" s="1" t="s">
        <v>2722</v>
      </c>
      <c r="H1093" s="95">
        <v>45089.0</v>
      </c>
      <c r="I1093" s="95">
        <v>45099.0</v>
      </c>
      <c r="J1093" s="4">
        <v>5335.064884185791</v>
      </c>
      <c r="K1093" s="1"/>
      <c r="L1093" s="1" t="s">
        <v>86</v>
      </c>
      <c r="M1093" s="1" t="str">
        <f>VLOOKUP(B1093,Bounties!A:D,3,FALSE)</f>
        <v>Outreach</v>
      </c>
      <c r="N1093" s="1" t="str">
        <f>VLOOKUP(B1093,Bounties!A:D,4,FALSE)</f>
        <v>Events/Meetups</v>
      </c>
      <c r="O1093" s="1" t="str">
        <f t="shared" ref="O1093:P1093" si="1097">IF(ISBLANK(K1093),M1093,K1093)</f>
        <v>Outreach</v>
      </c>
      <c r="P1093" s="1" t="str">
        <f t="shared" si="1097"/>
        <v>Events/Conference Attendance &amp; Side Events</v>
      </c>
      <c r="Q1093" s="61" t="str">
        <f t="shared" si="3"/>
        <v>2023</v>
      </c>
      <c r="R1093" s="62">
        <f t="shared" si="4"/>
        <v>6</v>
      </c>
      <c r="S1093" s="61" t="str">
        <f t="shared" si="5"/>
        <v>2023-Q2</v>
      </c>
      <c r="T1093" s="63" t="str">
        <f t="shared" si="6"/>
        <v>2023-06</v>
      </c>
      <c r="U1093" s="64" t="str">
        <f t="shared" si="7"/>
        <v>2023-H1</v>
      </c>
      <c r="V1093" s="9" t="str">
        <f>VLOOKUP(B1093,Bounties!A:E,2,FALSE)</f>
        <v>Events Bounty</v>
      </c>
    </row>
    <row r="1094" hidden="1">
      <c r="A1094" s="67">
        <f>HYPERLINK("https://polkadot.subsquare.io/treasury/child-bounties/300", 300)</f>
        <v>300</v>
      </c>
      <c r="B1094" s="1">
        <v>17.0</v>
      </c>
      <c r="C1094" s="1" t="s">
        <v>2414</v>
      </c>
      <c r="D1094" s="1" t="s">
        <v>1596</v>
      </c>
      <c r="E1094" s="5">
        <v>728.0</v>
      </c>
      <c r="F1094" s="4">
        <v>3186.589889526367</v>
      </c>
      <c r="G1094" s="1" t="s">
        <v>2623</v>
      </c>
      <c r="H1094" s="95">
        <v>45089.0</v>
      </c>
      <c r="I1094" s="95">
        <v>45101.0</v>
      </c>
      <c r="J1094" s="4">
        <v>3659.460178375244</v>
      </c>
      <c r="K1094" s="1"/>
      <c r="L1094" s="1" t="s">
        <v>86</v>
      </c>
      <c r="M1094" s="1" t="str">
        <f>VLOOKUP(B1094,Bounties!A:D,3,FALSE)</f>
        <v>Outreach</v>
      </c>
      <c r="N1094" s="1" t="str">
        <f>VLOOKUP(B1094,Bounties!A:D,4,FALSE)</f>
        <v>Events/Meetups</v>
      </c>
      <c r="O1094" s="1" t="str">
        <f t="shared" ref="O1094:P1094" si="1098">IF(ISBLANK(K1094),M1094,K1094)</f>
        <v>Outreach</v>
      </c>
      <c r="P1094" s="1" t="str">
        <f t="shared" si="1098"/>
        <v>Events/Conference Attendance &amp; Side Events</v>
      </c>
      <c r="Q1094" s="61" t="str">
        <f t="shared" si="3"/>
        <v>2023</v>
      </c>
      <c r="R1094" s="62">
        <f t="shared" si="4"/>
        <v>6</v>
      </c>
      <c r="S1094" s="61" t="str">
        <f t="shared" si="5"/>
        <v>2023-Q2</v>
      </c>
      <c r="T1094" s="63" t="str">
        <f t="shared" si="6"/>
        <v>2023-06</v>
      </c>
      <c r="U1094" s="64" t="str">
        <f t="shared" si="7"/>
        <v>2023-H1</v>
      </c>
      <c r="V1094" s="9" t="str">
        <f>VLOOKUP(B1094,Bounties!A:E,2,FALSE)</f>
        <v>Events Bounty</v>
      </c>
    </row>
    <row r="1095" hidden="1">
      <c r="A1095" s="67">
        <f>HYPERLINK("https://polkadot.subsquare.io/treasury/child-bounties/299", 299)</f>
        <v>299</v>
      </c>
      <c r="B1095" s="1">
        <v>17.0</v>
      </c>
      <c r="C1095" s="1" t="s">
        <v>2414</v>
      </c>
      <c r="D1095" s="1" t="s">
        <v>1595</v>
      </c>
      <c r="E1095" s="5">
        <v>1052.0</v>
      </c>
      <c r="F1095" s="4">
        <v>4604.797477722168</v>
      </c>
      <c r="G1095" s="1" t="s">
        <v>2624</v>
      </c>
      <c r="H1095" s="95">
        <v>45089.0</v>
      </c>
      <c r="I1095" s="95">
        <v>45097.0</v>
      </c>
      <c r="J1095" s="4">
        <v>5365.426136016846</v>
      </c>
      <c r="K1095" s="1"/>
      <c r="L1095" s="1" t="s">
        <v>86</v>
      </c>
      <c r="M1095" s="1" t="str">
        <f>VLOOKUP(B1095,Bounties!A:D,3,FALSE)</f>
        <v>Outreach</v>
      </c>
      <c r="N1095" s="1" t="str">
        <f>VLOOKUP(B1095,Bounties!A:D,4,FALSE)</f>
        <v>Events/Meetups</v>
      </c>
      <c r="O1095" s="1" t="str">
        <f t="shared" ref="O1095:P1095" si="1099">IF(ISBLANK(K1095),M1095,K1095)</f>
        <v>Outreach</v>
      </c>
      <c r="P1095" s="1" t="str">
        <f t="shared" si="1099"/>
        <v>Events/Conference Attendance &amp; Side Events</v>
      </c>
      <c r="Q1095" s="61" t="str">
        <f t="shared" si="3"/>
        <v>2023</v>
      </c>
      <c r="R1095" s="62">
        <f t="shared" si="4"/>
        <v>6</v>
      </c>
      <c r="S1095" s="61" t="str">
        <f t="shared" si="5"/>
        <v>2023-Q2</v>
      </c>
      <c r="T1095" s="63" t="str">
        <f t="shared" si="6"/>
        <v>2023-06</v>
      </c>
      <c r="U1095" s="64" t="str">
        <f t="shared" si="7"/>
        <v>2023-H1</v>
      </c>
      <c r="V1095" s="9" t="str">
        <f>VLOOKUP(B1095,Bounties!A:E,2,FALSE)</f>
        <v>Events Bounty</v>
      </c>
    </row>
    <row r="1096" hidden="1">
      <c r="A1096" s="67">
        <f>HYPERLINK("https://polkadot.subsquare.io/treasury/child-bounties/298", 298)</f>
        <v>298</v>
      </c>
      <c r="B1096" s="1">
        <v>17.0</v>
      </c>
      <c r="C1096" s="1" t="s">
        <v>2414</v>
      </c>
      <c r="D1096" s="1" t="s">
        <v>1594</v>
      </c>
      <c r="E1096" s="5">
        <v>1030.563</v>
      </c>
      <c r="F1096" s="4">
        <v>4709.518292527199</v>
      </c>
      <c r="G1096" s="1" t="s">
        <v>2626</v>
      </c>
      <c r="H1096" s="95">
        <v>45088.0</v>
      </c>
      <c r="I1096" s="95">
        <v>45098.0</v>
      </c>
      <c r="J1096" s="4">
        <v>5256.092827958108</v>
      </c>
      <c r="K1096" s="1"/>
      <c r="L1096" s="1" t="s">
        <v>86</v>
      </c>
      <c r="M1096" s="1" t="str">
        <f>VLOOKUP(B1096,Bounties!A:D,3,FALSE)</f>
        <v>Outreach</v>
      </c>
      <c r="N1096" s="1" t="str">
        <f>VLOOKUP(B1096,Bounties!A:D,4,FALSE)</f>
        <v>Events/Meetups</v>
      </c>
      <c r="O1096" s="1" t="str">
        <f t="shared" ref="O1096:P1096" si="1100">IF(ISBLANK(K1096),M1096,K1096)</f>
        <v>Outreach</v>
      </c>
      <c r="P1096" s="1" t="str">
        <f t="shared" si="1100"/>
        <v>Events/Conference Attendance &amp; Side Events</v>
      </c>
      <c r="Q1096" s="61" t="str">
        <f t="shared" si="3"/>
        <v>2023</v>
      </c>
      <c r="R1096" s="62">
        <f t="shared" si="4"/>
        <v>6</v>
      </c>
      <c r="S1096" s="61" t="str">
        <f t="shared" si="5"/>
        <v>2023-Q2</v>
      </c>
      <c r="T1096" s="63" t="str">
        <f t="shared" si="6"/>
        <v>2023-06</v>
      </c>
      <c r="U1096" s="64" t="str">
        <f t="shared" si="7"/>
        <v>2023-H1</v>
      </c>
      <c r="V1096" s="9" t="str">
        <f>VLOOKUP(B1096,Bounties!A:E,2,FALSE)</f>
        <v>Events Bounty</v>
      </c>
    </row>
    <row r="1097" hidden="1">
      <c r="A1097" s="67">
        <f>HYPERLINK("https://polkadot.subsquare.io/treasury/child-bounties/297", 297)</f>
        <v>297</v>
      </c>
      <c r="B1097" s="1">
        <v>17.0</v>
      </c>
      <c r="C1097" s="1" t="s">
        <v>2414</v>
      </c>
      <c r="D1097" s="1" t="s">
        <v>1593</v>
      </c>
      <c r="E1097" s="5">
        <v>1030.563</v>
      </c>
      <c r="F1097" s="4">
        <v>4709.518292527199</v>
      </c>
      <c r="G1097" s="1" t="s">
        <v>2627</v>
      </c>
      <c r="H1097" s="95">
        <v>45088.0</v>
      </c>
      <c r="I1097" s="95">
        <v>45097.0</v>
      </c>
      <c r="J1097" s="4">
        <v>5256.092827958108</v>
      </c>
      <c r="K1097" s="1"/>
      <c r="L1097" s="1" t="s">
        <v>86</v>
      </c>
      <c r="M1097" s="1" t="str">
        <f>VLOOKUP(B1097,Bounties!A:D,3,FALSE)</f>
        <v>Outreach</v>
      </c>
      <c r="N1097" s="1" t="str">
        <f>VLOOKUP(B1097,Bounties!A:D,4,FALSE)</f>
        <v>Events/Meetups</v>
      </c>
      <c r="O1097" s="1" t="str">
        <f t="shared" ref="O1097:P1097" si="1101">IF(ISBLANK(K1097),M1097,K1097)</f>
        <v>Outreach</v>
      </c>
      <c r="P1097" s="1" t="str">
        <f t="shared" si="1101"/>
        <v>Events/Conference Attendance &amp; Side Events</v>
      </c>
      <c r="Q1097" s="61" t="str">
        <f t="shared" si="3"/>
        <v>2023</v>
      </c>
      <c r="R1097" s="62">
        <f t="shared" si="4"/>
        <v>6</v>
      </c>
      <c r="S1097" s="61" t="str">
        <f t="shared" si="5"/>
        <v>2023-Q2</v>
      </c>
      <c r="T1097" s="63" t="str">
        <f t="shared" si="6"/>
        <v>2023-06</v>
      </c>
      <c r="U1097" s="64" t="str">
        <f t="shared" si="7"/>
        <v>2023-H1</v>
      </c>
      <c r="V1097" s="9" t="str">
        <f>VLOOKUP(B1097,Bounties!A:E,2,FALSE)</f>
        <v>Events Bounty</v>
      </c>
    </row>
    <row r="1098" hidden="1">
      <c r="A1098" s="67">
        <f>HYPERLINK("https://polkadot.subsquare.io/treasury/child-bounties/296", 296)</f>
        <v>296</v>
      </c>
      <c r="B1098" s="1">
        <v>17.0</v>
      </c>
      <c r="C1098" s="1" t="s">
        <v>2414</v>
      </c>
      <c r="D1098" s="1" t="s">
        <v>1592</v>
      </c>
      <c r="E1098" s="5">
        <v>906.895</v>
      </c>
      <c r="F1098" s="4">
        <v>4144.374086689949</v>
      </c>
      <c r="G1098" s="1" t="s">
        <v>2628</v>
      </c>
      <c r="H1098" s="95">
        <v>45088.0</v>
      </c>
      <c r="I1098" s="95">
        <v>45098.0</v>
      </c>
      <c r="J1098" s="4">
        <v>4625.359444508553</v>
      </c>
      <c r="K1098" s="1"/>
      <c r="L1098" s="1" t="s">
        <v>86</v>
      </c>
      <c r="M1098" s="1" t="str">
        <f>VLOOKUP(B1098,Bounties!A:D,3,FALSE)</f>
        <v>Outreach</v>
      </c>
      <c r="N1098" s="1" t="str">
        <f>VLOOKUP(B1098,Bounties!A:D,4,FALSE)</f>
        <v>Events/Meetups</v>
      </c>
      <c r="O1098" s="1" t="str">
        <f t="shared" ref="O1098:P1098" si="1102">IF(ISBLANK(K1098),M1098,K1098)</f>
        <v>Outreach</v>
      </c>
      <c r="P1098" s="1" t="str">
        <f t="shared" si="1102"/>
        <v>Events/Conference Attendance &amp; Side Events</v>
      </c>
      <c r="Q1098" s="61" t="str">
        <f t="shared" si="3"/>
        <v>2023</v>
      </c>
      <c r="R1098" s="62">
        <f t="shared" si="4"/>
        <v>6</v>
      </c>
      <c r="S1098" s="61" t="str">
        <f t="shared" si="5"/>
        <v>2023-Q2</v>
      </c>
      <c r="T1098" s="63" t="str">
        <f t="shared" si="6"/>
        <v>2023-06</v>
      </c>
      <c r="U1098" s="64" t="str">
        <f t="shared" si="7"/>
        <v>2023-H1</v>
      </c>
      <c r="V1098" s="9" t="str">
        <f>VLOOKUP(B1098,Bounties!A:E,2,FALSE)</f>
        <v>Events Bounty</v>
      </c>
    </row>
    <row r="1099" hidden="1">
      <c r="A1099" s="67">
        <f>HYPERLINK("https://polkadot.subsquare.io/treasury/child-bounties/295", 295)</f>
        <v>295</v>
      </c>
      <c r="B1099" s="1">
        <v>17.0</v>
      </c>
      <c r="C1099" s="1" t="s">
        <v>2414</v>
      </c>
      <c r="D1099" s="1" t="s">
        <v>1591</v>
      </c>
      <c r="E1099" s="5">
        <v>653.171</v>
      </c>
      <c r="F1099" s="4">
        <v>2984.8934734201434</v>
      </c>
      <c r="G1099" s="1" t="s">
        <v>2635</v>
      </c>
      <c r="H1099" s="95">
        <v>45088.0</v>
      </c>
      <c r="I1099" s="95">
        <v>45097.0</v>
      </c>
      <c r="J1099" s="4">
        <v>3331.3125044565204</v>
      </c>
      <c r="K1099" s="1"/>
      <c r="L1099" s="1" t="s">
        <v>86</v>
      </c>
      <c r="M1099" s="1" t="str">
        <f>VLOOKUP(B1099,Bounties!A:D,3,FALSE)</f>
        <v>Outreach</v>
      </c>
      <c r="N1099" s="1" t="str">
        <f>VLOOKUP(B1099,Bounties!A:D,4,FALSE)</f>
        <v>Events/Meetups</v>
      </c>
      <c r="O1099" s="1" t="str">
        <f t="shared" ref="O1099:P1099" si="1103">IF(ISBLANK(K1099),M1099,K1099)</f>
        <v>Outreach</v>
      </c>
      <c r="P1099" s="1" t="str">
        <f t="shared" si="1103"/>
        <v>Events/Conference Attendance &amp; Side Events</v>
      </c>
      <c r="Q1099" s="61" t="str">
        <f t="shared" si="3"/>
        <v>2023</v>
      </c>
      <c r="R1099" s="62">
        <f t="shared" si="4"/>
        <v>6</v>
      </c>
      <c r="S1099" s="61" t="str">
        <f t="shared" si="5"/>
        <v>2023-Q2</v>
      </c>
      <c r="T1099" s="63" t="str">
        <f t="shared" si="6"/>
        <v>2023-06</v>
      </c>
      <c r="U1099" s="64" t="str">
        <f t="shared" si="7"/>
        <v>2023-H1</v>
      </c>
      <c r="V1099" s="9" t="str">
        <f>VLOOKUP(B1099,Bounties!A:E,2,FALSE)</f>
        <v>Events Bounty</v>
      </c>
    </row>
    <row r="1100" hidden="1">
      <c r="A1100" s="67">
        <f>HYPERLINK("https://polkadot.subsquare.io/treasury/child-bounties/294", 294)</f>
        <v>294</v>
      </c>
      <c r="B1100" s="1">
        <v>17.0</v>
      </c>
      <c r="C1100" s="1" t="s">
        <v>2508</v>
      </c>
      <c r="D1100" s="1" t="s">
        <v>2723</v>
      </c>
      <c r="E1100" s="5">
        <v>466.746</v>
      </c>
      <c r="F1100" s="4">
        <v>2157.3341654491423</v>
      </c>
      <c r="G1100" s="1"/>
      <c r="H1100" s="95">
        <v>45087.0</v>
      </c>
      <c r="I1100" s="95">
        <v>45088.0</v>
      </c>
      <c r="J1100" s="4">
        <v>2132.9591931438445</v>
      </c>
      <c r="K1100" s="1"/>
      <c r="L1100" s="1"/>
      <c r="M1100" s="1" t="str">
        <f>VLOOKUP(B1100,Bounties!A:D,3,FALSE)</f>
        <v>Outreach</v>
      </c>
      <c r="N1100" s="1" t="str">
        <f>VLOOKUP(B1100,Bounties!A:D,4,FALSE)</f>
        <v>Events/Meetups</v>
      </c>
      <c r="O1100" s="1" t="str">
        <f t="shared" ref="O1100:P1100" si="1104">IF(ISBLANK(K1100),M1100,K1100)</f>
        <v>Outreach</v>
      </c>
      <c r="P1100" s="1" t="str">
        <f t="shared" si="1104"/>
        <v>Events/Meetups</v>
      </c>
      <c r="Q1100" s="61" t="str">
        <f t="shared" si="3"/>
        <v>2023</v>
      </c>
      <c r="R1100" s="62">
        <f t="shared" si="4"/>
        <v>6</v>
      </c>
      <c r="S1100" s="61" t="str">
        <f t="shared" si="5"/>
        <v>2023-Q2</v>
      </c>
      <c r="T1100" s="63" t="str">
        <f t="shared" si="6"/>
        <v>2023-06</v>
      </c>
      <c r="U1100" s="64" t="str">
        <f t="shared" si="7"/>
        <v>2023-H1</v>
      </c>
      <c r="V1100" s="9" t="str">
        <f>VLOOKUP(B1100,Bounties!A:E,2,FALSE)</f>
        <v>Events Bounty</v>
      </c>
    </row>
    <row r="1101" hidden="1">
      <c r="A1101" s="67">
        <f>HYPERLINK("https://polkadot.subsquare.io/treasury/child-bounties/293", 293)</f>
        <v>293</v>
      </c>
      <c r="B1101" s="1">
        <v>17.0</v>
      </c>
      <c r="C1101" s="1" t="s">
        <v>2414</v>
      </c>
      <c r="D1101" s="1" t="s">
        <v>1590</v>
      </c>
      <c r="E1101" s="5">
        <v>1030.563</v>
      </c>
      <c r="F1101" s="4">
        <v>4763.337595925332</v>
      </c>
      <c r="G1101" s="1" t="s">
        <v>2724</v>
      </c>
      <c r="H1101" s="95">
        <v>45087.0</v>
      </c>
      <c r="I1101" s="95">
        <v>45096.0</v>
      </c>
      <c r="J1101" s="4">
        <v>4978.266399308682</v>
      </c>
      <c r="K1101" s="1"/>
      <c r="L1101" s="1" t="s">
        <v>86</v>
      </c>
      <c r="M1101" s="1" t="str">
        <f>VLOOKUP(B1101,Bounties!A:D,3,FALSE)</f>
        <v>Outreach</v>
      </c>
      <c r="N1101" s="1" t="str">
        <f>VLOOKUP(B1101,Bounties!A:D,4,FALSE)</f>
        <v>Events/Meetups</v>
      </c>
      <c r="O1101" s="1" t="str">
        <f t="shared" ref="O1101:P1101" si="1105">IF(ISBLANK(K1101),M1101,K1101)</f>
        <v>Outreach</v>
      </c>
      <c r="P1101" s="1" t="str">
        <f t="shared" si="1105"/>
        <v>Events/Conference Attendance &amp; Side Events</v>
      </c>
      <c r="Q1101" s="61" t="str">
        <f t="shared" si="3"/>
        <v>2023</v>
      </c>
      <c r="R1101" s="62">
        <f t="shared" si="4"/>
        <v>6</v>
      </c>
      <c r="S1101" s="61" t="str">
        <f t="shared" si="5"/>
        <v>2023-Q2</v>
      </c>
      <c r="T1101" s="63" t="str">
        <f t="shared" si="6"/>
        <v>2023-06</v>
      </c>
      <c r="U1101" s="64" t="str">
        <f t="shared" si="7"/>
        <v>2023-H1</v>
      </c>
      <c r="V1101" s="9" t="str">
        <f>VLOOKUP(B1101,Bounties!A:E,2,FALSE)</f>
        <v>Events Bounty</v>
      </c>
    </row>
    <row r="1102" hidden="1">
      <c r="A1102" s="67">
        <f>HYPERLINK("https://polkadot.subsquare.io/treasury/child-bounties/292", 292)</f>
        <v>292</v>
      </c>
      <c r="B1102" s="1">
        <v>17.0</v>
      </c>
      <c r="C1102" s="1" t="s">
        <v>2414</v>
      </c>
      <c r="D1102" s="1" t="s">
        <v>1589</v>
      </c>
      <c r="E1102" s="5">
        <v>1005.623</v>
      </c>
      <c r="F1102" s="4">
        <v>4648.063090977669</v>
      </c>
      <c r="G1102" s="1" t="s">
        <v>2629</v>
      </c>
      <c r="H1102" s="95">
        <v>45087.0</v>
      </c>
      <c r="I1102" s="95">
        <v>45098.0</v>
      </c>
      <c r="J1102" s="4">
        <v>5128.893466900826</v>
      </c>
      <c r="K1102" s="1"/>
      <c r="L1102" s="1" t="s">
        <v>86</v>
      </c>
      <c r="M1102" s="1" t="str">
        <f>VLOOKUP(B1102,Bounties!A:D,3,FALSE)</f>
        <v>Outreach</v>
      </c>
      <c r="N1102" s="1" t="str">
        <f>VLOOKUP(B1102,Bounties!A:D,4,FALSE)</f>
        <v>Events/Meetups</v>
      </c>
      <c r="O1102" s="1" t="str">
        <f t="shared" ref="O1102:P1102" si="1106">IF(ISBLANK(K1102),M1102,K1102)</f>
        <v>Outreach</v>
      </c>
      <c r="P1102" s="1" t="str">
        <f t="shared" si="1106"/>
        <v>Events/Conference Attendance &amp; Side Events</v>
      </c>
      <c r="Q1102" s="61" t="str">
        <f t="shared" si="3"/>
        <v>2023</v>
      </c>
      <c r="R1102" s="62">
        <f t="shared" si="4"/>
        <v>6</v>
      </c>
      <c r="S1102" s="61" t="str">
        <f t="shared" si="5"/>
        <v>2023-Q2</v>
      </c>
      <c r="T1102" s="63" t="str">
        <f t="shared" si="6"/>
        <v>2023-06</v>
      </c>
      <c r="U1102" s="64" t="str">
        <f t="shared" si="7"/>
        <v>2023-H1</v>
      </c>
      <c r="V1102" s="9" t="str">
        <f>VLOOKUP(B1102,Bounties!A:E,2,FALSE)</f>
        <v>Events Bounty</v>
      </c>
    </row>
    <row r="1103" hidden="1">
      <c r="A1103" s="67">
        <f>HYPERLINK("https://polkadot.subsquare.io/treasury/child-bounties/291", 291)</f>
        <v>291</v>
      </c>
      <c r="B1103" s="1">
        <v>17.0</v>
      </c>
      <c r="C1103" s="1" t="s">
        <v>2414</v>
      </c>
      <c r="D1103" s="1" t="s">
        <v>1588</v>
      </c>
      <c r="E1103" s="5">
        <v>999.646</v>
      </c>
      <c r="F1103" s="4">
        <v>4620.436959619522</v>
      </c>
      <c r="G1103" s="1" t="s">
        <v>2725</v>
      </c>
      <c r="H1103" s="95">
        <v>45087.0</v>
      </c>
      <c r="I1103" s="95">
        <v>45097.0</v>
      </c>
      <c r="J1103" s="4">
        <v>5098.409482095718</v>
      </c>
      <c r="K1103" s="1"/>
      <c r="L1103" s="1" t="s">
        <v>86</v>
      </c>
      <c r="M1103" s="1" t="str">
        <f>VLOOKUP(B1103,Bounties!A:D,3,FALSE)</f>
        <v>Outreach</v>
      </c>
      <c r="N1103" s="1" t="str">
        <f>VLOOKUP(B1103,Bounties!A:D,4,FALSE)</f>
        <v>Events/Meetups</v>
      </c>
      <c r="O1103" s="1" t="str">
        <f t="shared" ref="O1103:P1103" si="1107">IF(ISBLANK(K1103),M1103,K1103)</f>
        <v>Outreach</v>
      </c>
      <c r="P1103" s="1" t="str">
        <f t="shared" si="1107"/>
        <v>Events/Conference Attendance &amp; Side Events</v>
      </c>
      <c r="Q1103" s="61" t="str">
        <f t="shared" si="3"/>
        <v>2023</v>
      </c>
      <c r="R1103" s="62">
        <f t="shared" si="4"/>
        <v>6</v>
      </c>
      <c r="S1103" s="61" t="str">
        <f t="shared" si="5"/>
        <v>2023-Q2</v>
      </c>
      <c r="T1103" s="63" t="str">
        <f t="shared" si="6"/>
        <v>2023-06</v>
      </c>
      <c r="U1103" s="64" t="str">
        <f t="shared" si="7"/>
        <v>2023-H1</v>
      </c>
      <c r="V1103" s="9" t="str">
        <f>VLOOKUP(B1103,Bounties!A:E,2,FALSE)</f>
        <v>Events Bounty</v>
      </c>
    </row>
    <row r="1104" hidden="1">
      <c r="A1104" s="67">
        <f>HYPERLINK("https://polkadot.subsquare.io/treasury/child-bounties/290", 290)</f>
        <v>290</v>
      </c>
      <c r="B1104" s="1">
        <v>17.0</v>
      </c>
      <c r="C1104" s="1" t="s">
        <v>2414</v>
      </c>
      <c r="D1104" s="1" t="s">
        <v>1587</v>
      </c>
      <c r="E1104" s="5">
        <v>971.821</v>
      </c>
      <c r="F1104" s="4">
        <v>4491.827773566246</v>
      </c>
      <c r="G1104" s="1" t="s">
        <v>2726</v>
      </c>
      <c r="H1104" s="95">
        <v>45087.0</v>
      </c>
      <c r="I1104" s="95">
        <v>45097.0</v>
      </c>
      <c r="J1104" s="4">
        <v>4956.496000884056</v>
      </c>
      <c r="K1104" s="1"/>
      <c r="L1104" s="1" t="s">
        <v>86</v>
      </c>
      <c r="M1104" s="1" t="str">
        <f>VLOOKUP(B1104,Bounties!A:D,3,FALSE)</f>
        <v>Outreach</v>
      </c>
      <c r="N1104" s="1" t="str">
        <f>VLOOKUP(B1104,Bounties!A:D,4,FALSE)</f>
        <v>Events/Meetups</v>
      </c>
      <c r="O1104" s="1" t="str">
        <f t="shared" ref="O1104:P1104" si="1108">IF(ISBLANK(K1104),M1104,K1104)</f>
        <v>Outreach</v>
      </c>
      <c r="P1104" s="1" t="str">
        <f t="shared" si="1108"/>
        <v>Events/Conference Attendance &amp; Side Events</v>
      </c>
      <c r="Q1104" s="61" t="str">
        <f t="shared" si="3"/>
        <v>2023</v>
      </c>
      <c r="R1104" s="62">
        <f t="shared" si="4"/>
        <v>6</v>
      </c>
      <c r="S1104" s="61" t="str">
        <f t="shared" si="5"/>
        <v>2023-Q2</v>
      </c>
      <c r="T1104" s="63" t="str">
        <f t="shared" si="6"/>
        <v>2023-06</v>
      </c>
      <c r="U1104" s="64" t="str">
        <f t="shared" si="7"/>
        <v>2023-H1</v>
      </c>
      <c r="V1104" s="9" t="str">
        <f>VLOOKUP(B1104,Bounties!A:E,2,FALSE)</f>
        <v>Events Bounty</v>
      </c>
    </row>
    <row r="1105" hidden="1">
      <c r="A1105" s="67">
        <f>HYPERLINK("https://polkadot.subsquare.io/treasury/child-bounties/289", 289)</f>
        <v>289</v>
      </c>
      <c r="B1105" s="1">
        <v>17.0</v>
      </c>
      <c r="C1105" s="1" t="s">
        <v>2414</v>
      </c>
      <c r="D1105" s="1" t="s">
        <v>1586</v>
      </c>
      <c r="E1105" s="5">
        <v>959.322</v>
      </c>
      <c r="F1105" s="4">
        <v>4434.056480970383</v>
      </c>
      <c r="G1105" s="1" t="s">
        <v>2727</v>
      </c>
      <c r="H1105" s="95">
        <v>45087.0</v>
      </c>
      <c r="I1105" s="95">
        <v>45097.0</v>
      </c>
      <c r="J1105" s="4">
        <v>4634.127635785103</v>
      </c>
      <c r="K1105" s="1"/>
      <c r="L1105" s="1" t="s">
        <v>86</v>
      </c>
      <c r="M1105" s="1" t="str">
        <f>VLOOKUP(B1105,Bounties!A:D,3,FALSE)</f>
        <v>Outreach</v>
      </c>
      <c r="N1105" s="1" t="str">
        <f>VLOOKUP(B1105,Bounties!A:D,4,FALSE)</f>
        <v>Events/Meetups</v>
      </c>
      <c r="O1105" s="1" t="str">
        <f t="shared" ref="O1105:P1105" si="1109">IF(ISBLANK(K1105),M1105,K1105)</f>
        <v>Outreach</v>
      </c>
      <c r="P1105" s="1" t="str">
        <f t="shared" si="1109"/>
        <v>Events/Conference Attendance &amp; Side Events</v>
      </c>
      <c r="Q1105" s="61" t="str">
        <f t="shared" si="3"/>
        <v>2023</v>
      </c>
      <c r="R1105" s="62">
        <f t="shared" si="4"/>
        <v>6</v>
      </c>
      <c r="S1105" s="61" t="str">
        <f t="shared" si="5"/>
        <v>2023-Q2</v>
      </c>
      <c r="T1105" s="63" t="str">
        <f t="shared" si="6"/>
        <v>2023-06</v>
      </c>
      <c r="U1105" s="64" t="str">
        <f t="shared" si="7"/>
        <v>2023-H1</v>
      </c>
      <c r="V1105" s="9" t="str">
        <f>VLOOKUP(B1105,Bounties!A:E,2,FALSE)</f>
        <v>Events Bounty</v>
      </c>
    </row>
    <row r="1106" hidden="1">
      <c r="A1106" s="67">
        <f>HYPERLINK("https://polkadot.subsquare.io/treasury/child-bounties/288", 288)</f>
        <v>288</v>
      </c>
      <c r="B1106" s="1">
        <v>17.0</v>
      </c>
      <c r="C1106" s="1" t="s">
        <v>2414</v>
      </c>
      <c r="D1106" s="1" t="s">
        <v>1585</v>
      </c>
      <c r="E1106" s="5">
        <v>831.664</v>
      </c>
      <c r="F1106" s="4">
        <v>3844.01186378479</v>
      </c>
      <c r="G1106" s="1" t="s">
        <v>2631</v>
      </c>
      <c r="H1106" s="95">
        <v>45087.0</v>
      </c>
      <c r="I1106" s="95">
        <v>45098.0</v>
      </c>
      <c r="J1106" s="4">
        <v>4164.513207115173</v>
      </c>
      <c r="K1106" s="1"/>
      <c r="L1106" s="1" t="s">
        <v>86</v>
      </c>
      <c r="M1106" s="1" t="str">
        <f>VLOOKUP(B1106,Bounties!A:D,3,FALSE)</f>
        <v>Outreach</v>
      </c>
      <c r="N1106" s="1" t="str">
        <f>VLOOKUP(B1106,Bounties!A:D,4,FALSE)</f>
        <v>Events/Meetups</v>
      </c>
      <c r="O1106" s="1" t="str">
        <f t="shared" ref="O1106:P1106" si="1110">IF(ISBLANK(K1106),M1106,K1106)</f>
        <v>Outreach</v>
      </c>
      <c r="P1106" s="1" t="str">
        <f t="shared" si="1110"/>
        <v>Events/Conference Attendance &amp; Side Events</v>
      </c>
      <c r="Q1106" s="61" t="str">
        <f t="shared" si="3"/>
        <v>2023</v>
      </c>
      <c r="R1106" s="62">
        <f t="shared" si="4"/>
        <v>6</v>
      </c>
      <c r="S1106" s="61" t="str">
        <f t="shared" si="5"/>
        <v>2023-Q2</v>
      </c>
      <c r="T1106" s="63" t="str">
        <f t="shared" si="6"/>
        <v>2023-06</v>
      </c>
      <c r="U1106" s="64" t="str">
        <f t="shared" si="7"/>
        <v>2023-H1</v>
      </c>
      <c r="V1106" s="9" t="str">
        <f>VLOOKUP(B1106,Bounties!A:E,2,FALSE)</f>
        <v>Events Bounty</v>
      </c>
    </row>
    <row r="1107" hidden="1">
      <c r="A1107" s="67">
        <f>HYPERLINK("https://polkadot.subsquare.io/treasury/child-bounties/287", 287)</f>
        <v>287</v>
      </c>
      <c r="B1107" s="1">
        <v>17.0</v>
      </c>
      <c r="C1107" s="1" t="s">
        <v>2414</v>
      </c>
      <c r="D1107" s="1" t="s">
        <v>1584</v>
      </c>
      <c r="E1107" s="5">
        <v>824.45</v>
      </c>
      <c r="F1107" s="4">
        <v>3810.6682279109955</v>
      </c>
      <c r="G1107" s="1" t="s">
        <v>2526</v>
      </c>
      <c r="H1107" s="95">
        <v>45087.0</v>
      </c>
      <c r="I1107" s="95">
        <v>45098.0</v>
      </c>
      <c r="J1107" s="4">
        <v>4204.872222280503</v>
      </c>
      <c r="K1107" s="1"/>
      <c r="L1107" s="1" t="s">
        <v>86</v>
      </c>
      <c r="M1107" s="1" t="str">
        <f>VLOOKUP(B1107,Bounties!A:D,3,FALSE)</f>
        <v>Outreach</v>
      </c>
      <c r="N1107" s="1" t="str">
        <f>VLOOKUP(B1107,Bounties!A:D,4,FALSE)</f>
        <v>Events/Meetups</v>
      </c>
      <c r="O1107" s="1" t="str">
        <f t="shared" ref="O1107:P1107" si="1111">IF(ISBLANK(K1107),M1107,K1107)</f>
        <v>Outreach</v>
      </c>
      <c r="P1107" s="1" t="str">
        <f t="shared" si="1111"/>
        <v>Events/Conference Attendance &amp; Side Events</v>
      </c>
      <c r="Q1107" s="61" t="str">
        <f t="shared" si="3"/>
        <v>2023</v>
      </c>
      <c r="R1107" s="62">
        <f t="shared" si="4"/>
        <v>6</v>
      </c>
      <c r="S1107" s="61" t="str">
        <f t="shared" si="5"/>
        <v>2023-Q2</v>
      </c>
      <c r="T1107" s="63" t="str">
        <f t="shared" si="6"/>
        <v>2023-06</v>
      </c>
      <c r="U1107" s="64" t="str">
        <f t="shared" si="7"/>
        <v>2023-H1</v>
      </c>
      <c r="V1107" s="9" t="str">
        <f>VLOOKUP(B1107,Bounties!A:E,2,FALSE)</f>
        <v>Events Bounty</v>
      </c>
    </row>
    <row r="1108" hidden="1">
      <c r="A1108" s="67">
        <f>HYPERLINK("https://polkadot.subsquare.io/treasury/child-bounties/286", 286)</f>
        <v>286</v>
      </c>
      <c r="B1108" s="1">
        <v>17.0</v>
      </c>
      <c r="C1108" s="1" t="s">
        <v>2414</v>
      </c>
      <c r="D1108" s="1" t="s">
        <v>1583</v>
      </c>
      <c r="E1108" s="5">
        <v>803.839</v>
      </c>
      <c r="F1108" s="4">
        <v>3715.4026777315144</v>
      </c>
      <c r="G1108" s="1" t="s">
        <v>2632</v>
      </c>
      <c r="H1108" s="95">
        <v>45087.0</v>
      </c>
      <c r="I1108" s="95">
        <v>45098.0</v>
      </c>
      <c r="J1108" s="4">
        <v>4025.1810008540156</v>
      </c>
      <c r="K1108" s="1"/>
      <c r="L1108" s="1" t="s">
        <v>86</v>
      </c>
      <c r="M1108" s="1" t="str">
        <f>VLOOKUP(B1108,Bounties!A:D,3,FALSE)</f>
        <v>Outreach</v>
      </c>
      <c r="N1108" s="1" t="str">
        <f>VLOOKUP(B1108,Bounties!A:D,4,FALSE)</f>
        <v>Events/Meetups</v>
      </c>
      <c r="O1108" s="1" t="str">
        <f t="shared" ref="O1108:P1108" si="1112">IF(ISBLANK(K1108),M1108,K1108)</f>
        <v>Outreach</v>
      </c>
      <c r="P1108" s="1" t="str">
        <f t="shared" si="1112"/>
        <v>Events/Conference Attendance &amp; Side Events</v>
      </c>
      <c r="Q1108" s="61" t="str">
        <f t="shared" si="3"/>
        <v>2023</v>
      </c>
      <c r="R1108" s="62">
        <f t="shared" si="4"/>
        <v>6</v>
      </c>
      <c r="S1108" s="61" t="str">
        <f t="shared" si="5"/>
        <v>2023-Q2</v>
      </c>
      <c r="T1108" s="63" t="str">
        <f t="shared" si="6"/>
        <v>2023-06</v>
      </c>
      <c r="U1108" s="64" t="str">
        <f t="shared" si="7"/>
        <v>2023-H1</v>
      </c>
      <c r="V1108" s="9" t="str">
        <f>VLOOKUP(B1108,Bounties!A:E,2,FALSE)</f>
        <v>Events Bounty</v>
      </c>
    </row>
    <row r="1109" hidden="1">
      <c r="A1109" s="67">
        <f>HYPERLINK("https://polkadot.subsquare.io/treasury/child-bounties/285", 285)</f>
        <v>285</v>
      </c>
      <c r="B1109" s="1">
        <v>17.0</v>
      </c>
      <c r="C1109" s="1" t="s">
        <v>2414</v>
      </c>
      <c r="D1109" s="1" t="s">
        <v>1582</v>
      </c>
      <c r="E1109" s="5">
        <v>753.548</v>
      </c>
      <c r="F1109" s="4">
        <v>3482.9539957618713</v>
      </c>
      <c r="G1109" s="1" t="s">
        <v>2540</v>
      </c>
      <c r="H1109" s="95">
        <v>45087.0</v>
      </c>
      <c r="I1109" s="95">
        <v>45096.0</v>
      </c>
      <c r="J1109" s="4">
        <v>3640.110006536484</v>
      </c>
      <c r="K1109" s="1"/>
      <c r="L1109" s="1" t="s">
        <v>86</v>
      </c>
      <c r="M1109" s="1" t="str">
        <f>VLOOKUP(B1109,Bounties!A:D,3,FALSE)</f>
        <v>Outreach</v>
      </c>
      <c r="N1109" s="1" t="str">
        <f>VLOOKUP(B1109,Bounties!A:D,4,FALSE)</f>
        <v>Events/Meetups</v>
      </c>
      <c r="O1109" s="1" t="str">
        <f t="shared" ref="O1109:P1109" si="1113">IF(ISBLANK(K1109),M1109,K1109)</f>
        <v>Outreach</v>
      </c>
      <c r="P1109" s="1" t="str">
        <f t="shared" si="1113"/>
        <v>Events/Conference Attendance &amp; Side Events</v>
      </c>
      <c r="Q1109" s="61" t="str">
        <f t="shared" si="3"/>
        <v>2023</v>
      </c>
      <c r="R1109" s="62">
        <f t="shared" si="4"/>
        <v>6</v>
      </c>
      <c r="S1109" s="61" t="str">
        <f t="shared" si="5"/>
        <v>2023-Q2</v>
      </c>
      <c r="T1109" s="63" t="str">
        <f t="shared" si="6"/>
        <v>2023-06</v>
      </c>
      <c r="U1109" s="64" t="str">
        <f t="shared" si="7"/>
        <v>2023-H1</v>
      </c>
      <c r="V1109" s="9" t="str">
        <f>VLOOKUP(B1109,Bounties!A:E,2,FALSE)</f>
        <v>Events Bounty</v>
      </c>
    </row>
    <row r="1110" hidden="1">
      <c r="A1110" s="67">
        <f>HYPERLINK("https://polkadot.subsquare.io/treasury/child-bounties/284", 284)</f>
        <v>284</v>
      </c>
      <c r="B1110" s="1">
        <v>17.0</v>
      </c>
      <c r="C1110" s="1" t="s">
        <v>2414</v>
      </c>
      <c r="D1110" s="1" t="s">
        <v>1581</v>
      </c>
      <c r="E1110" s="5">
        <v>655.232</v>
      </c>
      <c r="F1110" s="4">
        <v>3028.530249633789</v>
      </c>
      <c r="G1110" s="1" t="s">
        <v>2634</v>
      </c>
      <c r="H1110" s="95">
        <v>45087.0</v>
      </c>
      <c r="I1110" s="95">
        <v>45097.0</v>
      </c>
      <c r="J1110" s="4">
        <v>3165.1819921264646</v>
      </c>
      <c r="K1110" s="1"/>
      <c r="L1110" s="1" t="s">
        <v>86</v>
      </c>
      <c r="M1110" s="1" t="str">
        <f>VLOOKUP(B1110,Bounties!A:D,3,FALSE)</f>
        <v>Outreach</v>
      </c>
      <c r="N1110" s="1" t="str">
        <f>VLOOKUP(B1110,Bounties!A:D,4,FALSE)</f>
        <v>Events/Meetups</v>
      </c>
      <c r="O1110" s="1" t="str">
        <f t="shared" ref="O1110:P1110" si="1114">IF(ISBLANK(K1110),M1110,K1110)</f>
        <v>Outreach</v>
      </c>
      <c r="P1110" s="1" t="str">
        <f t="shared" si="1114"/>
        <v>Events/Conference Attendance &amp; Side Events</v>
      </c>
      <c r="Q1110" s="61" t="str">
        <f t="shared" si="3"/>
        <v>2023</v>
      </c>
      <c r="R1110" s="62">
        <f t="shared" si="4"/>
        <v>6</v>
      </c>
      <c r="S1110" s="61" t="str">
        <f t="shared" si="5"/>
        <v>2023-Q2</v>
      </c>
      <c r="T1110" s="63" t="str">
        <f t="shared" si="6"/>
        <v>2023-06</v>
      </c>
      <c r="U1110" s="64" t="str">
        <f t="shared" si="7"/>
        <v>2023-H1</v>
      </c>
      <c r="V1110" s="9" t="str">
        <f>VLOOKUP(B1110,Bounties!A:E,2,FALSE)</f>
        <v>Events Bounty</v>
      </c>
    </row>
    <row r="1111" hidden="1">
      <c r="A1111" s="67">
        <f>HYPERLINK("https://polkadot.subsquare.io/treasury/child-bounties/283", 283)</f>
        <v>283</v>
      </c>
      <c r="B1111" s="1">
        <v>17.0</v>
      </c>
      <c r="C1111" s="1" t="s">
        <v>2414</v>
      </c>
      <c r="D1111" s="1" t="s">
        <v>1580</v>
      </c>
      <c r="E1111" s="5">
        <v>616.804</v>
      </c>
      <c r="F1111" s="4">
        <v>2850.913221721649</v>
      </c>
      <c r="G1111" s="1" t="s">
        <v>2636</v>
      </c>
      <c r="H1111" s="95">
        <v>45087.0</v>
      </c>
      <c r="I1111" s="95">
        <v>45096.0</v>
      </c>
      <c r="J1111" s="4">
        <v>2979.550622484207</v>
      </c>
      <c r="K1111" s="1"/>
      <c r="L1111" s="1" t="s">
        <v>86</v>
      </c>
      <c r="M1111" s="1" t="str">
        <f>VLOOKUP(B1111,Bounties!A:D,3,FALSE)</f>
        <v>Outreach</v>
      </c>
      <c r="N1111" s="1" t="str">
        <f>VLOOKUP(B1111,Bounties!A:D,4,FALSE)</f>
        <v>Events/Meetups</v>
      </c>
      <c r="O1111" s="1" t="str">
        <f t="shared" ref="O1111:P1111" si="1115">IF(ISBLANK(K1111),M1111,K1111)</f>
        <v>Outreach</v>
      </c>
      <c r="P1111" s="1" t="str">
        <f t="shared" si="1115"/>
        <v>Events/Conference Attendance &amp; Side Events</v>
      </c>
      <c r="Q1111" s="61" t="str">
        <f t="shared" si="3"/>
        <v>2023</v>
      </c>
      <c r="R1111" s="62">
        <f t="shared" si="4"/>
        <v>6</v>
      </c>
      <c r="S1111" s="61" t="str">
        <f t="shared" si="5"/>
        <v>2023-Q2</v>
      </c>
      <c r="T1111" s="63" t="str">
        <f t="shared" si="6"/>
        <v>2023-06</v>
      </c>
      <c r="U1111" s="64" t="str">
        <f t="shared" si="7"/>
        <v>2023-H1</v>
      </c>
      <c r="V1111" s="9" t="str">
        <f>VLOOKUP(B1111,Bounties!A:E,2,FALSE)</f>
        <v>Events Bounty</v>
      </c>
    </row>
    <row r="1112" hidden="1">
      <c r="A1112" s="67">
        <f>HYPERLINK("https://polkadot.subsquare.io/treasury/child-bounties/282", 282)</f>
        <v>282</v>
      </c>
      <c r="B1112" s="1">
        <v>17.0</v>
      </c>
      <c r="C1112" s="1" t="s">
        <v>2414</v>
      </c>
      <c r="D1112" s="1" t="s">
        <v>1579</v>
      </c>
      <c r="E1112" s="5">
        <v>616.277</v>
      </c>
      <c r="F1112" s="4">
        <v>2848.4773891592026</v>
      </c>
      <c r="G1112" s="1" t="s">
        <v>2728</v>
      </c>
      <c r="H1112" s="95">
        <v>45087.0</v>
      </c>
      <c r="I1112" s="95">
        <v>45097.0</v>
      </c>
      <c r="J1112" s="4">
        <v>3143.1451737890247</v>
      </c>
      <c r="K1112" s="1"/>
      <c r="L1112" s="1" t="s">
        <v>86</v>
      </c>
      <c r="M1112" s="1" t="str">
        <f>VLOOKUP(B1112,Bounties!A:D,3,FALSE)</f>
        <v>Outreach</v>
      </c>
      <c r="N1112" s="1" t="str">
        <f>VLOOKUP(B1112,Bounties!A:D,4,FALSE)</f>
        <v>Events/Meetups</v>
      </c>
      <c r="O1112" s="1" t="str">
        <f t="shared" ref="O1112:P1112" si="1116">IF(ISBLANK(K1112),M1112,K1112)</f>
        <v>Outreach</v>
      </c>
      <c r="P1112" s="1" t="str">
        <f t="shared" si="1116"/>
        <v>Events/Conference Attendance &amp; Side Events</v>
      </c>
      <c r="Q1112" s="61" t="str">
        <f t="shared" si="3"/>
        <v>2023</v>
      </c>
      <c r="R1112" s="62">
        <f t="shared" si="4"/>
        <v>6</v>
      </c>
      <c r="S1112" s="61" t="str">
        <f t="shared" si="5"/>
        <v>2023-Q2</v>
      </c>
      <c r="T1112" s="63" t="str">
        <f t="shared" si="6"/>
        <v>2023-06</v>
      </c>
      <c r="U1112" s="64" t="str">
        <f t="shared" si="7"/>
        <v>2023-H1</v>
      </c>
      <c r="V1112" s="9" t="str">
        <f>VLOOKUP(B1112,Bounties!A:E,2,FALSE)</f>
        <v>Events Bounty</v>
      </c>
    </row>
    <row r="1113" hidden="1">
      <c r="A1113" s="67">
        <f>HYPERLINK("https://polkadot.subsquare.io/treasury/child-bounties/281", 281)</f>
        <v>281</v>
      </c>
      <c r="B1113" s="1">
        <v>17.0</v>
      </c>
      <c r="C1113" s="1" t="s">
        <v>2414</v>
      </c>
      <c r="D1113" s="1" t="s">
        <v>1578</v>
      </c>
      <c r="E1113" s="5">
        <v>519.197</v>
      </c>
      <c r="F1113" s="4">
        <v>2399.766525473595</v>
      </c>
      <c r="G1113" s="1" t="s">
        <v>2431</v>
      </c>
      <c r="H1113" s="95">
        <v>45087.0</v>
      </c>
      <c r="I1113" s="95">
        <v>45097.0</v>
      </c>
      <c r="J1113" s="4">
        <v>2648.01630564785</v>
      </c>
      <c r="K1113" s="1"/>
      <c r="L1113" s="1" t="s">
        <v>86</v>
      </c>
      <c r="M1113" s="1" t="str">
        <f>VLOOKUP(B1113,Bounties!A:D,3,FALSE)</f>
        <v>Outreach</v>
      </c>
      <c r="N1113" s="1" t="str">
        <f>VLOOKUP(B1113,Bounties!A:D,4,FALSE)</f>
        <v>Events/Meetups</v>
      </c>
      <c r="O1113" s="1" t="str">
        <f t="shared" ref="O1113:P1113" si="1117">IF(ISBLANK(K1113),M1113,K1113)</f>
        <v>Outreach</v>
      </c>
      <c r="P1113" s="1" t="str">
        <f t="shared" si="1117"/>
        <v>Events/Conference Attendance &amp; Side Events</v>
      </c>
      <c r="Q1113" s="61" t="str">
        <f t="shared" si="3"/>
        <v>2023</v>
      </c>
      <c r="R1113" s="62">
        <f t="shared" si="4"/>
        <v>6</v>
      </c>
      <c r="S1113" s="61" t="str">
        <f t="shared" si="5"/>
        <v>2023-Q2</v>
      </c>
      <c r="T1113" s="63" t="str">
        <f t="shared" si="6"/>
        <v>2023-06</v>
      </c>
      <c r="U1113" s="64" t="str">
        <f t="shared" si="7"/>
        <v>2023-H1</v>
      </c>
      <c r="V1113" s="9" t="str">
        <f>VLOOKUP(B1113,Bounties!A:E,2,FALSE)</f>
        <v>Events Bounty</v>
      </c>
    </row>
    <row r="1114" hidden="1">
      <c r="A1114" s="67">
        <f>HYPERLINK("https://polkadot.subsquare.io/treasury/child-bounties/280", 280)</f>
        <v>280</v>
      </c>
      <c r="B1114" s="1">
        <v>17.0</v>
      </c>
      <c r="C1114" s="1" t="s">
        <v>2414</v>
      </c>
      <c r="D1114" s="1" t="s">
        <v>1577</v>
      </c>
      <c r="E1114" s="5">
        <v>508.333</v>
      </c>
      <c r="F1114" s="4">
        <v>2349.5523225164416</v>
      </c>
      <c r="G1114" s="1" t="s">
        <v>2566</v>
      </c>
      <c r="H1114" s="95">
        <v>45087.0</v>
      </c>
      <c r="I1114" s="95">
        <v>45096.0</v>
      </c>
      <c r="J1114" s="4">
        <v>2455.5675815644267</v>
      </c>
      <c r="K1114" s="1"/>
      <c r="L1114" s="1" t="s">
        <v>86</v>
      </c>
      <c r="M1114" s="1" t="str">
        <f>VLOOKUP(B1114,Bounties!A:D,3,FALSE)</f>
        <v>Outreach</v>
      </c>
      <c r="N1114" s="1" t="str">
        <f>VLOOKUP(B1114,Bounties!A:D,4,FALSE)</f>
        <v>Events/Meetups</v>
      </c>
      <c r="O1114" s="1" t="str">
        <f t="shared" ref="O1114:P1114" si="1118">IF(ISBLANK(K1114),M1114,K1114)</f>
        <v>Outreach</v>
      </c>
      <c r="P1114" s="1" t="str">
        <f t="shared" si="1118"/>
        <v>Events/Conference Attendance &amp; Side Events</v>
      </c>
      <c r="Q1114" s="61" t="str">
        <f t="shared" si="3"/>
        <v>2023</v>
      </c>
      <c r="R1114" s="62">
        <f t="shared" si="4"/>
        <v>6</v>
      </c>
      <c r="S1114" s="61" t="str">
        <f t="shared" si="5"/>
        <v>2023-Q2</v>
      </c>
      <c r="T1114" s="63" t="str">
        <f t="shared" si="6"/>
        <v>2023-06</v>
      </c>
      <c r="U1114" s="64" t="str">
        <f t="shared" si="7"/>
        <v>2023-H1</v>
      </c>
      <c r="V1114" s="9" t="str">
        <f>VLOOKUP(B1114,Bounties!A:E,2,FALSE)</f>
        <v>Events Bounty</v>
      </c>
    </row>
    <row r="1115" hidden="1">
      <c r="A1115" s="67">
        <f>HYPERLINK("https://polkadot.subsquare.io/treasury/child-bounties/279", 279)</f>
        <v>279</v>
      </c>
      <c r="B1115" s="1">
        <v>17.0</v>
      </c>
      <c r="C1115" s="1" t="s">
        <v>2414</v>
      </c>
      <c r="D1115" s="1" t="s">
        <v>1576</v>
      </c>
      <c r="E1115" s="5">
        <v>469.429</v>
      </c>
      <c r="F1115" s="4">
        <v>2169.735187773704</v>
      </c>
      <c r="G1115" s="1" t="s">
        <v>2540</v>
      </c>
      <c r="H1115" s="95">
        <v>45087.0</v>
      </c>
      <c r="I1115" s="95">
        <v>45096.0</v>
      </c>
      <c r="J1115" s="4">
        <v>2267.6368330330847</v>
      </c>
      <c r="K1115" s="1"/>
      <c r="L1115" s="1" t="s">
        <v>86</v>
      </c>
      <c r="M1115" s="1" t="str">
        <f>VLOOKUP(B1115,Bounties!A:D,3,FALSE)</f>
        <v>Outreach</v>
      </c>
      <c r="N1115" s="1" t="str">
        <f>VLOOKUP(B1115,Bounties!A:D,4,FALSE)</f>
        <v>Events/Meetups</v>
      </c>
      <c r="O1115" s="1" t="str">
        <f t="shared" ref="O1115:P1115" si="1119">IF(ISBLANK(K1115),M1115,K1115)</f>
        <v>Outreach</v>
      </c>
      <c r="P1115" s="1" t="str">
        <f t="shared" si="1119"/>
        <v>Events/Conference Attendance &amp; Side Events</v>
      </c>
      <c r="Q1115" s="61" t="str">
        <f t="shared" si="3"/>
        <v>2023</v>
      </c>
      <c r="R1115" s="62">
        <f t="shared" si="4"/>
        <v>6</v>
      </c>
      <c r="S1115" s="61" t="str">
        <f t="shared" si="5"/>
        <v>2023-Q2</v>
      </c>
      <c r="T1115" s="63" t="str">
        <f t="shared" si="6"/>
        <v>2023-06</v>
      </c>
      <c r="U1115" s="64" t="str">
        <f t="shared" si="7"/>
        <v>2023-H1</v>
      </c>
      <c r="V1115" s="9" t="str">
        <f>VLOOKUP(B1115,Bounties!A:E,2,FALSE)</f>
        <v>Events Bounty</v>
      </c>
    </row>
    <row r="1116" hidden="1">
      <c r="A1116" s="67">
        <f>HYPERLINK("https://polkadot.subsquare.io/treasury/child-bounties/278", 278)</f>
        <v>278</v>
      </c>
      <c r="B1116" s="1">
        <v>17.0</v>
      </c>
      <c r="C1116" s="1" t="s">
        <v>2414</v>
      </c>
      <c r="D1116" s="1" t="s">
        <v>1575</v>
      </c>
      <c r="E1116" s="5">
        <v>432.836</v>
      </c>
      <c r="F1116" s="4">
        <v>2000.5996641349793</v>
      </c>
      <c r="G1116" s="1" t="s">
        <v>2540</v>
      </c>
      <c r="H1116" s="95">
        <v>45087.0</v>
      </c>
      <c r="I1116" s="95">
        <v>45096.0</v>
      </c>
      <c r="J1116" s="4">
        <v>2090.869665620804</v>
      </c>
      <c r="K1116" s="1"/>
      <c r="L1116" s="1" t="s">
        <v>86</v>
      </c>
      <c r="M1116" s="1" t="str">
        <f>VLOOKUP(B1116,Bounties!A:D,3,FALSE)</f>
        <v>Outreach</v>
      </c>
      <c r="N1116" s="1" t="str">
        <f>VLOOKUP(B1116,Bounties!A:D,4,FALSE)</f>
        <v>Events/Meetups</v>
      </c>
      <c r="O1116" s="1" t="str">
        <f t="shared" ref="O1116:P1116" si="1120">IF(ISBLANK(K1116),M1116,K1116)</f>
        <v>Outreach</v>
      </c>
      <c r="P1116" s="1" t="str">
        <f t="shared" si="1120"/>
        <v>Events/Conference Attendance &amp; Side Events</v>
      </c>
      <c r="Q1116" s="61" t="str">
        <f t="shared" si="3"/>
        <v>2023</v>
      </c>
      <c r="R1116" s="62">
        <f t="shared" si="4"/>
        <v>6</v>
      </c>
      <c r="S1116" s="61" t="str">
        <f t="shared" si="5"/>
        <v>2023-Q2</v>
      </c>
      <c r="T1116" s="63" t="str">
        <f t="shared" si="6"/>
        <v>2023-06</v>
      </c>
      <c r="U1116" s="64" t="str">
        <f t="shared" si="7"/>
        <v>2023-H1</v>
      </c>
      <c r="V1116" s="9" t="str">
        <f>VLOOKUP(B1116,Bounties!A:E,2,FALSE)</f>
        <v>Events Bounty</v>
      </c>
    </row>
    <row r="1117" hidden="1">
      <c r="A1117" s="67">
        <f>HYPERLINK("https://polkadot.subsquare.io/treasury/child-bounties/277", 277)</f>
        <v>277</v>
      </c>
      <c r="B1117" s="1">
        <v>17.0</v>
      </c>
      <c r="C1117" s="1" t="s">
        <v>2414</v>
      </c>
      <c r="D1117" s="1" t="s">
        <v>1574</v>
      </c>
      <c r="E1117" s="5">
        <v>345.197</v>
      </c>
      <c r="F1117" s="4">
        <v>1595.5257932806014</v>
      </c>
      <c r="G1117" s="1" t="s">
        <v>2447</v>
      </c>
      <c r="H1117" s="95">
        <v>45087.0</v>
      </c>
      <c r="I1117" s="95">
        <v>45096.0</v>
      </c>
      <c r="J1117" s="4">
        <v>1667.5182654938699</v>
      </c>
      <c r="K1117" s="1"/>
      <c r="L1117" s="1" t="s">
        <v>86</v>
      </c>
      <c r="M1117" s="1" t="str">
        <f>VLOOKUP(B1117,Bounties!A:D,3,FALSE)</f>
        <v>Outreach</v>
      </c>
      <c r="N1117" s="1" t="str">
        <f>VLOOKUP(B1117,Bounties!A:D,4,FALSE)</f>
        <v>Events/Meetups</v>
      </c>
      <c r="O1117" s="1" t="str">
        <f t="shared" ref="O1117:P1117" si="1121">IF(ISBLANK(K1117),M1117,K1117)</f>
        <v>Outreach</v>
      </c>
      <c r="P1117" s="1" t="str">
        <f t="shared" si="1121"/>
        <v>Events/Conference Attendance &amp; Side Events</v>
      </c>
      <c r="Q1117" s="61" t="str">
        <f t="shared" si="3"/>
        <v>2023</v>
      </c>
      <c r="R1117" s="62">
        <f t="shared" si="4"/>
        <v>6</v>
      </c>
      <c r="S1117" s="61" t="str">
        <f t="shared" si="5"/>
        <v>2023-Q2</v>
      </c>
      <c r="T1117" s="63" t="str">
        <f t="shared" si="6"/>
        <v>2023-06</v>
      </c>
      <c r="U1117" s="64" t="str">
        <f t="shared" si="7"/>
        <v>2023-H1</v>
      </c>
      <c r="V1117" s="9" t="str">
        <f>VLOOKUP(B1117,Bounties!A:E,2,FALSE)</f>
        <v>Events Bounty</v>
      </c>
    </row>
    <row r="1118" hidden="1">
      <c r="A1118" s="67">
        <f>HYPERLINK("https://polkadot.subsquare.io/treasury/child-bounties/276", 276)</f>
        <v>276</v>
      </c>
      <c r="B1118" s="1">
        <v>17.0</v>
      </c>
      <c r="C1118" s="1" t="s">
        <v>2414</v>
      </c>
      <c r="D1118" s="1" t="s">
        <v>1573</v>
      </c>
      <c r="E1118" s="5">
        <v>654.646</v>
      </c>
      <c r="F1118" s="4">
        <v>3025.8217147541045</v>
      </c>
      <c r="G1118" s="1" t="s">
        <v>2729</v>
      </c>
      <c r="H1118" s="95">
        <v>45087.0</v>
      </c>
      <c r="I1118" s="95">
        <v>45097.0</v>
      </c>
      <c r="J1118" s="4">
        <v>3162.351244166374</v>
      </c>
      <c r="K1118" s="1"/>
      <c r="L1118" s="1" t="s">
        <v>86</v>
      </c>
      <c r="M1118" s="1" t="str">
        <f>VLOOKUP(B1118,Bounties!A:D,3,FALSE)</f>
        <v>Outreach</v>
      </c>
      <c r="N1118" s="1" t="str">
        <f>VLOOKUP(B1118,Bounties!A:D,4,FALSE)</f>
        <v>Events/Meetups</v>
      </c>
      <c r="O1118" s="1" t="str">
        <f t="shared" ref="O1118:P1118" si="1122">IF(ISBLANK(K1118),M1118,K1118)</f>
        <v>Outreach</v>
      </c>
      <c r="P1118" s="1" t="str">
        <f t="shared" si="1122"/>
        <v>Events/Conference Attendance &amp; Side Events</v>
      </c>
      <c r="Q1118" s="61" t="str">
        <f t="shared" si="3"/>
        <v>2023</v>
      </c>
      <c r="R1118" s="62">
        <f t="shared" si="4"/>
        <v>6</v>
      </c>
      <c r="S1118" s="61" t="str">
        <f t="shared" si="5"/>
        <v>2023-Q2</v>
      </c>
      <c r="T1118" s="63" t="str">
        <f t="shared" si="6"/>
        <v>2023-06</v>
      </c>
      <c r="U1118" s="64" t="str">
        <f t="shared" si="7"/>
        <v>2023-H1</v>
      </c>
      <c r="V1118" s="9" t="str">
        <f>VLOOKUP(B1118,Bounties!A:E,2,FALSE)</f>
        <v>Events Bounty</v>
      </c>
    </row>
    <row r="1119" hidden="1">
      <c r="A1119" s="67">
        <f>HYPERLINK("https://polkadot.subsquare.io/treasury/child-bounties/275", 275)</f>
        <v>275</v>
      </c>
      <c r="B1119" s="1">
        <v>17.0</v>
      </c>
      <c r="C1119" s="1" t="s">
        <v>2414</v>
      </c>
      <c r="D1119" s="1" t="s">
        <v>1572</v>
      </c>
      <c r="E1119" s="5">
        <v>8118.789</v>
      </c>
      <c r="F1119" s="4">
        <v>40448.65747082663</v>
      </c>
      <c r="G1119" s="1" t="s">
        <v>2730</v>
      </c>
      <c r="H1119" s="95">
        <v>45083.0</v>
      </c>
      <c r="I1119" s="95">
        <v>45092.0</v>
      </c>
      <c r="J1119" s="4">
        <v>36785.932109404566</v>
      </c>
      <c r="K1119" s="1"/>
      <c r="L1119" s="1" t="s">
        <v>86</v>
      </c>
      <c r="M1119" s="1" t="str">
        <f>VLOOKUP(B1119,Bounties!A:D,3,FALSE)</f>
        <v>Outreach</v>
      </c>
      <c r="N1119" s="1" t="str">
        <f>VLOOKUP(B1119,Bounties!A:D,4,FALSE)</f>
        <v>Events/Meetups</v>
      </c>
      <c r="O1119" s="1" t="str">
        <f t="shared" ref="O1119:P1119" si="1123">IF(ISBLANK(K1119),M1119,K1119)</f>
        <v>Outreach</v>
      </c>
      <c r="P1119" s="1" t="str">
        <f t="shared" si="1123"/>
        <v>Events/Conference Attendance &amp; Side Events</v>
      </c>
      <c r="Q1119" s="61" t="str">
        <f t="shared" si="3"/>
        <v>2023</v>
      </c>
      <c r="R1119" s="62">
        <f t="shared" si="4"/>
        <v>6</v>
      </c>
      <c r="S1119" s="61" t="str">
        <f t="shared" si="5"/>
        <v>2023-Q2</v>
      </c>
      <c r="T1119" s="63" t="str">
        <f t="shared" si="6"/>
        <v>2023-06</v>
      </c>
      <c r="U1119" s="64" t="str">
        <f t="shared" si="7"/>
        <v>2023-H1</v>
      </c>
      <c r="V1119" s="9" t="str">
        <f>VLOOKUP(B1119,Bounties!A:E,2,FALSE)</f>
        <v>Events Bounty</v>
      </c>
    </row>
    <row r="1120" hidden="1">
      <c r="A1120" s="67">
        <f>HYPERLINK("https://polkadot.subsquare.io/treasury/child-bounties/274", 274)</f>
        <v>274</v>
      </c>
      <c r="B1120" s="1">
        <v>17.0</v>
      </c>
      <c r="C1120" s="1" t="s">
        <v>2414</v>
      </c>
      <c r="D1120" s="1" t="s">
        <v>1571</v>
      </c>
      <c r="E1120" s="5">
        <v>11466.0</v>
      </c>
      <c r="F1120" s="4">
        <v>57124.81338787079</v>
      </c>
      <c r="G1120" s="1" t="s">
        <v>2622</v>
      </c>
      <c r="H1120" s="95">
        <v>45083.0</v>
      </c>
      <c r="I1120" s="95">
        <v>45097.0</v>
      </c>
      <c r="J1120" s="4">
        <v>55387.97971057892</v>
      </c>
      <c r="K1120" s="1"/>
      <c r="L1120" s="1" t="s">
        <v>86</v>
      </c>
      <c r="M1120" s="1" t="str">
        <f>VLOOKUP(B1120,Bounties!A:D,3,FALSE)</f>
        <v>Outreach</v>
      </c>
      <c r="N1120" s="1" t="str">
        <f>VLOOKUP(B1120,Bounties!A:D,4,FALSE)</f>
        <v>Events/Meetups</v>
      </c>
      <c r="O1120" s="1" t="str">
        <f t="shared" ref="O1120:P1120" si="1124">IF(ISBLANK(K1120),M1120,K1120)</f>
        <v>Outreach</v>
      </c>
      <c r="P1120" s="1" t="str">
        <f t="shared" si="1124"/>
        <v>Events/Conference Attendance &amp; Side Events</v>
      </c>
      <c r="Q1120" s="61" t="str">
        <f t="shared" si="3"/>
        <v>2023</v>
      </c>
      <c r="R1120" s="62">
        <f t="shared" si="4"/>
        <v>6</v>
      </c>
      <c r="S1120" s="61" t="str">
        <f t="shared" si="5"/>
        <v>2023-Q2</v>
      </c>
      <c r="T1120" s="63" t="str">
        <f t="shared" si="6"/>
        <v>2023-06</v>
      </c>
      <c r="U1120" s="64" t="str">
        <f t="shared" si="7"/>
        <v>2023-H1</v>
      </c>
      <c r="V1120" s="9" t="str">
        <f>VLOOKUP(B1120,Bounties!A:E,2,FALSE)</f>
        <v>Events Bounty</v>
      </c>
    </row>
    <row r="1121" hidden="1">
      <c r="A1121" s="67">
        <f>HYPERLINK("https://polkadot.subsquare.io/treasury/child-bounties/273", 273)</f>
        <v>273</v>
      </c>
      <c r="B1121" s="1">
        <v>17.0</v>
      </c>
      <c r="C1121" s="1" t="s">
        <v>2414</v>
      </c>
      <c r="D1121" s="1" t="s">
        <v>1570</v>
      </c>
      <c r="E1121" s="5">
        <v>466.7</v>
      </c>
      <c r="F1121" s="4">
        <v>2325.148300027847</v>
      </c>
      <c r="G1121" s="1" t="s">
        <v>2731</v>
      </c>
      <c r="H1121" s="95">
        <v>45083.0</v>
      </c>
      <c r="I1121" s="95">
        <v>45108.0</v>
      </c>
      <c r="J1121" s="4">
        <v>2529.1915752887726</v>
      </c>
      <c r="K1121" s="1"/>
      <c r="L1121" s="1" t="s">
        <v>86</v>
      </c>
      <c r="M1121" s="1" t="str">
        <f>VLOOKUP(B1121,Bounties!A:D,3,FALSE)</f>
        <v>Outreach</v>
      </c>
      <c r="N1121" s="1" t="str">
        <f>VLOOKUP(B1121,Bounties!A:D,4,FALSE)</f>
        <v>Events/Meetups</v>
      </c>
      <c r="O1121" s="1" t="str">
        <f t="shared" ref="O1121:P1121" si="1125">IF(ISBLANK(K1121),M1121,K1121)</f>
        <v>Outreach</v>
      </c>
      <c r="P1121" s="1" t="str">
        <f t="shared" si="1125"/>
        <v>Events/Conference Attendance &amp; Side Events</v>
      </c>
      <c r="Q1121" s="61" t="str">
        <f t="shared" si="3"/>
        <v>2023</v>
      </c>
      <c r="R1121" s="62">
        <f t="shared" si="4"/>
        <v>7</v>
      </c>
      <c r="S1121" s="61" t="str">
        <f t="shared" si="5"/>
        <v>2023-Q3</v>
      </c>
      <c r="T1121" s="63" t="str">
        <f t="shared" si="6"/>
        <v>2023-07</v>
      </c>
      <c r="U1121" s="64" t="str">
        <f t="shared" si="7"/>
        <v>2023-H2</v>
      </c>
      <c r="V1121" s="9" t="str">
        <f>VLOOKUP(B1121,Bounties!A:E,2,FALSE)</f>
        <v>Events Bounty</v>
      </c>
    </row>
    <row r="1122" hidden="1">
      <c r="A1122" s="67">
        <f>HYPERLINK("https://polkadot.subsquare.io/treasury/child-bounties/272", 272)</f>
        <v>272</v>
      </c>
      <c r="B1122" s="1">
        <v>17.0</v>
      </c>
      <c r="C1122" s="1" t="s">
        <v>2414</v>
      </c>
      <c r="D1122" s="1" t="s">
        <v>1569</v>
      </c>
      <c r="E1122" s="5">
        <v>1083.18</v>
      </c>
      <c r="F1122" s="4">
        <v>5396.51625374794</v>
      </c>
      <c r="G1122" s="1" t="s">
        <v>2713</v>
      </c>
      <c r="H1122" s="95">
        <v>45083.0</v>
      </c>
      <c r="I1122" s="95">
        <v>45111.0</v>
      </c>
      <c r="J1122" s="4">
        <v>5444.115904340744</v>
      </c>
      <c r="K1122" s="1"/>
      <c r="L1122" s="1" t="s">
        <v>86</v>
      </c>
      <c r="M1122" s="1" t="str">
        <f>VLOOKUP(B1122,Bounties!A:D,3,FALSE)</f>
        <v>Outreach</v>
      </c>
      <c r="N1122" s="1" t="str">
        <f>VLOOKUP(B1122,Bounties!A:D,4,FALSE)</f>
        <v>Events/Meetups</v>
      </c>
      <c r="O1122" s="1" t="str">
        <f t="shared" ref="O1122:P1122" si="1126">IF(ISBLANK(K1122),M1122,K1122)</f>
        <v>Outreach</v>
      </c>
      <c r="P1122" s="1" t="str">
        <f t="shared" si="1126"/>
        <v>Events/Conference Attendance &amp; Side Events</v>
      </c>
      <c r="Q1122" s="61" t="str">
        <f t="shared" si="3"/>
        <v>2023</v>
      </c>
      <c r="R1122" s="62">
        <f t="shared" si="4"/>
        <v>7</v>
      </c>
      <c r="S1122" s="61" t="str">
        <f t="shared" si="5"/>
        <v>2023-Q3</v>
      </c>
      <c r="T1122" s="63" t="str">
        <f t="shared" si="6"/>
        <v>2023-07</v>
      </c>
      <c r="U1122" s="64" t="str">
        <f t="shared" si="7"/>
        <v>2023-H2</v>
      </c>
      <c r="V1122" s="9" t="str">
        <f>VLOOKUP(B1122,Bounties!A:E,2,FALSE)</f>
        <v>Events Bounty</v>
      </c>
    </row>
    <row r="1123" hidden="1">
      <c r="A1123" s="67">
        <f>HYPERLINK("https://polkadot.subsquare.io/treasury/child-bounties/271", 271)</f>
        <v>271</v>
      </c>
      <c r="B1123" s="1">
        <v>17.0</v>
      </c>
      <c r="C1123" s="1" t="s">
        <v>2414</v>
      </c>
      <c r="D1123" s="1" t="s">
        <v>1568</v>
      </c>
      <c r="E1123" s="5">
        <v>1065.2</v>
      </c>
      <c r="F1123" s="4">
        <v>5306.93800983429</v>
      </c>
      <c r="G1123" s="1" t="s">
        <v>2663</v>
      </c>
      <c r="H1123" s="95">
        <v>45083.0</v>
      </c>
      <c r="I1123" s="95">
        <v>45094.0</v>
      </c>
      <c r="J1123" s="4">
        <v>4973.337690162659</v>
      </c>
      <c r="K1123" s="1"/>
      <c r="L1123" s="1" t="s">
        <v>86</v>
      </c>
      <c r="M1123" s="1" t="str">
        <f>VLOOKUP(B1123,Bounties!A:D,3,FALSE)</f>
        <v>Outreach</v>
      </c>
      <c r="N1123" s="1" t="str">
        <f>VLOOKUP(B1123,Bounties!A:D,4,FALSE)</f>
        <v>Events/Meetups</v>
      </c>
      <c r="O1123" s="1" t="str">
        <f t="shared" ref="O1123:P1123" si="1127">IF(ISBLANK(K1123),M1123,K1123)</f>
        <v>Outreach</v>
      </c>
      <c r="P1123" s="1" t="str">
        <f t="shared" si="1127"/>
        <v>Events/Conference Attendance &amp; Side Events</v>
      </c>
      <c r="Q1123" s="61" t="str">
        <f t="shared" si="3"/>
        <v>2023</v>
      </c>
      <c r="R1123" s="62">
        <f t="shared" si="4"/>
        <v>6</v>
      </c>
      <c r="S1123" s="61" t="str">
        <f t="shared" si="5"/>
        <v>2023-Q2</v>
      </c>
      <c r="T1123" s="63" t="str">
        <f t="shared" si="6"/>
        <v>2023-06</v>
      </c>
      <c r="U1123" s="64" t="str">
        <f t="shared" si="7"/>
        <v>2023-H1</v>
      </c>
      <c r="V1123" s="9" t="str">
        <f>VLOOKUP(B1123,Bounties!A:E,2,FALSE)</f>
        <v>Events Bounty</v>
      </c>
    </row>
    <row r="1124" hidden="1">
      <c r="A1124" s="67">
        <f>HYPERLINK("https://polkadot.subsquare.io/treasury/child-bounties/270", 270)</f>
        <v>270</v>
      </c>
      <c r="B1124" s="1">
        <v>17.0</v>
      </c>
      <c r="C1124" s="1" t="s">
        <v>2414</v>
      </c>
      <c r="D1124" s="1" t="s">
        <v>1567</v>
      </c>
      <c r="E1124" s="5">
        <v>2024.5</v>
      </c>
      <c r="F1124" s="4">
        <v>10086.27112364769</v>
      </c>
      <c r="G1124" s="1" t="s">
        <v>2654</v>
      </c>
      <c r="H1124" s="95">
        <v>45083.0</v>
      </c>
      <c r="I1124" s="95">
        <v>45092.0</v>
      </c>
      <c r="J1124" s="4">
        <v>9163.152519464493</v>
      </c>
      <c r="K1124" s="1"/>
      <c r="L1124" s="1" t="s">
        <v>86</v>
      </c>
      <c r="M1124" s="1" t="str">
        <f>VLOOKUP(B1124,Bounties!A:D,3,FALSE)</f>
        <v>Outreach</v>
      </c>
      <c r="N1124" s="1" t="str">
        <f>VLOOKUP(B1124,Bounties!A:D,4,FALSE)</f>
        <v>Events/Meetups</v>
      </c>
      <c r="O1124" s="1" t="str">
        <f t="shared" ref="O1124:P1124" si="1128">IF(ISBLANK(K1124),M1124,K1124)</f>
        <v>Outreach</v>
      </c>
      <c r="P1124" s="1" t="str">
        <f t="shared" si="1128"/>
        <v>Events/Conference Attendance &amp; Side Events</v>
      </c>
      <c r="Q1124" s="61" t="str">
        <f t="shared" si="3"/>
        <v>2023</v>
      </c>
      <c r="R1124" s="62">
        <f t="shared" si="4"/>
        <v>6</v>
      </c>
      <c r="S1124" s="61" t="str">
        <f t="shared" si="5"/>
        <v>2023-Q2</v>
      </c>
      <c r="T1124" s="63" t="str">
        <f t="shared" si="6"/>
        <v>2023-06</v>
      </c>
      <c r="U1124" s="64" t="str">
        <f t="shared" si="7"/>
        <v>2023-H1</v>
      </c>
      <c r="V1124" s="9" t="str">
        <f>VLOOKUP(B1124,Bounties!A:E,2,FALSE)</f>
        <v>Events Bounty</v>
      </c>
    </row>
    <row r="1125" hidden="1">
      <c r="A1125" s="67">
        <f>HYPERLINK("https://polkadot.subsquare.io/treasury/child-bounties/269", 269)</f>
        <v>269</v>
      </c>
      <c r="B1125" s="1">
        <v>17.0</v>
      </c>
      <c r="C1125" s="1" t="s">
        <v>2414</v>
      </c>
      <c r="D1125" s="1" t="s">
        <v>1566</v>
      </c>
      <c r="E1125" s="5">
        <v>15364.4</v>
      </c>
      <c r="F1125" s="4">
        <v>76547.05065555572</v>
      </c>
      <c r="G1125" s="1" t="s">
        <v>2732</v>
      </c>
      <c r="H1125" s="95">
        <v>45083.0</v>
      </c>
      <c r="I1125" s="95">
        <v>45094.0</v>
      </c>
      <c r="J1125" s="4">
        <v>69484.29807014465</v>
      </c>
      <c r="K1125" s="1"/>
      <c r="L1125" s="1"/>
      <c r="M1125" s="1" t="str">
        <f>VLOOKUP(B1125,Bounties!A:D,3,FALSE)</f>
        <v>Outreach</v>
      </c>
      <c r="N1125" s="1" t="str">
        <f>VLOOKUP(B1125,Bounties!A:D,4,FALSE)</f>
        <v>Events/Meetups</v>
      </c>
      <c r="O1125" s="1" t="str">
        <f t="shared" ref="O1125:P1125" si="1129">IF(ISBLANK(K1125),M1125,K1125)</f>
        <v>Outreach</v>
      </c>
      <c r="P1125" s="1" t="str">
        <f t="shared" si="1129"/>
        <v>Events/Meetups</v>
      </c>
      <c r="Q1125" s="61" t="str">
        <f t="shared" si="3"/>
        <v>2023</v>
      </c>
      <c r="R1125" s="62">
        <f t="shared" si="4"/>
        <v>6</v>
      </c>
      <c r="S1125" s="61" t="str">
        <f t="shared" si="5"/>
        <v>2023-Q2</v>
      </c>
      <c r="T1125" s="63" t="str">
        <f t="shared" si="6"/>
        <v>2023-06</v>
      </c>
      <c r="U1125" s="64" t="str">
        <f t="shared" si="7"/>
        <v>2023-H1</v>
      </c>
      <c r="V1125" s="9" t="str">
        <f>VLOOKUP(B1125,Bounties!A:E,2,FALSE)</f>
        <v>Events Bounty</v>
      </c>
    </row>
    <row r="1126" hidden="1">
      <c r="A1126" s="67">
        <f>HYPERLINK("https://polkadot.subsquare.io/treasury/child-bounties/268", 268)</f>
        <v>268</v>
      </c>
      <c r="B1126" s="1">
        <v>11.0</v>
      </c>
      <c r="C1126" s="1" t="s">
        <v>2414</v>
      </c>
      <c r="D1126" s="1" t="s">
        <v>1565</v>
      </c>
      <c r="E1126" s="5">
        <v>144.7640533935</v>
      </c>
      <c r="F1126" s="4">
        <v>770.0639560855357</v>
      </c>
      <c r="G1126" s="1" t="s">
        <v>2437</v>
      </c>
      <c r="H1126" s="95">
        <v>45078.0</v>
      </c>
      <c r="I1126" s="95">
        <v>45087.0</v>
      </c>
      <c r="J1126" s="4">
        <v>656.1352413699109</v>
      </c>
      <c r="K1126" s="1"/>
      <c r="L1126" s="1"/>
      <c r="M1126" s="1" t="str">
        <f>VLOOKUP(B1126,Bounties!A:D,3,FALSE)</f>
        <v>Research</v>
      </c>
      <c r="N1126" s="1" t="str">
        <f>VLOOKUP(B1126,Bounties!A:D,4,FALSE)</f>
        <v>Anti-Scam</v>
      </c>
      <c r="O1126" s="1" t="str">
        <f t="shared" ref="O1126:P1126" si="1130">IF(ISBLANK(K1126),M1126,K1126)</f>
        <v>Research</v>
      </c>
      <c r="P1126" s="1" t="str">
        <f t="shared" si="1130"/>
        <v>Anti-Scam</v>
      </c>
      <c r="Q1126" s="61" t="str">
        <f t="shared" si="3"/>
        <v>2023</v>
      </c>
      <c r="R1126" s="62">
        <f t="shared" si="4"/>
        <v>6</v>
      </c>
      <c r="S1126" s="61" t="str">
        <f t="shared" si="5"/>
        <v>2023-Q2</v>
      </c>
      <c r="T1126" s="63" t="str">
        <f t="shared" si="6"/>
        <v>2023-06</v>
      </c>
      <c r="U1126" s="64" t="str">
        <f t="shared" si="7"/>
        <v>2023-H1</v>
      </c>
      <c r="V1126" s="9" t="str">
        <f>VLOOKUP(B1126,Bounties!A:E,2,FALSE)</f>
        <v>Anti-Scam Bounty</v>
      </c>
    </row>
    <row r="1127" hidden="1">
      <c r="A1127" s="67">
        <f>HYPERLINK("https://polkadot.subsquare.io/treasury/child-bounties/267", 267)</f>
        <v>267</v>
      </c>
      <c r="B1127" s="1">
        <v>11.0</v>
      </c>
      <c r="C1127" s="1" t="s">
        <v>2414</v>
      </c>
      <c r="D1127" s="1" t="s">
        <v>1564</v>
      </c>
      <c r="E1127" s="5">
        <v>74.9063670411</v>
      </c>
      <c r="F1127" s="4">
        <v>399.2765405199608</v>
      </c>
      <c r="G1127" s="1" t="s">
        <v>2437</v>
      </c>
      <c r="H1127" s="95">
        <v>45078.0</v>
      </c>
      <c r="I1127" s="95">
        <v>45086.0</v>
      </c>
      <c r="J1127" s="4">
        <v>339.50905674807586</v>
      </c>
      <c r="K1127" s="1"/>
      <c r="L1127" s="1"/>
      <c r="M1127" s="1" t="str">
        <f>VLOOKUP(B1127,Bounties!A:D,3,FALSE)</f>
        <v>Research</v>
      </c>
      <c r="N1127" s="1" t="str">
        <f>VLOOKUP(B1127,Bounties!A:D,4,FALSE)</f>
        <v>Anti-Scam</v>
      </c>
      <c r="O1127" s="1" t="str">
        <f t="shared" ref="O1127:P1127" si="1131">IF(ISBLANK(K1127),M1127,K1127)</f>
        <v>Research</v>
      </c>
      <c r="P1127" s="1" t="str">
        <f t="shared" si="1131"/>
        <v>Anti-Scam</v>
      </c>
      <c r="Q1127" s="61" t="str">
        <f t="shared" si="3"/>
        <v>2023</v>
      </c>
      <c r="R1127" s="62">
        <f t="shared" si="4"/>
        <v>6</v>
      </c>
      <c r="S1127" s="61" t="str">
        <f t="shared" si="5"/>
        <v>2023-Q2</v>
      </c>
      <c r="T1127" s="63" t="str">
        <f t="shared" si="6"/>
        <v>2023-06</v>
      </c>
      <c r="U1127" s="64" t="str">
        <f t="shared" si="7"/>
        <v>2023-H1</v>
      </c>
      <c r="V1127" s="9" t="str">
        <f>VLOOKUP(B1127,Bounties!A:E,2,FALSE)</f>
        <v>Anti-Scam Bounty</v>
      </c>
    </row>
    <row r="1128" hidden="1">
      <c r="A1128" s="67">
        <f>HYPERLINK("https://polkadot.subsquare.io/treasury/child-bounties/266", 266)</f>
        <v>266</v>
      </c>
      <c r="B1128" s="1">
        <v>11.0</v>
      </c>
      <c r="C1128" s="1" t="s">
        <v>2414</v>
      </c>
      <c r="D1128" s="1" t="s">
        <v>1563</v>
      </c>
      <c r="E1128" s="5">
        <v>74.9063670411</v>
      </c>
      <c r="F1128" s="4">
        <v>399.2765405199608</v>
      </c>
      <c r="G1128" s="1" t="s">
        <v>2463</v>
      </c>
      <c r="H1128" s="95">
        <v>45078.0</v>
      </c>
      <c r="I1128" s="95">
        <v>45086.0</v>
      </c>
      <c r="J1128" s="4">
        <v>339.50905674807586</v>
      </c>
      <c r="K1128" s="1"/>
      <c r="L1128" s="1"/>
      <c r="M1128" s="1" t="str">
        <f>VLOOKUP(B1128,Bounties!A:D,3,FALSE)</f>
        <v>Research</v>
      </c>
      <c r="N1128" s="1" t="str">
        <f>VLOOKUP(B1128,Bounties!A:D,4,FALSE)</f>
        <v>Anti-Scam</v>
      </c>
      <c r="O1128" s="1" t="str">
        <f t="shared" ref="O1128:P1128" si="1132">IF(ISBLANK(K1128),M1128,K1128)</f>
        <v>Research</v>
      </c>
      <c r="P1128" s="1" t="str">
        <f t="shared" si="1132"/>
        <v>Anti-Scam</v>
      </c>
      <c r="Q1128" s="61" t="str">
        <f t="shared" si="3"/>
        <v>2023</v>
      </c>
      <c r="R1128" s="62">
        <f t="shared" si="4"/>
        <v>6</v>
      </c>
      <c r="S1128" s="61" t="str">
        <f t="shared" si="5"/>
        <v>2023-Q2</v>
      </c>
      <c r="T1128" s="63" t="str">
        <f t="shared" si="6"/>
        <v>2023-06</v>
      </c>
      <c r="U1128" s="64" t="str">
        <f t="shared" si="7"/>
        <v>2023-H1</v>
      </c>
      <c r="V1128" s="9" t="str">
        <f>VLOOKUP(B1128,Bounties!A:E,2,FALSE)</f>
        <v>Anti-Scam Bounty</v>
      </c>
    </row>
    <row r="1129" hidden="1">
      <c r="A1129" s="67">
        <f>HYPERLINK("https://polkadot.subsquare.io/treasury/child-bounties/265", 265)</f>
        <v>265</v>
      </c>
      <c r="B1129" s="1">
        <v>11.0</v>
      </c>
      <c r="C1129" s="1" t="s">
        <v>2414</v>
      </c>
      <c r="D1129" s="1" t="s">
        <v>1562</v>
      </c>
      <c r="E1129" s="5">
        <v>74.9063670411</v>
      </c>
      <c r="F1129" s="4">
        <v>399.2765405199608</v>
      </c>
      <c r="G1129" s="1" t="s">
        <v>2438</v>
      </c>
      <c r="H1129" s="95">
        <v>45078.0</v>
      </c>
      <c r="I1129" s="95">
        <v>45088.0</v>
      </c>
      <c r="J1129" s="4">
        <v>342.31085902251186</v>
      </c>
      <c r="K1129" s="1"/>
      <c r="L1129" s="1"/>
      <c r="M1129" s="1" t="str">
        <f>VLOOKUP(B1129,Bounties!A:D,3,FALSE)</f>
        <v>Research</v>
      </c>
      <c r="N1129" s="1" t="str">
        <f>VLOOKUP(B1129,Bounties!A:D,4,FALSE)</f>
        <v>Anti-Scam</v>
      </c>
      <c r="O1129" s="1" t="str">
        <f t="shared" ref="O1129:P1129" si="1133">IF(ISBLANK(K1129),M1129,K1129)</f>
        <v>Research</v>
      </c>
      <c r="P1129" s="1" t="str">
        <f t="shared" si="1133"/>
        <v>Anti-Scam</v>
      </c>
      <c r="Q1129" s="61" t="str">
        <f t="shared" si="3"/>
        <v>2023</v>
      </c>
      <c r="R1129" s="62">
        <f t="shared" si="4"/>
        <v>6</v>
      </c>
      <c r="S1129" s="61" t="str">
        <f t="shared" si="5"/>
        <v>2023-Q2</v>
      </c>
      <c r="T1129" s="63" t="str">
        <f t="shared" si="6"/>
        <v>2023-06</v>
      </c>
      <c r="U1129" s="64" t="str">
        <f t="shared" si="7"/>
        <v>2023-H1</v>
      </c>
      <c r="V1129" s="9" t="str">
        <f>VLOOKUP(B1129,Bounties!A:E,2,FALSE)</f>
        <v>Anti-Scam Bounty</v>
      </c>
    </row>
    <row r="1130" hidden="1">
      <c r="A1130" s="67">
        <f>HYPERLINK("https://polkadot.subsquare.io/treasury/child-bounties/264", 264)</f>
        <v>264</v>
      </c>
      <c r="B1130" s="1">
        <v>11.0</v>
      </c>
      <c r="C1130" s="1" t="s">
        <v>2414</v>
      </c>
      <c r="D1130" s="1" t="s">
        <v>1561</v>
      </c>
      <c r="E1130" s="5">
        <v>93.6329588014</v>
      </c>
      <c r="F1130" s="4">
        <v>499.0956756500843</v>
      </c>
      <c r="G1130" s="1" t="s">
        <v>2433</v>
      </c>
      <c r="H1130" s="95">
        <v>45077.0</v>
      </c>
      <c r="I1130" s="95">
        <v>45086.0</v>
      </c>
      <c r="J1130" s="4">
        <v>424.3863209352082</v>
      </c>
      <c r="K1130" s="1"/>
      <c r="L1130" s="1"/>
      <c r="M1130" s="1" t="str">
        <f>VLOOKUP(B1130,Bounties!A:D,3,FALSE)</f>
        <v>Research</v>
      </c>
      <c r="N1130" s="1" t="str">
        <f>VLOOKUP(B1130,Bounties!A:D,4,FALSE)</f>
        <v>Anti-Scam</v>
      </c>
      <c r="O1130" s="1" t="str">
        <f t="shared" ref="O1130:P1130" si="1134">IF(ISBLANK(K1130),M1130,K1130)</f>
        <v>Research</v>
      </c>
      <c r="P1130" s="1" t="str">
        <f t="shared" si="1134"/>
        <v>Anti-Scam</v>
      </c>
      <c r="Q1130" s="61" t="str">
        <f t="shared" si="3"/>
        <v>2023</v>
      </c>
      <c r="R1130" s="62">
        <f t="shared" si="4"/>
        <v>6</v>
      </c>
      <c r="S1130" s="61" t="str">
        <f t="shared" si="5"/>
        <v>2023-Q2</v>
      </c>
      <c r="T1130" s="63" t="str">
        <f t="shared" si="6"/>
        <v>2023-06</v>
      </c>
      <c r="U1130" s="64" t="str">
        <f t="shared" si="7"/>
        <v>2023-H1</v>
      </c>
      <c r="V1130" s="9" t="str">
        <f>VLOOKUP(B1130,Bounties!A:E,2,FALSE)</f>
        <v>Anti-Scam Bounty</v>
      </c>
    </row>
    <row r="1131" hidden="1">
      <c r="A1131" s="67">
        <f>HYPERLINK("https://polkadot.subsquare.io/treasury/child-bounties/263", 263)</f>
        <v>263</v>
      </c>
      <c r="B1131" s="1">
        <v>11.0</v>
      </c>
      <c r="C1131" s="1" t="s">
        <v>2414</v>
      </c>
      <c r="D1131" s="1" t="s">
        <v>1560</v>
      </c>
      <c r="E1131" s="5">
        <v>93.04056959</v>
      </c>
      <c r="F1131" s="4">
        <v>495.9380386652421</v>
      </c>
      <c r="G1131" s="1" t="s">
        <v>2528</v>
      </c>
      <c r="H1131" s="95">
        <v>45077.0</v>
      </c>
      <c r="I1131" s="95">
        <v>45086.0</v>
      </c>
      <c r="J1131" s="4">
        <v>420.693992628911</v>
      </c>
      <c r="K1131" s="1"/>
      <c r="L1131" s="1"/>
      <c r="M1131" s="1" t="str">
        <f>VLOOKUP(B1131,Bounties!A:D,3,FALSE)</f>
        <v>Research</v>
      </c>
      <c r="N1131" s="1" t="str">
        <f>VLOOKUP(B1131,Bounties!A:D,4,FALSE)</f>
        <v>Anti-Scam</v>
      </c>
      <c r="O1131" s="1" t="str">
        <f t="shared" ref="O1131:P1131" si="1135">IF(ISBLANK(K1131),M1131,K1131)</f>
        <v>Research</v>
      </c>
      <c r="P1131" s="1" t="str">
        <f t="shared" si="1135"/>
        <v>Anti-Scam</v>
      </c>
      <c r="Q1131" s="61" t="str">
        <f t="shared" si="3"/>
        <v>2023</v>
      </c>
      <c r="R1131" s="62">
        <f t="shared" si="4"/>
        <v>6</v>
      </c>
      <c r="S1131" s="61" t="str">
        <f t="shared" si="5"/>
        <v>2023-Q2</v>
      </c>
      <c r="T1131" s="63" t="str">
        <f t="shared" si="6"/>
        <v>2023-06</v>
      </c>
      <c r="U1131" s="64" t="str">
        <f t="shared" si="7"/>
        <v>2023-H1</v>
      </c>
      <c r="V1131" s="9" t="str">
        <f>VLOOKUP(B1131,Bounties!A:E,2,FALSE)</f>
        <v>Anti-Scam Bounty</v>
      </c>
    </row>
    <row r="1132" hidden="1">
      <c r="A1132" s="67">
        <f>HYPERLINK("https://polkadot.subsquare.io/treasury/child-bounties/262", 262)</f>
        <v>262</v>
      </c>
      <c r="B1132" s="1">
        <v>11.0</v>
      </c>
      <c r="C1132" s="1" t="s">
        <v>2414</v>
      </c>
      <c r="D1132" s="1" t="s">
        <v>1559</v>
      </c>
      <c r="E1132" s="5">
        <v>112.3595505617</v>
      </c>
      <c r="F1132" s="4">
        <v>598.9148107802077</v>
      </c>
      <c r="G1132" s="1" t="s">
        <v>2437</v>
      </c>
      <c r="H1132" s="95">
        <v>45077.0</v>
      </c>
      <c r="I1132" s="95">
        <v>45085.0</v>
      </c>
      <c r="J1132" s="4">
        <v>508.04706101962694</v>
      </c>
      <c r="K1132" s="1"/>
      <c r="L1132" s="1"/>
      <c r="M1132" s="1" t="str">
        <f>VLOOKUP(B1132,Bounties!A:D,3,FALSE)</f>
        <v>Research</v>
      </c>
      <c r="N1132" s="1" t="str">
        <f>VLOOKUP(B1132,Bounties!A:D,4,FALSE)</f>
        <v>Anti-Scam</v>
      </c>
      <c r="O1132" s="1" t="str">
        <f t="shared" ref="O1132:P1132" si="1136">IF(ISBLANK(K1132),M1132,K1132)</f>
        <v>Research</v>
      </c>
      <c r="P1132" s="1" t="str">
        <f t="shared" si="1136"/>
        <v>Anti-Scam</v>
      </c>
      <c r="Q1132" s="61" t="str">
        <f t="shared" si="3"/>
        <v>2023</v>
      </c>
      <c r="R1132" s="62">
        <f t="shared" si="4"/>
        <v>6</v>
      </c>
      <c r="S1132" s="61" t="str">
        <f t="shared" si="5"/>
        <v>2023-Q2</v>
      </c>
      <c r="T1132" s="63" t="str">
        <f t="shared" si="6"/>
        <v>2023-06</v>
      </c>
      <c r="U1132" s="64" t="str">
        <f t="shared" si="7"/>
        <v>2023-H1</v>
      </c>
      <c r="V1132" s="9" t="str">
        <f>VLOOKUP(B1132,Bounties!A:E,2,FALSE)</f>
        <v>Anti-Scam Bounty</v>
      </c>
    </row>
    <row r="1133" hidden="1">
      <c r="A1133" s="67">
        <f>HYPERLINK("https://polkadot.subsquare.io/treasury/child-bounties/261", 261)</f>
        <v>261</v>
      </c>
      <c r="B1133" s="1">
        <v>11.0</v>
      </c>
      <c r="C1133" s="1" t="s">
        <v>2414</v>
      </c>
      <c r="D1133" s="1" t="s">
        <v>1558</v>
      </c>
      <c r="E1133" s="5">
        <v>134.8314606741</v>
      </c>
      <c r="F1133" s="4">
        <v>718.6977729365691</v>
      </c>
      <c r="G1133" s="1" t="s">
        <v>2535</v>
      </c>
      <c r="H1133" s="95">
        <v>45077.0</v>
      </c>
      <c r="I1133" s="95">
        <v>45086.0</v>
      </c>
      <c r="J1133" s="4">
        <v>611.1163021470804</v>
      </c>
      <c r="K1133" s="1"/>
      <c r="L1133" s="1"/>
      <c r="M1133" s="1" t="str">
        <f>VLOOKUP(B1133,Bounties!A:D,3,FALSE)</f>
        <v>Research</v>
      </c>
      <c r="N1133" s="1" t="str">
        <f>VLOOKUP(B1133,Bounties!A:D,4,FALSE)</f>
        <v>Anti-Scam</v>
      </c>
      <c r="O1133" s="1" t="str">
        <f t="shared" ref="O1133:P1133" si="1137">IF(ISBLANK(K1133),M1133,K1133)</f>
        <v>Research</v>
      </c>
      <c r="P1133" s="1" t="str">
        <f t="shared" si="1137"/>
        <v>Anti-Scam</v>
      </c>
      <c r="Q1133" s="61" t="str">
        <f t="shared" si="3"/>
        <v>2023</v>
      </c>
      <c r="R1133" s="62">
        <f t="shared" si="4"/>
        <v>6</v>
      </c>
      <c r="S1133" s="61" t="str">
        <f t="shared" si="5"/>
        <v>2023-Q2</v>
      </c>
      <c r="T1133" s="63" t="str">
        <f t="shared" si="6"/>
        <v>2023-06</v>
      </c>
      <c r="U1133" s="64" t="str">
        <f t="shared" si="7"/>
        <v>2023-H1</v>
      </c>
      <c r="V1133" s="9" t="str">
        <f>VLOOKUP(B1133,Bounties!A:E,2,FALSE)</f>
        <v>Anti-Scam Bounty</v>
      </c>
    </row>
    <row r="1134" hidden="1">
      <c r="A1134" s="67">
        <f>HYPERLINK("https://polkadot.subsquare.io/treasury/child-bounties/260", 260)</f>
        <v>260</v>
      </c>
      <c r="B1134" s="1">
        <v>17.0</v>
      </c>
      <c r="C1134" s="1" t="s">
        <v>2414</v>
      </c>
      <c r="D1134" s="1" t="s">
        <v>1557</v>
      </c>
      <c r="E1134" s="5">
        <v>1508.0</v>
      </c>
      <c r="F1134" s="4">
        <v>8038.155458450317</v>
      </c>
      <c r="G1134" s="1" t="s">
        <v>2733</v>
      </c>
      <c r="H1134" s="95">
        <v>45077.0</v>
      </c>
      <c r="I1134" s="95">
        <v>45088.0</v>
      </c>
      <c r="J1134" s="4">
        <v>6891.333751678467</v>
      </c>
      <c r="K1134" s="1"/>
      <c r="L1134" s="1" t="s">
        <v>86</v>
      </c>
      <c r="M1134" s="1" t="str">
        <f>VLOOKUP(B1134,Bounties!A:D,3,FALSE)</f>
        <v>Outreach</v>
      </c>
      <c r="N1134" s="1" t="str">
        <f>VLOOKUP(B1134,Bounties!A:D,4,FALSE)</f>
        <v>Events/Meetups</v>
      </c>
      <c r="O1134" s="1" t="str">
        <f t="shared" ref="O1134:P1134" si="1138">IF(ISBLANK(K1134),M1134,K1134)</f>
        <v>Outreach</v>
      </c>
      <c r="P1134" s="1" t="str">
        <f t="shared" si="1138"/>
        <v>Events/Conference Attendance &amp; Side Events</v>
      </c>
      <c r="Q1134" s="61" t="str">
        <f t="shared" si="3"/>
        <v>2023</v>
      </c>
      <c r="R1134" s="62">
        <f t="shared" si="4"/>
        <v>6</v>
      </c>
      <c r="S1134" s="61" t="str">
        <f t="shared" si="5"/>
        <v>2023-Q2</v>
      </c>
      <c r="T1134" s="63" t="str">
        <f t="shared" si="6"/>
        <v>2023-06</v>
      </c>
      <c r="U1134" s="64" t="str">
        <f t="shared" si="7"/>
        <v>2023-H1</v>
      </c>
      <c r="V1134" s="9" t="str">
        <f>VLOOKUP(B1134,Bounties!A:E,2,FALSE)</f>
        <v>Events Bounty</v>
      </c>
    </row>
    <row r="1135" hidden="1">
      <c r="A1135" s="67">
        <f>HYPERLINK("https://polkadot.subsquare.io/treasury/child-bounties/259", 259)</f>
        <v>259</v>
      </c>
      <c r="B1135" s="1">
        <v>17.0</v>
      </c>
      <c r="C1135" s="1" t="s">
        <v>2414</v>
      </c>
      <c r="D1135" s="1" t="s">
        <v>1556</v>
      </c>
      <c r="E1135" s="5">
        <v>38779.0</v>
      </c>
      <c r="F1135" s="4">
        <v>206705.32528066635</v>
      </c>
      <c r="G1135" s="1" t="s">
        <v>2592</v>
      </c>
      <c r="H1135" s="95">
        <v>45077.0</v>
      </c>
      <c r="I1135" s="95">
        <v>45093.0</v>
      </c>
      <c r="J1135" s="4">
        <v>175374.99641132355</v>
      </c>
      <c r="K1135" s="1"/>
      <c r="L1135" s="1"/>
      <c r="M1135" s="1" t="str">
        <f>VLOOKUP(B1135,Bounties!A:D,3,FALSE)</f>
        <v>Outreach</v>
      </c>
      <c r="N1135" s="1" t="str">
        <f>VLOOKUP(B1135,Bounties!A:D,4,FALSE)</f>
        <v>Events/Meetups</v>
      </c>
      <c r="O1135" s="1" t="str">
        <f t="shared" ref="O1135:P1135" si="1139">IF(ISBLANK(K1135),M1135,K1135)</f>
        <v>Outreach</v>
      </c>
      <c r="P1135" s="1" t="str">
        <f t="shared" si="1139"/>
        <v>Events/Meetups</v>
      </c>
      <c r="Q1135" s="61" t="str">
        <f t="shared" si="3"/>
        <v>2023</v>
      </c>
      <c r="R1135" s="62">
        <f t="shared" si="4"/>
        <v>6</v>
      </c>
      <c r="S1135" s="61" t="str">
        <f t="shared" si="5"/>
        <v>2023-Q2</v>
      </c>
      <c r="T1135" s="63" t="str">
        <f t="shared" si="6"/>
        <v>2023-06</v>
      </c>
      <c r="U1135" s="64" t="str">
        <f t="shared" si="7"/>
        <v>2023-H1</v>
      </c>
      <c r="V1135" s="9" t="str">
        <f>VLOOKUP(B1135,Bounties!A:E,2,FALSE)</f>
        <v>Events Bounty</v>
      </c>
    </row>
    <row r="1136" hidden="1">
      <c r="A1136" s="67">
        <f>HYPERLINK("https://polkadot.subsquare.io/treasury/child-bounties/258", 258)</f>
        <v>258</v>
      </c>
      <c r="B1136" s="1">
        <v>11.0</v>
      </c>
      <c r="C1136" s="1" t="s">
        <v>2414</v>
      </c>
      <c r="D1136" s="1" t="s">
        <v>1555</v>
      </c>
      <c r="E1136" s="5">
        <v>111.94</v>
      </c>
      <c r="F1136" s="4">
        <v>591.0303062152863</v>
      </c>
      <c r="G1136" s="1" t="s">
        <v>2531</v>
      </c>
      <c r="H1136" s="95">
        <v>45077.0</v>
      </c>
      <c r="I1136" s="95">
        <v>45086.0</v>
      </c>
      <c r="J1136" s="4">
        <v>507.361994895935</v>
      </c>
      <c r="K1136" s="1"/>
      <c r="L1136" s="1"/>
      <c r="M1136" s="1" t="str">
        <f>VLOOKUP(B1136,Bounties!A:D,3,FALSE)</f>
        <v>Research</v>
      </c>
      <c r="N1136" s="1" t="str">
        <f>VLOOKUP(B1136,Bounties!A:D,4,FALSE)</f>
        <v>Anti-Scam</v>
      </c>
      <c r="O1136" s="1" t="str">
        <f t="shared" ref="O1136:P1136" si="1140">IF(ISBLANK(K1136),M1136,K1136)</f>
        <v>Research</v>
      </c>
      <c r="P1136" s="1" t="str">
        <f t="shared" si="1140"/>
        <v>Anti-Scam</v>
      </c>
      <c r="Q1136" s="61" t="str">
        <f t="shared" si="3"/>
        <v>2023</v>
      </c>
      <c r="R1136" s="62">
        <f t="shared" si="4"/>
        <v>6</v>
      </c>
      <c r="S1136" s="61" t="str">
        <f t="shared" si="5"/>
        <v>2023-Q2</v>
      </c>
      <c r="T1136" s="63" t="str">
        <f t="shared" si="6"/>
        <v>2023-06</v>
      </c>
      <c r="U1136" s="64" t="str">
        <f t="shared" si="7"/>
        <v>2023-H1</v>
      </c>
      <c r="V1136" s="9" t="str">
        <f>VLOOKUP(B1136,Bounties!A:E,2,FALSE)</f>
        <v>Anti-Scam Bounty</v>
      </c>
    </row>
    <row r="1137" hidden="1">
      <c r="A1137" s="67">
        <f>HYPERLINK("https://polkadot.subsquare.io/treasury/child-bounties/257", 257)</f>
        <v>257</v>
      </c>
      <c r="B1137" s="1">
        <v>11.0</v>
      </c>
      <c r="C1137" s="1" t="s">
        <v>2414</v>
      </c>
      <c r="D1137" s="1" t="s">
        <v>1554</v>
      </c>
      <c r="E1137" s="5">
        <v>134.32</v>
      </c>
      <c r="F1137" s="4">
        <v>709.1941283798218</v>
      </c>
      <c r="G1137" s="1" t="s">
        <v>2463</v>
      </c>
      <c r="H1137" s="95">
        <v>45077.0</v>
      </c>
      <c r="I1137" s="95">
        <v>45086.0</v>
      </c>
      <c r="J1137" s="4">
        <v>608.7981343078613</v>
      </c>
      <c r="K1137" s="1"/>
      <c r="L1137" s="1"/>
      <c r="M1137" s="1" t="str">
        <f>VLOOKUP(B1137,Bounties!A:D,3,FALSE)</f>
        <v>Research</v>
      </c>
      <c r="N1137" s="1" t="str">
        <f>VLOOKUP(B1137,Bounties!A:D,4,FALSE)</f>
        <v>Anti-Scam</v>
      </c>
      <c r="O1137" s="1" t="str">
        <f t="shared" ref="O1137:P1137" si="1141">IF(ISBLANK(K1137),M1137,K1137)</f>
        <v>Research</v>
      </c>
      <c r="P1137" s="1" t="str">
        <f t="shared" si="1141"/>
        <v>Anti-Scam</v>
      </c>
      <c r="Q1137" s="61" t="str">
        <f t="shared" si="3"/>
        <v>2023</v>
      </c>
      <c r="R1137" s="62">
        <f t="shared" si="4"/>
        <v>6</v>
      </c>
      <c r="S1137" s="61" t="str">
        <f t="shared" si="5"/>
        <v>2023-Q2</v>
      </c>
      <c r="T1137" s="63" t="str">
        <f t="shared" si="6"/>
        <v>2023-06</v>
      </c>
      <c r="U1137" s="64" t="str">
        <f t="shared" si="7"/>
        <v>2023-H1</v>
      </c>
      <c r="V1137" s="9" t="str">
        <f>VLOOKUP(B1137,Bounties!A:E,2,FALSE)</f>
        <v>Anti-Scam Bounty</v>
      </c>
    </row>
    <row r="1138" hidden="1">
      <c r="A1138" s="67">
        <f>HYPERLINK("https://polkadot.subsquare.io/treasury/child-bounties/256", 256)</f>
        <v>256</v>
      </c>
      <c r="B1138" s="1">
        <v>11.0</v>
      </c>
      <c r="C1138" s="1" t="s">
        <v>2414</v>
      </c>
      <c r="D1138" s="1" t="s">
        <v>1553</v>
      </c>
      <c r="E1138" s="5">
        <v>93.28</v>
      </c>
      <c r="F1138" s="4">
        <v>492.5076555633545</v>
      </c>
      <c r="G1138" s="1" t="s">
        <v>2526</v>
      </c>
      <c r="H1138" s="95">
        <v>45077.0</v>
      </c>
      <c r="I1138" s="95">
        <v>45091.0</v>
      </c>
      <c r="J1138" s="4">
        <v>422.19751396179197</v>
      </c>
      <c r="K1138" s="1"/>
      <c r="L1138" s="1"/>
      <c r="M1138" s="1" t="str">
        <f>VLOOKUP(B1138,Bounties!A:D,3,FALSE)</f>
        <v>Research</v>
      </c>
      <c r="N1138" s="1" t="str">
        <f>VLOOKUP(B1138,Bounties!A:D,4,FALSE)</f>
        <v>Anti-Scam</v>
      </c>
      <c r="O1138" s="1" t="str">
        <f t="shared" ref="O1138:P1138" si="1142">IF(ISBLANK(K1138),M1138,K1138)</f>
        <v>Research</v>
      </c>
      <c r="P1138" s="1" t="str">
        <f t="shared" si="1142"/>
        <v>Anti-Scam</v>
      </c>
      <c r="Q1138" s="61" t="str">
        <f t="shared" si="3"/>
        <v>2023</v>
      </c>
      <c r="R1138" s="62">
        <f t="shared" si="4"/>
        <v>6</v>
      </c>
      <c r="S1138" s="61" t="str">
        <f t="shared" si="5"/>
        <v>2023-Q2</v>
      </c>
      <c r="T1138" s="63" t="str">
        <f t="shared" si="6"/>
        <v>2023-06</v>
      </c>
      <c r="U1138" s="64" t="str">
        <f t="shared" si="7"/>
        <v>2023-H1</v>
      </c>
      <c r="V1138" s="9" t="str">
        <f>VLOOKUP(B1138,Bounties!A:E,2,FALSE)</f>
        <v>Anti-Scam Bounty</v>
      </c>
    </row>
    <row r="1139" hidden="1">
      <c r="A1139" s="67">
        <f>HYPERLINK("https://polkadot.subsquare.io/treasury/child-bounties/255", 255)</f>
        <v>255</v>
      </c>
      <c r="B1139" s="1">
        <v>11.0</v>
      </c>
      <c r="C1139" s="1" t="s">
        <v>2414</v>
      </c>
      <c r="D1139" s="1" t="s">
        <v>1552</v>
      </c>
      <c r="E1139" s="5">
        <v>156.3081503536</v>
      </c>
      <c r="F1139" s="4">
        <v>825.2890295464822</v>
      </c>
      <c r="G1139" s="1" t="s">
        <v>2534</v>
      </c>
      <c r="H1139" s="95">
        <v>45077.0</v>
      </c>
      <c r="I1139" s="95">
        <v>45085.0</v>
      </c>
      <c r="J1139" s="4">
        <v>706.7658779656028</v>
      </c>
      <c r="K1139" s="1"/>
      <c r="L1139" s="1"/>
      <c r="M1139" s="1" t="str">
        <f>VLOOKUP(B1139,Bounties!A:D,3,FALSE)</f>
        <v>Research</v>
      </c>
      <c r="N1139" s="1" t="str">
        <f>VLOOKUP(B1139,Bounties!A:D,4,FALSE)</f>
        <v>Anti-Scam</v>
      </c>
      <c r="O1139" s="1" t="str">
        <f t="shared" ref="O1139:P1139" si="1143">IF(ISBLANK(K1139),M1139,K1139)</f>
        <v>Research</v>
      </c>
      <c r="P1139" s="1" t="str">
        <f t="shared" si="1143"/>
        <v>Anti-Scam</v>
      </c>
      <c r="Q1139" s="61" t="str">
        <f t="shared" si="3"/>
        <v>2023</v>
      </c>
      <c r="R1139" s="62">
        <f t="shared" si="4"/>
        <v>6</v>
      </c>
      <c r="S1139" s="61" t="str">
        <f t="shared" si="5"/>
        <v>2023-Q2</v>
      </c>
      <c r="T1139" s="63" t="str">
        <f t="shared" si="6"/>
        <v>2023-06</v>
      </c>
      <c r="U1139" s="64" t="str">
        <f t="shared" si="7"/>
        <v>2023-H1</v>
      </c>
      <c r="V1139" s="9" t="str">
        <f>VLOOKUP(B1139,Bounties!A:E,2,FALSE)</f>
        <v>Anti-Scam Bounty</v>
      </c>
    </row>
    <row r="1140" hidden="1">
      <c r="A1140" s="67">
        <f>HYPERLINK("https://polkadot.subsquare.io/treasury/child-bounties/254", 254)</f>
        <v>254</v>
      </c>
      <c r="B1140" s="1">
        <v>11.0</v>
      </c>
      <c r="C1140" s="1" t="s">
        <v>2414</v>
      </c>
      <c r="D1140" s="1" t="s">
        <v>1551</v>
      </c>
      <c r="E1140" s="5">
        <v>93.0405656866</v>
      </c>
      <c r="F1140" s="4">
        <v>491.2434699677922</v>
      </c>
      <c r="G1140" s="1" t="s">
        <v>2534</v>
      </c>
      <c r="H1140" s="95">
        <v>45077.0</v>
      </c>
      <c r="I1140" s="95">
        <v>45085.0</v>
      </c>
      <c r="J1140" s="4">
        <v>420.69397497922404</v>
      </c>
      <c r="K1140" s="1"/>
      <c r="L1140" s="1"/>
      <c r="M1140" s="1" t="str">
        <f>VLOOKUP(B1140,Bounties!A:D,3,FALSE)</f>
        <v>Research</v>
      </c>
      <c r="N1140" s="1" t="str">
        <f>VLOOKUP(B1140,Bounties!A:D,4,FALSE)</f>
        <v>Anti-Scam</v>
      </c>
      <c r="O1140" s="1" t="str">
        <f t="shared" ref="O1140:P1140" si="1144">IF(ISBLANK(K1140),M1140,K1140)</f>
        <v>Research</v>
      </c>
      <c r="P1140" s="1" t="str">
        <f t="shared" si="1144"/>
        <v>Anti-Scam</v>
      </c>
      <c r="Q1140" s="61" t="str">
        <f t="shared" si="3"/>
        <v>2023</v>
      </c>
      <c r="R1140" s="62">
        <f t="shared" si="4"/>
        <v>6</v>
      </c>
      <c r="S1140" s="61" t="str">
        <f t="shared" si="5"/>
        <v>2023-Q2</v>
      </c>
      <c r="T1140" s="63" t="str">
        <f t="shared" si="6"/>
        <v>2023-06</v>
      </c>
      <c r="U1140" s="64" t="str">
        <f t="shared" si="7"/>
        <v>2023-H1</v>
      </c>
      <c r="V1140" s="9" t="str">
        <f>VLOOKUP(B1140,Bounties!A:E,2,FALSE)</f>
        <v>Anti-Scam Bounty</v>
      </c>
    </row>
    <row r="1141" hidden="1">
      <c r="A1141" s="67">
        <f>HYPERLINK("https://polkadot.subsquare.io/treasury/child-bounties/253", 253)</f>
        <v>253</v>
      </c>
      <c r="B1141" s="1">
        <v>11.0</v>
      </c>
      <c r="C1141" s="1" t="s">
        <v>2414</v>
      </c>
      <c r="D1141" s="1" t="s">
        <v>1550</v>
      </c>
      <c r="E1141" s="5">
        <v>133.9784146</v>
      </c>
      <c r="F1141" s="4">
        <v>707.3905968132623</v>
      </c>
      <c r="G1141" s="1" t="s">
        <v>2438</v>
      </c>
      <c r="H1141" s="95">
        <v>45076.0</v>
      </c>
      <c r="I1141" s="95">
        <v>45085.0</v>
      </c>
      <c r="J1141" s="4">
        <v>606.4257251380798</v>
      </c>
      <c r="K1141" s="1"/>
      <c r="L1141" s="1"/>
      <c r="M1141" s="1" t="str">
        <f>VLOOKUP(B1141,Bounties!A:D,3,FALSE)</f>
        <v>Research</v>
      </c>
      <c r="N1141" s="1" t="str">
        <f>VLOOKUP(B1141,Bounties!A:D,4,FALSE)</f>
        <v>Anti-Scam</v>
      </c>
      <c r="O1141" s="1" t="str">
        <f t="shared" ref="O1141:P1141" si="1145">IF(ISBLANK(K1141),M1141,K1141)</f>
        <v>Research</v>
      </c>
      <c r="P1141" s="1" t="str">
        <f t="shared" si="1145"/>
        <v>Anti-Scam</v>
      </c>
      <c r="Q1141" s="61" t="str">
        <f t="shared" si="3"/>
        <v>2023</v>
      </c>
      <c r="R1141" s="62">
        <f t="shared" si="4"/>
        <v>6</v>
      </c>
      <c r="S1141" s="61" t="str">
        <f t="shared" si="5"/>
        <v>2023-Q2</v>
      </c>
      <c r="T1141" s="63" t="str">
        <f t="shared" si="6"/>
        <v>2023-06</v>
      </c>
      <c r="U1141" s="64" t="str">
        <f t="shared" si="7"/>
        <v>2023-H1</v>
      </c>
      <c r="V1141" s="9" t="str">
        <f>VLOOKUP(B1141,Bounties!A:E,2,FALSE)</f>
        <v>Anti-Scam Bounty</v>
      </c>
    </row>
    <row r="1142" hidden="1">
      <c r="A1142" s="67">
        <f>HYPERLINK("https://polkadot.subsquare.io/treasury/child-bounties/252", 252)</f>
        <v>252</v>
      </c>
      <c r="B1142" s="1">
        <v>11.0</v>
      </c>
      <c r="C1142" s="1" t="s">
        <v>2414</v>
      </c>
      <c r="D1142" s="1" t="s">
        <v>1549</v>
      </c>
      <c r="E1142" s="5">
        <v>295.6457015</v>
      </c>
      <c r="F1142" s="4">
        <v>1560.975250033751</v>
      </c>
      <c r="G1142" s="1" t="s">
        <v>2437</v>
      </c>
      <c r="H1142" s="95">
        <v>45076.0</v>
      </c>
      <c r="I1142" s="95">
        <v>45084.0</v>
      </c>
      <c r="J1142" s="4">
        <v>1338.1794332420302</v>
      </c>
      <c r="K1142" s="1"/>
      <c r="L1142" s="1"/>
      <c r="M1142" s="1" t="str">
        <f>VLOOKUP(B1142,Bounties!A:D,3,FALSE)</f>
        <v>Research</v>
      </c>
      <c r="N1142" s="1" t="str">
        <f>VLOOKUP(B1142,Bounties!A:D,4,FALSE)</f>
        <v>Anti-Scam</v>
      </c>
      <c r="O1142" s="1" t="str">
        <f t="shared" ref="O1142:P1142" si="1146">IF(ISBLANK(K1142),M1142,K1142)</f>
        <v>Research</v>
      </c>
      <c r="P1142" s="1" t="str">
        <f t="shared" si="1146"/>
        <v>Anti-Scam</v>
      </c>
      <c r="Q1142" s="61" t="str">
        <f t="shared" si="3"/>
        <v>2023</v>
      </c>
      <c r="R1142" s="62">
        <f t="shared" si="4"/>
        <v>6</v>
      </c>
      <c r="S1142" s="61" t="str">
        <f t="shared" si="5"/>
        <v>2023-Q2</v>
      </c>
      <c r="T1142" s="63" t="str">
        <f t="shared" si="6"/>
        <v>2023-06</v>
      </c>
      <c r="U1142" s="64" t="str">
        <f t="shared" si="7"/>
        <v>2023-H1</v>
      </c>
      <c r="V1142" s="9" t="str">
        <f>VLOOKUP(B1142,Bounties!A:E,2,FALSE)</f>
        <v>Anti-Scam Bounty</v>
      </c>
    </row>
    <row r="1143" hidden="1">
      <c r="A1143" s="67">
        <f>HYPERLINK("https://polkadot.subsquare.io/treasury/child-bounties/251", 251)</f>
        <v>251</v>
      </c>
      <c r="B1143" s="1">
        <v>11.0</v>
      </c>
      <c r="C1143" s="1" t="s">
        <v>2414</v>
      </c>
      <c r="D1143" s="1" t="s">
        <v>1548</v>
      </c>
      <c r="E1143" s="5">
        <v>653.1075549</v>
      </c>
      <c r="F1143" s="4">
        <v>3448.332661819402</v>
      </c>
      <c r="G1143" s="1" t="s">
        <v>2438</v>
      </c>
      <c r="H1143" s="95">
        <v>45076.0</v>
      </c>
      <c r="I1143" s="95">
        <v>45085.0</v>
      </c>
      <c r="J1143" s="4">
        <v>2956.1569582372913</v>
      </c>
      <c r="K1143" s="1"/>
      <c r="L1143" s="1"/>
      <c r="M1143" s="1" t="str">
        <f>VLOOKUP(B1143,Bounties!A:D,3,FALSE)</f>
        <v>Research</v>
      </c>
      <c r="N1143" s="1" t="str">
        <f>VLOOKUP(B1143,Bounties!A:D,4,FALSE)</f>
        <v>Anti-Scam</v>
      </c>
      <c r="O1143" s="1" t="str">
        <f t="shared" ref="O1143:P1143" si="1147">IF(ISBLANK(K1143),M1143,K1143)</f>
        <v>Research</v>
      </c>
      <c r="P1143" s="1" t="str">
        <f t="shared" si="1147"/>
        <v>Anti-Scam</v>
      </c>
      <c r="Q1143" s="61" t="str">
        <f t="shared" si="3"/>
        <v>2023</v>
      </c>
      <c r="R1143" s="62">
        <f t="shared" si="4"/>
        <v>6</v>
      </c>
      <c r="S1143" s="61" t="str">
        <f t="shared" si="5"/>
        <v>2023-Q2</v>
      </c>
      <c r="T1143" s="63" t="str">
        <f t="shared" si="6"/>
        <v>2023-06</v>
      </c>
      <c r="U1143" s="64" t="str">
        <f t="shared" si="7"/>
        <v>2023-H1</v>
      </c>
      <c r="V1143" s="9" t="str">
        <f>VLOOKUP(B1143,Bounties!A:E,2,FALSE)</f>
        <v>Anti-Scam Bounty</v>
      </c>
    </row>
    <row r="1144" hidden="1">
      <c r="A1144" s="67">
        <f>HYPERLINK("https://polkadot.subsquare.io/treasury/child-bounties/250", 250)</f>
        <v>250</v>
      </c>
      <c r="B1144" s="1">
        <v>11.0</v>
      </c>
      <c r="C1144" s="1" t="s">
        <v>2414</v>
      </c>
      <c r="D1144" s="1" t="s">
        <v>1547</v>
      </c>
      <c r="E1144" s="5">
        <v>253.4425009</v>
      </c>
      <c r="F1144" s="4">
        <v>1338.1472120322937</v>
      </c>
      <c r="G1144" s="1" t="s">
        <v>2463</v>
      </c>
      <c r="H1144" s="95">
        <v>45076.0</v>
      </c>
      <c r="I1144" s="95">
        <v>45086.0</v>
      </c>
      <c r="J1144" s="4">
        <v>1148.7144260142827</v>
      </c>
      <c r="K1144" s="1"/>
      <c r="L1144" s="1"/>
      <c r="M1144" s="1" t="str">
        <f>VLOOKUP(B1144,Bounties!A:D,3,FALSE)</f>
        <v>Research</v>
      </c>
      <c r="N1144" s="1" t="str">
        <f>VLOOKUP(B1144,Bounties!A:D,4,FALSE)</f>
        <v>Anti-Scam</v>
      </c>
      <c r="O1144" s="1" t="str">
        <f t="shared" ref="O1144:P1144" si="1148">IF(ISBLANK(K1144),M1144,K1144)</f>
        <v>Research</v>
      </c>
      <c r="P1144" s="1" t="str">
        <f t="shared" si="1148"/>
        <v>Anti-Scam</v>
      </c>
      <c r="Q1144" s="61" t="str">
        <f t="shared" si="3"/>
        <v>2023</v>
      </c>
      <c r="R1144" s="62">
        <f t="shared" si="4"/>
        <v>6</v>
      </c>
      <c r="S1144" s="61" t="str">
        <f t="shared" si="5"/>
        <v>2023-Q2</v>
      </c>
      <c r="T1144" s="63" t="str">
        <f t="shared" si="6"/>
        <v>2023-06</v>
      </c>
      <c r="U1144" s="64" t="str">
        <f t="shared" si="7"/>
        <v>2023-H1</v>
      </c>
      <c r="V1144" s="9" t="str">
        <f>VLOOKUP(B1144,Bounties!A:E,2,FALSE)</f>
        <v>Anti-Scam Bounty</v>
      </c>
    </row>
    <row r="1145" hidden="1">
      <c r="A1145" s="67">
        <f>HYPERLINK("https://polkadot.subsquare.io/treasury/child-bounties/249", 249)</f>
        <v>249</v>
      </c>
      <c r="B1145" s="1">
        <v>17.0</v>
      </c>
      <c r="C1145" s="1" t="s">
        <v>2414</v>
      </c>
      <c r="D1145" s="1" t="s">
        <v>1546</v>
      </c>
      <c r="E1145" s="5">
        <v>7375.5</v>
      </c>
      <c r="F1145" s="4">
        <v>39370.35437321663</v>
      </c>
      <c r="G1145" s="1" t="s">
        <v>2692</v>
      </c>
      <c r="H1145" s="95">
        <v>45070.0</v>
      </c>
      <c r="I1145" s="95">
        <v>45087.0</v>
      </c>
      <c r="J1145" s="4">
        <v>34090.10069131851</v>
      </c>
      <c r="K1145" s="1"/>
      <c r="L1145" s="1" t="s">
        <v>86</v>
      </c>
      <c r="M1145" s="1" t="str">
        <f>VLOOKUP(B1145,Bounties!A:D,3,FALSE)</f>
        <v>Outreach</v>
      </c>
      <c r="N1145" s="1" t="str">
        <f>VLOOKUP(B1145,Bounties!A:D,4,FALSE)</f>
        <v>Events/Meetups</v>
      </c>
      <c r="O1145" s="1" t="str">
        <f t="shared" ref="O1145:P1145" si="1149">IF(ISBLANK(K1145),M1145,K1145)</f>
        <v>Outreach</v>
      </c>
      <c r="P1145" s="1" t="str">
        <f t="shared" si="1149"/>
        <v>Events/Conference Attendance &amp; Side Events</v>
      </c>
      <c r="Q1145" s="61" t="str">
        <f t="shared" si="3"/>
        <v>2023</v>
      </c>
      <c r="R1145" s="62">
        <f t="shared" si="4"/>
        <v>6</v>
      </c>
      <c r="S1145" s="61" t="str">
        <f t="shared" si="5"/>
        <v>2023-Q2</v>
      </c>
      <c r="T1145" s="63" t="str">
        <f t="shared" si="6"/>
        <v>2023-06</v>
      </c>
      <c r="U1145" s="64" t="str">
        <f t="shared" si="7"/>
        <v>2023-H1</v>
      </c>
      <c r="V1145" s="9" t="str">
        <f>VLOOKUP(B1145,Bounties!A:E,2,FALSE)</f>
        <v>Events Bounty</v>
      </c>
    </row>
    <row r="1146" hidden="1">
      <c r="A1146" s="67">
        <f>HYPERLINK("https://polkadot.subsquare.io/treasury/child-bounties/248", 248)</f>
        <v>248</v>
      </c>
      <c r="B1146" s="1">
        <v>17.0</v>
      </c>
      <c r="C1146" s="1" t="s">
        <v>2414</v>
      </c>
      <c r="D1146" s="1" t="s">
        <v>1545</v>
      </c>
      <c r="E1146" s="5">
        <v>5044.9</v>
      </c>
      <c r="F1146" s="4">
        <v>26929.631994771957</v>
      </c>
      <c r="G1146" s="1" t="s">
        <v>2692</v>
      </c>
      <c r="H1146" s="95">
        <v>45070.0</v>
      </c>
      <c r="I1146" s="95">
        <v>45087.0</v>
      </c>
      <c r="J1146" s="4">
        <v>23317.896953105927</v>
      </c>
      <c r="K1146" s="1"/>
      <c r="L1146" s="1" t="s">
        <v>86</v>
      </c>
      <c r="M1146" s="1" t="str">
        <f>VLOOKUP(B1146,Bounties!A:D,3,FALSE)</f>
        <v>Outreach</v>
      </c>
      <c r="N1146" s="1" t="str">
        <f>VLOOKUP(B1146,Bounties!A:D,4,FALSE)</f>
        <v>Events/Meetups</v>
      </c>
      <c r="O1146" s="1" t="str">
        <f t="shared" ref="O1146:P1146" si="1150">IF(ISBLANK(K1146),M1146,K1146)</f>
        <v>Outreach</v>
      </c>
      <c r="P1146" s="1" t="str">
        <f t="shared" si="1150"/>
        <v>Events/Conference Attendance &amp; Side Events</v>
      </c>
      <c r="Q1146" s="61" t="str">
        <f t="shared" si="3"/>
        <v>2023</v>
      </c>
      <c r="R1146" s="62">
        <f t="shared" si="4"/>
        <v>6</v>
      </c>
      <c r="S1146" s="61" t="str">
        <f t="shared" si="5"/>
        <v>2023-Q2</v>
      </c>
      <c r="T1146" s="63" t="str">
        <f t="shared" si="6"/>
        <v>2023-06</v>
      </c>
      <c r="U1146" s="64" t="str">
        <f t="shared" si="7"/>
        <v>2023-H1</v>
      </c>
      <c r="V1146" s="9" t="str">
        <f>VLOOKUP(B1146,Bounties!A:E,2,FALSE)</f>
        <v>Events Bounty</v>
      </c>
    </row>
    <row r="1147" hidden="1">
      <c r="A1147" s="67">
        <f>HYPERLINK("https://polkadot.subsquare.io/treasury/child-bounties/247", 247)</f>
        <v>247</v>
      </c>
      <c r="B1147" s="1">
        <v>17.0</v>
      </c>
      <c r="C1147" s="1" t="s">
        <v>2414</v>
      </c>
      <c r="D1147" s="1" t="s">
        <v>1544</v>
      </c>
      <c r="E1147" s="5">
        <v>7929.7</v>
      </c>
      <c r="F1147" s="4">
        <v>42328.66911711693</v>
      </c>
      <c r="G1147" s="1" t="s">
        <v>2734</v>
      </c>
      <c r="H1147" s="95">
        <v>45070.0</v>
      </c>
      <c r="I1147" s="95">
        <v>45097.0</v>
      </c>
      <c r="J1147" s="4">
        <v>38305.43020329475</v>
      </c>
      <c r="K1147" s="1"/>
      <c r="L1147" s="1" t="s">
        <v>86</v>
      </c>
      <c r="M1147" s="1" t="str">
        <f>VLOOKUP(B1147,Bounties!A:D,3,FALSE)</f>
        <v>Outreach</v>
      </c>
      <c r="N1147" s="1" t="str">
        <f>VLOOKUP(B1147,Bounties!A:D,4,FALSE)</f>
        <v>Events/Meetups</v>
      </c>
      <c r="O1147" s="1" t="str">
        <f t="shared" ref="O1147:P1147" si="1151">IF(ISBLANK(K1147),M1147,K1147)</f>
        <v>Outreach</v>
      </c>
      <c r="P1147" s="1" t="str">
        <f t="shared" si="1151"/>
        <v>Events/Conference Attendance &amp; Side Events</v>
      </c>
      <c r="Q1147" s="61" t="str">
        <f t="shared" si="3"/>
        <v>2023</v>
      </c>
      <c r="R1147" s="62">
        <f t="shared" si="4"/>
        <v>6</v>
      </c>
      <c r="S1147" s="61" t="str">
        <f t="shared" si="5"/>
        <v>2023-Q2</v>
      </c>
      <c r="T1147" s="63" t="str">
        <f t="shared" si="6"/>
        <v>2023-06</v>
      </c>
      <c r="U1147" s="64" t="str">
        <f t="shared" si="7"/>
        <v>2023-H1</v>
      </c>
      <c r="V1147" s="9" t="str">
        <f>VLOOKUP(B1147,Bounties!A:E,2,FALSE)</f>
        <v>Events Bounty</v>
      </c>
    </row>
    <row r="1148" hidden="1">
      <c r="A1148" s="67">
        <f>HYPERLINK("https://polkadot.subsquare.io/treasury/child-bounties/246", 246)</f>
        <v>246</v>
      </c>
      <c r="B1148" s="1">
        <v>17.0</v>
      </c>
      <c r="C1148" s="1" t="s">
        <v>2414</v>
      </c>
      <c r="D1148" s="1" t="s">
        <v>1543</v>
      </c>
      <c r="E1148" s="5">
        <v>8897.0</v>
      </c>
      <c r="F1148" s="4">
        <v>47492.10804128647</v>
      </c>
      <c r="G1148" s="1" t="s">
        <v>2735</v>
      </c>
      <c r="H1148" s="95">
        <v>45070.0</v>
      </c>
      <c r="I1148" s="95">
        <v>45080.0</v>
      </c>
      <c r="J1148" s="4">
        <v>46338.305505275726</v>
      </c>
      <c r="K1148" s="1"/>
      <c r="L1148" s="1" t="s">
        <v>86</v>
      </c>
      <c r="M1148" s="1" t="str">
        <f>VLOOKUP(B1148,Bounties!A:D,3,FALSE)</f>
        <v>Outreach</v>
      </c>
      <c r="N1148" s="1" t="str">
        <f>VLOOKUP(B1148,Bounties!A:D,4,FALSE)</f>
        <v>Events/Meetups</v>
      </c>
      <c r="O1148" s="1" t="str">
        <f t="shared" ref="O1148:P1148" si="1152">IF(ISBLANK(K1148),M1148,K1148)</f>
        <v>Outreach</v>
      </c>
      <c r="P1148" s="1" t="str">
        <f t="shared" si="1152"/>
        <v>Events/Conference Attendance &amp; Side Events</v>
      </c>
      <c r="Q1148" s="61" t="str">
        <f t="shared" si="3"/>
        <v>2023</v>
      </c>
      <c r="R1148" s="62">
        <f t="shared" si="4"/>
        <v>6</v>
      </c>
      <c r="S1148" s="61" t="str">
        <f t="shared" si="5"/>
        <v>2023-Q2</v>
      </c>
      <c r="T1148" s="63" t="str">
        <f t="shared" si="6"/>
        <v>2023-06</v>
      </c>
      <c r="U1148" s="64" t="str">
        <f t="shared" si="7"/>
        <v>2023-H1</v>
      </c>
      <c r="V1148" s="9" t="str">
        <f>VLOOKUP(B1148,Bounties!A:E,2,FALSE)</f>
        <v>Events Bounty</v>
      </c>
    </row>
    <row r="1149" hidden="1">
      <c r="A1149" s="67">
        <f>HYPERLINK("https://polkadot.subsquare.io/treasury/child-bounties/245", 245)</f>
        <v>245</v>
      </c>
      <c r="B1149" s="1">
        <v>17.0</v>
      </c>
      <c r="C1149" s="1" t="s">
        <v>2414</v>
      </c>
      <c r="D1149" s="1" t="s">
        <v>1542</v>
      </c>
      <c r="E1149" s="5">
        <v>29109.0</v>
      </c>
      <c r="F1149" s="4">
        <v>155383.58693647385</v>
      </c>
      <c r="G1149" s="1" t="s">
        <v>2682</v>
      </c>
      <c r="H1149" s="95">
        <v>45070.0</v>
      </c>
      <c r="I1149" s="95">
        <v>45080.0</v>
      </c>
      <c r="J1149" s="4">
        <v>147675.86865520477</v>
      </c>
      <c r="K1149" s="1"/>
      <c r="L1149" s="1"/>
      <c r="M1149" s="1" t="str">
        <f>VLOOKUP(B1149,Bounties!A:D,3,FALSE)</f>
        <v>Outreach</v>
      </c>
      <c r="N1149" s="1" t="str">
        <f>VLOOKUP(B1149,Bounties!A:D,4,FALSE)</f>
        <v>Events/Meetups</v>
      </c>
      <c r="O1149" s="1" t="str">
        <f t="shared" ref="O1149:P1149" si="1153">IF(ISBLANK(K1149),M1149,K1149)</f>
        <v>Outreach</v>
      </c>
      <c r="P1149" s="1" t="str">
        <f t="shared" si="1153"/>
        <v>Events/Meetups</v>
      </c>
      <c r="Q1149" s="61" t="str">
        <f t="shared" si="3"/>
        <v>2023</v>
      </c>
      <c r="R1149" s="62">
        <f t="shared" si="4"/>
        <v>6</v>
      </c>
      <c r="S1149" s="61" t="str">
        <f t="shared" si="5"/>
        <v>2023-Q2</v>
      </c>
      <c r="T1149" s="63" t="str">
        <f t="shared" si="6"/>
        <v>2023-06</v>
      </c>
      <c r="U1149" s="64" t="str">
        <f t="shared" si="7"/>
        <v>2023-H1</v>
      </c>
      <c r="V1149" s="9" t="str">
        <f>VLOOKUP(B1149,Bounties!A:E,2,FALSE)</f>
        <v>Events Bounty</v>
      </c>
    </row>
    <row r="1150" hidden="1">
      <c r="A1150" s="67">
        <f>HYPERLINK("https://polkadot.subsquare.io/treasury/child-bounties/244", 244)</f>
        <v>244</v>
      </c>
      <c r="B1150" s="1">
        <v>17.0</v>
      </c>
      <c r="C1150" s="1" t="s">
        <v>2508</v>
      </c>
      <c r="D1150" s="1" t="s">
        <v>1543</v>
      </c>
      <c r="E1150" s="5">
        <v>8996.0</v>
      </c>
      <c r="F1150" s="4">
        <v>48020.569173812866</v>
      </c>
      <c r="G1150" s="1"/>
      <c r="H1150" s="95">
        <v>45070.0</v>
      </c>
      <c r="I1150" s="95">
        <v>45070.0</v>
      </c>
      <c r="J1150" s="4">
        <v>48020.569173812866</v>
      </c>
      <c r="K1150" s="1"/>
      <c r="L1150" s="1"/>
      <c r="M1150" s="1" t="str">
        <f>VLOOKUP(B1150,Bounties!A:D,3,FALSE)</f>
        <v>Outreach</v>
      </c>
      <c r="N1150" s="1" t="str">
        <f>VLOOKUP(B1150,Bounties!A:D,4,FALSE)</f>
        <v>Events/Meetups</v>
      </c>
      <c r="O1150" s="1" t="str">
        <f t="shared" ref="O1150:P1150" si="1154">IF(ISBLANK(K1150),M1150,K1150)</f>
        <v>Outreach</v>
      </c>
      <c r="P1150" s="1" t="str">
        <f t="shared" si="1154"/>
        <v>Events/Meetups</v>
      </c>
      <c r="Q1150" s="61" t="str">
        <f t="shared" si="3"/>
        <v>2023</v>
      </c>
      <c r="R1150" s="62">
        <f t="shared" si="4"/>
        <v>5</v>
      </c>
      <c r="S1150" s="61" t="str">
        <f t="shared" si="5"/>
        <v>2023-Q2</v>
      </c>
      <c r="T1150" s="63" t="str">
        <f t="shared" si="6"/>
        <v>2023-05</v>
      </c>
      <c r="U1150" s="64" t="str">
        <f t="shared" si="7"/>
        <v>2023-H1</v>
      </c>
      <c r="V1150" s="9" t="str">
        <f>VLOOKUP(B1150,Bounties!A:E,2,FALSE)</f>
        <v>Events Bounty</v>
      </c>
    </row>
    <row r="1151" hidden="1">
      <c r="A1151" s="67">
        <f>HYPERLINK("https://polkadot.subsquare.io/treasury/child-bounties/243", 243)</f>
        <v>243</v>
      </c>
      <c r="B1151" s="1">
        <v>17.0</v>
      </c>
      <c r="C1151" s="1" t="s">
        <v>2508</v>
      </c>
      <c r="D1151" s="1" t="s">
        <v>1542</v>
      </c>
      <c r="E1151" s="5">
        <v>29433.0</v>
      </c>
      <c r="F1151" s="4">
        <v>157113.09609746933</v>
      </c>
      <c r="G1151" s="1"/>
      <c r="H1151" s="95">
        <v>45070.0</v>
      </c>
      <c r="I1151" s="95">
        <v>45070.0</v>
      </c>
      <c r="J1151" s="4">
        <v>157113.09609746933</v>
      </c>
      <c r="K1151" s="1"/>
      <c r="L1151" s="1"/>
      <c r="M1151" s="1" t="str">
        <f>VLOOKUP(B1151,Bounties!A:D,3,FALSE)</f>
        <v>Outreach</v>
      </c>
      <c r="N1151" s="1" t="str">
        <f>VLOOKUP(B1151,Bounties!A:D,4,FALSE)</f>
        <v>Events/Meetups</v>
      </c>
      <c r="O1151" s="1" t="str">
        <f t="shared" ref="O1151:P1151" si="1155">IF(ISBLANK(K1151),M1151,K1151)</f>
        <v>Outreach</v>
      </c>
      <c r="P1151" s="1" t="str">
        <f t="shared" si="1155"/>
        <v>Events/Meetups</v>
      </c>
      <c r="Q1151" s="61" t="str">
        <f t="shared" si="3"/>
        <v>2023</v>
      </c>
      <c r="R1151" s="62">
        <f t="shared" si="4"/>
        <v>5</v>
      </c>
      <c r="S1151" s="61" t="str">
        <f t="shared" si="5"/>
        <v>2023-Q2</v>
      </c>
      <c r="T1151" s="63" t="str">
        <f t="shared" si="6"/>
        <v>2023-05</v>
      </c>
      <c r="U1151" s="64" t="str">
        <f t="shared" si="7"/>
        <v>2023-H1</v>
      </c>
      <c r="V1151" s="9" t="str">
        <f>VLOOKUP(B1151,Bounties!A:E,2,FALSE)</f>
        <v>Events Bounty</v>
      </c>
    </row>
    <row r="1152" hidden="1">
      <c r="A1152" s="67">
        <f>HYPERLINK("https://polkadot.subsquare.io/treasury/child-bounties/242", 242)</f>
        <v>242</v>
      </c>
      <c r="B1152" s="1">
        <v>17.0</v>
      </c>
      <c r="C1152" s="1" t="s">
        <v>2414</v>
      </c>
      <c r="D1152" s="1" t="s">
        <v>1541</v>
      </c>
      <c r="E1152" s="5">
        <v>7005.0</v>
      </c>
      <c r="F1152" s="4">
        <v>37392.62861967087</v>
      </c>
      <c r="G1152" s="1" t="s">
        <v>2682</v>
      </c>
      <c r="H1152" s="95">
        <v>45070.0</v>
      </c>
      <c r="I1152" s="95">
        <v>45080.0</v>
      </c>
      <c r="J1152" s="4">
        <v>35537.78762340546</v>
      </c>
      <c r="K1152" s="1"/>
      <c r="L1152" s="1" t="s">
        <v>86</v>
      </c>
      <c r="M1152" s="1" t="str">
        <f>VLOOKUP(B1152,Bounties!A:D,3,FALSE)</f>
        <v>Outreach</v>
      </c>
      <c r="N1152" s="1" t="str">
        <f>VLOOKUP(B1152,Bounties!A:D,4,FALSE)</f>
        <v>Events/Meetups</v>
      </c>
      <c r="O1152" s="1" t="str">
        <f t="shared" ref="O1152:P1152" si="1156">IF(ISBLANK(K1152),M1152,K1152)</f>
        <v>Outreach</v>
      </c>
      <c r="P1152" s="1" t="str">
        <f t="shared" si="1156"/>
        <v>Events/Conference Attendance &amp; Side Events</v>
      </c>
      <c r="Q1152" s="61" t="str">
        <f t="shared" si="3"/>
        <v>2023</v>
      </c>
      <c r="R1152" s="62">
        <f t="shared" si="4"/>
        <v>6</v>
      </c>
      <c r="S1152" s="61" t="str">
        <f t="shared" si="5"/>
        <v>2023-Q2</v>
      </c>
      <c r="T1152" s="63" t="str">
        <f t="shared" si="6"/>
        <v>2023-06</v>
      </c>
      <c r="U1152" s="64" t="str">
        <f t="shared" si="7"/>
        <v>2023-H1</v>
      </c>
      <c r="V1152" s="9" t="str">
        <f>VLOOKUP(B1152,Bounties!A:E,2,FALSE)</f>
        <v>Events Bounty</v>
      </c>
    </row>
    <row r="1153" hidden="1">
      <c r="A1153" s="67">
        <f>HYPERLINK("https://polkadot.subsquare.io/treasury/child-bounties/241", 241)</f>
        <v>241</v>
      </c>
      <c r="B1153" s="1">
        <v>17.0</v>
      </c>
      <c r="C1153" s="1" t="s">
        <v>2414</v>
      </c>
      <c r="D1153" s="1" t="s">
        <v>1540</v>
      </c>
      <c r="E1153" s="5">
        <v>369.6</v>
      </c>
      <c r="F1153" s="4">
        <v>1972.9215614318848</v>
      </c>
      <c r="G1153" s="1" t="s">
        <v>2630</v>
      </c>
      <c r="H1153" s="95">
        <v>45070.0</v>
      </c>
      <c r="I1153" s="95">
        <v>45092.0</v>
      </c>
      <c r="J1153" s="4">
        <v>1674.6439041137696</v>
      </c>
      <c r="K1153" s="1"/>
      <c r="L1153" s="1" t="s">
        <v>86</v>
      </c>
      <c r="M1153" s="1" t="str">
        <f>VLOOKUP(B1153,Bounties!A:D,3,FALSE)</f>
        <v>Outreach</v>
      </c>
      <c r="N1153" s="1" t="str">
        <f>VLOOKUP(B1153,Bounties!A:D,4,FALSE)</f>
        <v>Events/Meetups</v>
      </c>
      <c r="O1153" s="1" t="str">
        <f t="shared" ref="O1153:P1153" si="1157">IF(ISBLANK(K1153),M1153,K1153)</f>
        <v>Outreach</v>
      </c>
      <c r="P1153" s="1" t="str">
        <f t="shared" si="1157"/>
        <v>Events/Conference Attendance &amp; Side Events</v>
      </c>
      <c r="Q1153" s="61" t="str">
        <f t="shared" si="3"/>
        <v>2023</v>
      </c>
      <c r="R1153" s="62">
        <f t="shared" si="4"/>
        <v>6</v>
      </c>
      <c r="S1153" s="61" t="str">
        <f t="shared" si="5"/>
        <v>2023-Q2</v>
      </c>
      <c r="T1153" s="63" t="str">
        <f t="shared" si="6"/>
        <v>2023-06</v>
      </c>
      <c r="U1153" s="64" t="str">
        <f t="shared" si="7"/>
        <v>2023-H1</v>
      </c>
      <c r="V1153" s="9" t="str">
        <f>VLOOKUP(B1153,Bounties!A:E,2,FALSE)</f>
        <v>Events Bounty</v>
      </c>
    </row>
    <row r="1154" hidden="1">
      <c r="A1154" s="67">
        <f>HYPERLINK("https://polkadot.subsquare.io/treasury/child-bounties/240", 240)</f>
        <v>240</v>
      </c>
      <c r="B1154" s="1">
        <v>17.0</v>
      </c>
      <c r="C1154" s="1" t="s">
        <v>2414</v>
      </c>
      <c r="D1154" s="1" t="s">
        <v>1539</v>
      </c>
      <c r="E1154" s="5">
        <v>919.4</v>
      </c>
      <c r="F1154" s="4">
        <v>4907.749143886566</v>
      </c>
      <c r="G1154" s="1" t="s">
        <v>2622</v>
      </c>
      <c r="H1154" s="95">
        <v>45070.0</v>
      </c>
      <c r="I1154" s="95">
        <v>45097.0</v>
      </c>
      <c r="J1154" s="4">
        <v>4441.279308032989</v>
      </c>
      <c r="K1154" s="1"/>
      <c r="L1154" s="1" t="s">
        <v>86</v>
      </c>
      <c r="M1154" s="1" t="str">
        <f>VLOOKUP(B1154,Bounties!A:D,3,FALSE)</f>
        <v>Outreach</v>
      </c>
      <c r="N1154" s="1" t="str">
        <f>VLOOKUP(B1154,Bounties!A:D,4,FALSE)</f>
        <v>Events/Meetups</v>
      </c>
      <c r="O1154" s="1" t="str">
        <f t="shared" ref="O1154:P1154" si="1158">IF(ISBLANK(K1154),M1154,K1154)</f>
        <v>Outreach</v>
      </c>
      <c r="P1154" s="1" t="str">
        <f t="shared" si="1158"/>
        <v>Events/Conference Attendance &amp; Side Events</v>
      </c>
      <c r="Q1154" s="61" t="str">
        <f t="shared" si="3"/>
        <v>2023</v>
      </c>
      <c r="R1154" s="62">
        <f t="shared" si="4"/>
        <v>6</v>
      </c>
      <c r="S1154" s="61" t="str">
        <f t="shared" si="5"/>
        <v>2023-Q2</v>
      </c>
      <c r="T1154" s="63" t="str">
        <f t="shared" si="6"/>
        <v>2023-06</v>
      </c>
      <c r="U1154" s="64" t="str">
        <f t="shared" si="7"/>
        <v>2023-H1</v>
      </c>
      <c r="V1154" s="9" t="str">
        <f>VLOOKUP(B1154,Bounties!A:E,2,FALSE)</f>
        <v>Events Bounty</v>
      </c>
    </row>
    <row r="1155" hidden="1">
      <c r="A1155" s="67">
        <f>HYPERLINK("https://polkadot.subsquare.io/treasury/child-bounties/239", 239)</f>
        <v>239</v>
      </c>
      <c r="B1155" s="1">
        <v>17.0</v>
      </c>
      <c r="C1155" s="1" t="s">
        <v>2414</v>
      </c>
      <c r="D1155" s="1" t="s">
        <v>1538</v>
      </c>
      <c r="E1155" s="5">
        <v>125.8</v>
      </c>
      <c r="F1155" s="4">
        <v>671.5192976951599</v>
      </c>
      <c r="G1155" s="1" t="s">
        <v>2621</v>
      </c>
      <c r="H1155" s="95">
        <v>45070.0</v>
      </c>
      <c r="I1155" s="95">
        <v>45096.0</v>
      </c>
      <c r="J1155" s="4">
        <v>607.6929921150207</v>
      </c>
      <c r="K1155" s="1"/>
      <c r="L1155" s="1" t="s">
        <v>86</v>
      </c>
      <c r="M1155" s="1" t="str">
        <f>VLOOKUP(B1155,Bounties!A:D,3,FALSE)</f>
        <v>Outreach</v>
      </c>
      <c r="N1155" s="1" t="str">
        <f>VLOOKUP(B1155,Bounties!A:D,4,FALSE)</f>
        <v>Events/Meetups</v>
      </c>
      <c r="O1155" s="1" t="str">
        <f t="shared" ref="O1155:P1155" si="1159">IF(ISBLANK(K1155),M1155,K1155)</f>
        <v>Outreach</v>
      </c>
      <c r="P1155" s="1" t="str">
        <f t="shared" si="1159"/>
        <v>Events/Conference Attendance &amp; Side Events</v>
      </c>
      <c r="Q1155" s="61" t="str">
        <f t="shared" si="3"/>
        <v>2023</v>
      </c>
      <c r="R1155" s="62">
        <f t="shared" si="4"/>
        <v>6</v>
      </c>
      <c r="S1155" s="61" t="str">
        <f t="shared" si="5"/>
        <v>2023-Q2</v>
      </c>
      <c r="T1155" s="63" t="str">
        <f t="shared" si="6"/>
        <v>2023-06</v>
      </c>
      <c r="U1155" s="64" t="str">
        <f t="shared" si="7"/>
        <v>2023-H1</v>
      </c>
      <c r="V1155" s="9" t="str">
        <f>VLOOKUP(B1155,Bounties!A:E,2,FALSE)</f>
        <v>Events Bounty</v>
      </c>
    </row>
    <row r="1156" hidden="1">
      <c r="A1156" s="67">
        <f>HYPERLINK("https://polkadot.subsquare.io/treasury/child-bounties/238", 238)</f>
        <v>238</v>
      </c>
      <c r="B1156" s="1">
        <v>10.0</v>
      </c>
      <c r="C1156" s="1" t="s">
        <v>2414</v>
      </c>
      <c r="D1156" s="1" t="s">
        <v>1537</v>
      </c>
      <c r="E1156" s="5">
        <v>37384.0</v>
      </c>
      <c r="F1156" s="4">
        <v>196641.11420822144</v>
      </c>
      <c r="G1156" s="1" t="s">
        <v>2685</v>
      </c>
      <c r="H1156" s="95">
        <v>45068.0</v>
      </c>
      <c r="I1156" s="95">
        <v>45076.0</v>
      </c>
      <c r="J1156" s="4">
        <v>197383.21393203735</v>
      </c>
      <c r="K1156" s="1"/>
      <c r="L1156" s="1"/>
      <c r="M1156" s="1" t="str">
        <f>VLOOKUP(B1156,Bounties!A:D,3,FALSE)</f>
        <v>Talent &amp; Education</v>
      </c>
      <c r="N1156" s="1" t="str">
        <f>VLOOKUP(B1156,Bounties!A:D,4,FALSE)</f>
        <v>Incubation</v>
      </c>
      <c r="O1156" s="1" t="str">
        <f t="shared" ref="O1156:P1156" si="1160">IF(ISBLANK(K1156),M1156,K1156)</f>
        <v>Talent &amp; Education</v>
      </c>
      <c r="P1156" s="1" t="str">
        <f t="shared" si="1160"/>
        <v>Incubation</v>
      </c>
      <c r="Q1156" s="61" t="str">
        <f t="shared" si="3"/>
        <v>2023</v>
      </c>
      <c r="R1156" s="62">
        <f t="shared" si="4"/>
        <v>5</v>
      </c>
      <c r="S1156" s="61" t="str">
        <f t="shared" si="5"/>
        <v>2023-Q2</v>
      </c>
      <c r="T1156" s="63" t="str">
        <f t="shared" si="6"/>
        <v>2023-05</v>
      </c>
      <c r="U1156" s="64" t="str">
        <f t="shared" si="7"/>
        <v>2023-H1</v>
      </c>
      <c r="V1156" s="9" t="str">
        <f>VLOOKUP(B1156,Bounties!A:E,2,FALSE)</f>
        <v>Polkadot Pioneers Bounty</v>
      </c>
    </row>
    <row r="1157" hidden="1">
      <c r="A1157" s="67">
        <f>HYPERLINK("https://polkadot.subsquare.io/treasury/child-bounties/237", 237)</f>
        <v>237</v>
      </c>
      <c r="B1157" s="1">
        <v>17.0</v>
      </c>
      <c r="C1157" s="1" t="s">
        <v>2414</v>
      </c>
      <c r="D1157" s="1" t="s">
        <v>1536</v>
      </c>
      <c r="E1157" s="5">
        <v>288.8</v>
      </c>
      <c r="F1157" s="4">
        <v>1542.6133007049561</v>
      </c>
      <c r="G1157" s="1" t="s">
        <v>2634</v>
      </c>
      <c r="H1157" s="95">
        <v>45061.0</v>
      </c>
      <c r="I1157" s="95">
        <v>45076.0</v>
      </c>
      <c r="J1157" s="4">
        <v>1524.8307346343995</v>
      </c>
      <c r="K1157" s="1"/>
      <c r="L1157" s="1"/>
      <c r="M1157" s="1" t="str">
        <f>VLOOKUP(B1157,Bounties!A:D,3,FALSE)</f>
        <v>Outreach</v>
      </c>
      <c r="N1157" s="1" t="str">
        <f>VLOOKUP(B1157,Bounties!A:D,4,FALSE)</f>
        <v>Events/Meetups</v>
      </c>
      <c r="O1157" s="1" t="str">
        <f t="shared" ref="O1157:P1157" si="1161">IF(ISBLANK(K1157),M1157,K1157)</f>
        <v>Outreach</v>
      </c>
      <c r="P1157" s="1" t="str">
        <f t="shared" si="1161"/>
        <v>Events/Meetups</v>
      </c>
      <c r="Q1157" s="61" t="str">
        <f t="shared" si="3"/>
        <v>2023</v>
      </c>
      <c r="R1157" s="62">
        <f t="shared" si="4"/>
        <v>5</v>
      </c>
      <c r="S1157" s="61" t="str">
        <f t="shared" si="5"/>
        <v>2023-Q2</v>
      </c>
      <c r="T1157" s="63" t="str">
        <f t="shared" si="6"/>
        <v>2023-05</v>
      </c>
      <c r="U1157" s="64" t="str">
        <f t="shared" si="7"/>
        <v>2023-H1</v>
      </c>
      <c r="V1157" s="9" t="str">
        <f>VLOOKUP(B1157,Bounties!A:E,2,FALSE)</f>
        <v>Events Bounty</v>
      </c>
    </row>
    <row r="1158" hidden="1">
      <c r="A1158" s="67">
        <f>HYPERLINK("https://polkadot.subsquare.io/treasury/child-bounties/236", 236)</f>
        <v>236</v>
      </c>
      <c r="B1158" s="1">
        <v>17.0</v>
      </c>
      <c r="C1158" s="1" t="s">
        <v>2414</v>
      </c>
      <c r="D1158" s="1" t="s">
        <v>1535</v>
      </c>
      <c r="E1158" s="5">
        <v>27.9</v>
      </c>
      <c r="F1158" s="4">
        <v>149.02670044898986</v>
      </c>
      <c r="G1158" s="1" t="s">
        <v>2736</v>
      </c>
      <c r="H1158" s="95">
        <v>45061.0</v>
      </c>
      <c r="I1158" s="95">
        <v>45078.0</v>
      </c>
      <c r="J1158" s="4">
        <v>148.41242609024047</v>
      </c>
      <c r="K1158" s="1"/>
      <c r="L1158" s="1"/>
      <c r="M1158" s="1" t="str">
        <f>VLOOKUP(B1158,Bounties!A:D,3,FALSE)</f>
        <v>Outreach</v>
      </c>
      <c r="N1158" s="1" t="str">
        <f>VLOOKUP(B1158,Bounties!A:D,4,FALSE)</f>
        <v>Events/Meetups</v>
      </c>
      <c r="O1158" s="1" t="str">
        <f t="shared" ref="O1158:P1158" si="1162">IF(ISBLANK(K1158),M1158,K1158)</f>
        <v>Outreach</v>
      </c>
      <c r="P1158" s="1" t="str">
        <f t="shared" si="1162"/>
        <v>Events/Meetups</v>
      </c>
      <c r="Q1158" s="61" t="str">
        <f t="shared" si="3"/>
        <v>2023</v>
      </c>
      <c r="R1158" s="62">
        <f t="shared" si="4"/>
        <v>6</v>
      </c>
      <c r="S1158" s="61" t="str">
        <f t="shared" si="5"/>
        <v>2023-Q2</v>
      </c>
      <c r="T1158" s="63" t="str">
        <f t="shared" si="6"/>
        <v>2023-06</v>
      </c>
      <c r="U1158" s="64" t="str">
        <f t="shared" si="7"/>
        <v>2023-H1</v>
      </c>
      <c r="V1158" s="9" t="str">
        <f>VLOOKUP(B1158,Bounties!A:E,2,FALSE)</f>
        <v>Events Bounty</v>
      </c>
    </row>
    <row r="1159" hidden="1">
      <c r="A1159" s="67">
        <f>HYPERLINK("https://polkadot.subsquare.io/treasury/child-bounties/235", 235)</f>
        <v>235</v>
      </c>
      <c r="B1159" s="1">
        <v>17.0</v>
      </c>
      <c r="C1159" s="1" t="s">
        <v>2414</v>
      </c>
      <c r="D1159" s="1" t="s">
        <v>1534</v>
      </c>
      <c r="E1159" s="5">
        <v>27.9</v>
      </c>
      <c r="F1159" s="4">
        <v>149.02670044898986</v>
      </c>
      <c r="G1159" s="1" t="s">
        <v>2737</v>
      </c>
      <c r="H1159" s="95">
        <v>45061.0</v>
      </c>
      <c r="I1159" s="95">
        <v>45249.0</v>
      </c>
      <c r="J1159" s="4">
        <v>144.32293109893797</v>
      </c>
      <c r="K1159" s="1"/>
      <c r="L1159" s="1"/>
      <c r="M1159" s="1" t="str">
        <f>VLOOKUP(B1159,Bounties!A:D,3,FALSE)</f>
        <v>Outreach</v>
      </c>
      <c r="N1159" s="1" t="str">
        <f>VLOOKUP(B1159,Bounties!A:D,4,FALSE)</f>
        <v>Events/Meetups</v>
      </c>
      <c r="O1159" s="1" t="str">
        <f t="shared" ref="O1159:P1159" si="1163">IF(ISBLANK(K1159),M1159,K1159)</f>
        <v>Outreach</v>
      </c>
      <c r="P1159" s="1" t="str">
        <f t="shared" si="1163"/>
        <v>Events/Meetups</v>
      </c>
      <c r="Q1159" s="61" t="str">
        <f t="shared" si="3"/>
        <v>2023</v>
      </c>
      <c r="R1159" s="62">
        <f t="shared" si="4"/>
        <v>11</v>
      </c>
      <c r="S1159" s="61" t="str">
        <f t="shared" si="5"/>
        <v>2023-Q4</v>
      </c>
      <c r="T1159" s="63" t="str">
        <f t="shared" si="6"/>
        <v>2023-11</v>
      </c>
      <c r="U1159" s="64" t="str">
        <f t="shared" si="7"/>
        <v>2023-H2</v>
      </c>
      <c r="V1159" s="9" t="str">
        <f>VLOOKUP(B1159,Bounties!A:E,2,FALSE)</f>
        <v>Events Bounty</v>
      </c>
    </row>
    <row r="1160" hidden="1">
      <c r="A1160" s="67">
        <f>HYPERLINK("https://polkadot.subsquare.io/treasury/child-bounties/234", 234)</f>
        <v>234</v>
      </c>
      <c r="B1160" s="1">
        <v>17.0</v>
      </c>
      <c r="C1160" s="1" t="s">
        <v>2414</v>
      </c>
      <c r="D1160" s="1" t="s">
        <v>1533</v>
      </c>
      <c r="E1160" s="5">
        <v>27.9</v>
      </c>
      <c r="F1160" s="4">
        <v>149.02670044898986</v>
      </c>
      <c r="G1160" s="1" t="s">
        <v>2674</v>
      </c>
      <c r="H1160" s="95">
        <v>45061.0</v>
      </c>
      <c r="I1160" s="95">
        <v>45077.0</v>
      </c>
      <c r="J1160" s="4">
        <v>148.71653666496277</v>
      </c>
      <c r="K1160" s="1"/>
      <c r="L1160" s="1"/>
      <c r="M1160" s="1" t="str">
        <f>VLOOKUP(B1160,Bounties!A:D,3,FALSE)</f>
        <v>Outreach</v>
      </c>
      <c r="N1160" s="1" t="str">
        <f>VLOOKUP(B1160,Bounties!A:D,4,FALSE)</f>
        <v>Events/Meetups</v>
      </c>
      <c r="O1160" s="1" t="str">
        <f t="shared" ref="O1160:P1160" si="1164">IF(ISBLANK(K1160),M1160,K1160)</f>
        <v>Outreach</v>
      </c>
      <c r="P1160" s="1" t="str">
        <f t="shared" si="1164"/>
        <v>Events/Meetups</v>
      </c>
      <c r="Q1160" s="61" t="str">
        <f t="shared" si="3"/>
        <v>2023</v>
      </c>
      <c r="R1160" s="62">
        <f t="shared" si="4"/>
        <v>5</v>
      </c>
      <c r="S1160" s="61" t="str">
        <f t="shared" si="5"/>
        <v>2023-Q2</v>
      </c>
      <c r="T1160" s="63" t="str">
        <f t="shared" si="6"/>
        <v>2023-05</v>
      </c>
      <c r="U1160" s="64" t="str">
        <f t="shared" si="7"/>
        <v>2023-H1</v>
      </c>
      <c r="V1160" s="9" t="str">
        <f>VLOOKUP(B1160,Bounties!A:E,2,FALSE)</f>
        <v>Events Bounty</v>
      </c>
    </row>
    <row r="1161" hidden="1">
      <c r="A1161" s="67">
        <f>HYPERLINK("https://polkadot.subsquare.io/treasury/child-bounties/233", 233)</f>
        <v>233</v>
      </c>
      <c r="B1161" s="1">
        <v>17.0</v>
      </c>
      <c r="C1161" s="1" t="s">
        <v>2414</v>
      </c>
      <c r="D1161" s="1" t="s">
        <v>1532</v>
      </c>
      <c r="E1161" s="5">
        <v>55.9</v>
      </c>
      <c r="F1161" s="4">
        <v>298.5875467777252</v>
      </c>
      <c r="G1161" s="1" t="s">
        <v>2642</v>
      </c>
      <c r="H1161" s="95">
        <v>45061.0</v>
      </c>
      <c r="I1161" s="95">
        <v>45077.0</v>
      </c>
      <c r="J1161" s="4">
        <v>297.96610751152036</v>
      </c>
      <c r="K1161" s="1"/>
      <c r="L1161" s="1"/>
      <c r="M1161" s="1" t="str">
        <f>VLOOKUP(B1161,Bounties!A:D,3,FALSE)</f>
        <v>Outreach</v>
      </c>
      <c r="N1161" s="1" t="str">
        <f>VLOOKUP(B1161,Bounties!A:D,4,FALSE)</f>
        <v>Events/Meetups</v>
      </c>
      <c r="O1161" s="1" t="str">
        <f t="shared" ref="O1161:P1161" si="1165">IF(ISBLANK(K1161),M1161,K1161)</f>
        <v>Outreach</v>
      </c>
      <c r="P1161" s="1" t="str">
        <f t="shared" si="1165"/>
        <v>Events/Meetups</v>
      </c>
      <c r="Q1161" s="61" t="str">
        <f t="shared" si="3"/>
        <v>2023</v>
      </c>
      <c r="R1161" s="62">
        <f t="shared" si="4"/>
        <v>5</v>
      </c>
      <c r="S1161" s="61" t="str">
        <f t="shared" si="5"/>
        <v>2023-Q2</v>
      </c>
      <c r="T1161" s="63" t="str">
        <f t="shared" si="6"/>
        <v>2023-05</v>
      </c>
      <c r="U1161" s="64" t="str">
        <f t="shared" si="7"/>
        <v>2023-H1</v>
      </c>
      <c r="V1161" s="9" t="str">
        <f>VLOOKUP(B1161,Bounties!A:E,2,FALSE)</f>
        <v>Events Bounty</v>
      </c>
    </row>
    <row r="1162" hidden="1">
      <c r="A1162" s="67">
        <f>HYPERLINK("https://polkadot.subsquare.io/treasury/child-bounties/232", 232)</f>
        <v>232</v>
      </c>
      <c r="B1162" s="1">
        <v>17.0</v>
      </c>
      <c r="C1162" s="1" t="s">
        <v>2414</v>
      </c>
      <c r="D1162" s="1" t="s">
        <v>1531</v>
      </c>
      <c r="E1162" s="5">
        <v>55.9</v>
      </c>
      <c r="F1162" s="4">
        <v>298.5875467777252</v>
      </c>
      <c r="G1162" s="1" t="s">
        <v>2642</v>
      </c>
      <c r="H1162" s="95">
        <v>45061.0</v>
      </c>
      <c r="I1162" s="95">
        <v>45082.0</v>
      </c>
      <c r="J1162" s="4">
        <v>280.74098601341245</v>
      </c>
      <c r="K1162" s="1"/>
      <c r="L1162" s="1"/>
      <c r="M1162" s="1" t="str">
        <f>VLOOKUP(B1162,Bounties!A:D,3,FALSE)</f>
        <v>Outreach</v>
      </c>
      <c r="N1162" s="1" t="str">
        <f>VLOOKUP(B1162,Bounties!A:D,4,FALSE)</f>
        <v>Events/Meetups</v>
      </c>
      <c r="O1162" s="1" t="str">
        <f t="shared" ref="O1162:P1162" si="1166">IF(ISBLANK(K1162),M1162,K1162)</f>
        <v>Outreach</v>
      </c>
      <c r="P1162" s="1" t="str">
        <f t="shared" si="1166"/>
        <v>Events/Meetups</v>
      </c>
      <c r="Q1162" s="61" t="str">
        <f t="shared" si="3"/>
        <v>2023</v>
      </c>
      <c r="R1162" s="62">
        <f t="shared" si="4"/>
        <v>6</v>
      </c>
      <c r="S1162" s="61" t="str">
        <f t="shared" si="5"/>
        <v>2023-Q2</v>
      </c>
      <c r="T1162" s="63" t="str">
        <f t="shared" si="6"/>
        <v>2023-06</v>
      </c>
      <c r="U1162" s="64" t="str">
        <f t="shared" si="7"/>
        <v>2023-H1</v>
      </c>
      <c r="V1162" s="9" t="str">
        <f>VLOOKUP(B1162,Bounties!A:E,2,FALSE)</f>
        <v>Events Bounty</v>
      </c>
    </row>
    <row r="1163" hidden="1">
      <c r="A1163" s="67">
        <f>HYPERLINK("https://polkadot.subsquare.io/treasury/child-bounties/231", 231)</f>
        <v>231</v>
      </c>
      <c r="B1163" s="1">
        <v>17.0</v>
      </c>
      <c r="C1163" s="1" t="s">
        <v>2414</v>
      </c>
      <c r="D1163" s="1" t="s">
        <v>1530</v>
      </c>
      <c r="E1163" s="5">
        <v>27.9</v>
      </c>
      <c r="F1163" s="4">
        <v>149.02670044898986</v>
      </c>
      <c r="G1163" s="1" t="s">
        <v>2738</v>
      </c>
      <c r="H1163" s="95">
        <v>45061.0</v>
      </c>
      <c r="I1163" s="95">
        <v>45080.0</v>
      </c>
      <c r="J1163" s="4">
        <v>145.31175942420958</v>
      </c>
      <c r="K1163" s="1"/>
      <c r="M1163" s="1" t="str">
        <f>VLOOKUP(B1163,Bounties!A:D,3,FALSE)</f>
        <v>Outreach</v>
      </c>
      <c r="N1163" s="1" t="str">
        <f>VLOOKUP(B1163,Bounties!A:D,4,FALSE)</f>
        <v>Events/Meetups</v>
      </c>
      <c r="O1163" s="1" t="str">
        <f t="shared" ref="O1163:P1163" si="1167">IF(ISBLANK(K1163),M1163,K1163)</f>
        <v>Outreach</v>
      </c>
      <c r="P1163" s="1" t="str">
        <f t="shared" si="1167"/>
        <v>Events/Meetups</v>
      </c>
      <c r="Q1163" s="61" t="str">
        <f t="shared" si="3"/>
        <v>2023</v>
      </c>
      <c r="R1163" s="62">
        <f t="shared" si="4"/>
        <v>6</v>
      </c>
      <c r="S1163" s="61" t="str">
        <f t="shared" si="5"/>
        <v>2023-Q2</v>
      </c>
      <c r="T1163" s="63" t="str">
        <f t="shared" si="6"/>
        <v>2023-06</v>
      </c>
      <c r="U1163" s="64" t="str">
        <f t="shared" si="7"/>
        <v>2023-H1</v>
      </c>
      <c r="V1163" s="9" t="str">
        <f>VLOOKUP(B1163,Bounties!A:E,2,FALSE)</f>
        <v>Events Bounty</v>
      </c>
    </row>
    <row r="1164" hidden="1">
      <c r="A1164" s="67">
        <f>HYPERLINK("https://polkadot.subsquare.io/treasury/child-bounties/230", 230)</f>
        <v>230</v>
      </c>
      <c r="B1164" s="1">
        <v>11.0</v>
      </c>
      <c r="C1164" s="1" t="s">
        <v>2414</v>
      </c>
      <c r="D1164" s="1" t="s">
        <v>1529</v>
      </c>
      <c r="E1164" s="5">
        <v>128.8475304</v>
      </c>
      <c r="F1164" s="4">
        <v>681.0141052288994</v>
      </c>
      <c r="G1164" s="1" t="s">
        <v>2463</v>
      </c>
      <c r="H1164" s="95">
        <v>45054.0</v>
      </c>
      <c r="I1164" s="95">
        <v>45079.0</v>
      </c>
      <c r="J1164" s="4">
        <v>685.3969384372765</v>
      </c>
      <c r="K1164" s="1"/>
      <c r="L1164" s="1"/>
      <c r="M1164" s="1" t="str">
        <f>VLOOKUP(B1164,Bounties!A:D,3,FALSE)</f>
        <v>Research</v>
      </c>
      <c r="N1164" s="1" t="str">
        <f>VLOOKUP(B1164,Bounties!A:D,4,FALSE)</f>
        <v>Anti-Scam</v>
      </c>
      <c r="O1164" s="1" t="str">
        <f t="shared" ref="O1164:P1164" si="1168">IF(ISBLANK(K1164),M1164,K1164)</f>
        <v>Research</v>
      </c>
      <c r="P1164" s="1" t="str">
        <f t="shared" si="1168"/>
        <v>Anti-Scam</v>
      </c>
      <c r="Q1164" s="61" t="str">
        <f t="shared" si="3"/>
        <v>2023</v>
      </c>
      <c r="R1164" s="62">
        <f t="shared" si="4"/>
        <v>6</v>
      </c>
      <c r="S1164" s="61" t="str">
        <f t="shared" si="5"/>
        <v>2023-Q2</v>
      </c>
      <c r="T1164" s="63" t="str">
        <f t="shared" si="6"/>
        <v>2023-06</v>
      </c>
      <c r="U1164" s="64" t="str">
        <f t="shared" si="7"/>
        <v>2023-H1</v>
      </c>
      <c r="V1164" s="9" t="str">
        <f>VLOOKUP(B1164,Bounties!A:E,2,FALSE)</f>
        <v>Anti-Scam Bounty</v>
      </c>
    </row>
    <row r="1165" hidden="1">
      <c r="A1165" s="67">
        <f>HYPERLINK("https://polkadot.subsquare.io/treasury/child-bounties/229", 229)</f>
        <v>229</v>
      </c>
      <c r="B1165" s="1">
        <v>11.0</v>
      </c>
      <c r="C1165" s="1" t="s">
        <v>2414</v>
      </c>
      <c r="D1165" s="1" t="s">
        <v>1528</v>
      </c>
      <c r="E1165" s="5">
        <v>89.47745168</v>
      </c>
      <c r="F1165" s="4">
        <v>472.92646203498583</v>
      </c>
      <c r="G1165" s="1" t="s">
        <v>2533</v>
      </c>
      <c r="H1165" s="95">
        <v>45054.0</v>
      </c>
      <c r="I1165" s="95">
        <v>45085.0</v>
      </c>
      <c r="J1165" s="4">
        <v>405.00127338088004</v>
      </c>
      <c r="K1165" s="1"/>
      <c r="L1165" s="1"/>
      <c r="M1165" s="1" t="str">
        <f>VLOOKUP(B1165,Bounties!A:D,3,FALSE)</f>
        <v>Research</v>
      </c>
      <c r="N1165" s="1" t="str">
        <f>VLOOKUP(B1165,Bounties!A:D,4,FALSE)</f>
        <v>Anti-Scam</v>
      </c>
      <c r="O1165" s="1" t="str">
        <f t="shared" ref="O1165:P1165" si="1169">IF(ISBLANK(K1165),M1165,K1165)</f>
        <v>Research</v>
      </c>
      <c r="P1165" s="1" t="str">
        <f t="shared" si="1169"/>
        <v>Anti-Scam</v>
      </c>
      <c r="Q1165" s="61" t="str">
        <f t="shared" si="3"/>
        <v>2023</v>
      </c>
      <c r="R1165" s="62">
        <f t="shared" si="4"/>
        <v>6</v>
      </c>
      <c r="S1165" s="61" t="str">
        <f t="shared" si="5"/>
        <v>2023-Q2</v>
      </c>
      <c r="T1165" s="63" t="str">
        <f t="shared" si="6"/>
        <v>2023-06</v>
      </c>
      <c r="U1165" s="64" t="str">
        <f t="shared" si="7"/>
        <v>2023-H1</v>
      </c>
      <c r="V1165" s="9" t="str">
        <f>VLOOKUP(B1165,Bounties!A:E,2,FALSE)</f>
        <v>Anti-Scam Bounty</v>
      </c>
    </row>
    <row r="1166" hidden="1">
      <c r="A1166" s="67">
        <f>HYPERLINK("https://polkadot.subsquare.io/treasury/child-bounties/228", 228)</f>
        <v>228</v>
      </c>
      <c r="B1166" s="1">
        <v>11.0</v>
      </c>
      <c r="C1166" s="1" t="s">
        <v>2414</v>
      </c>
      <c r="D1166" s="1" t="s">
        <v>1527</v>
      </c>
      <c r="E1166" s="5">
        <v>143.1639227</v>
      </c>
      <c r="F1166" s="4">
        <v>756.6823393194024</v>
      </c>
      <c r="G1166" s="1" t="s">
        <v>2524</v>
      </c>
      <c r="H1166" s="95">
        <v>45054.0</v>
      </c>
      <c r="I1166" s="95">
        <v>45062.0</v>
      </c>
      <c r="J1166" s="4">
        <v>768.79584631719</v>
      </c>
      <c r="K1166" s="1"/>
      <c r="L1166" s="1"/>
      <c r="M1166" s="1" t="str">
        <f>VLOOKUP(B1166,Bounties!A:D,3,FALSE)</f>
        <v>Research</v>
      </c>
      <c r="N1166" s="1" t="str">
        <f>VLOOKUP(B1166,Bounties!A:D,4,FALSE)</f>
        <v>Anti-Scam</v>
      </c>
      <c r="O1166" s="1" t="str">
        <f t="shared" ref="O1166:P1166" si="1170">IF(ISBLANK(K1166),M1166,K1166)</f>
        <v>Research</v>
      </c>
      <c r="P1166" s="1" t="str">
        <f t="shared" si="1170"/>
        <v>Anti-Scam</v>
      </c>
      <c r="Q1166" s="61" t="str">
        <f t="shared" si="3"/>
        <v>2023</v>
      </c>
      <c r="R1166" s="62">
        <f t="shared" si="4"/>
        <v>5</v>
      </c>
      <c r="S1166" s="61" t="str">
        <f t="shared" si="5"/>
        <v>2023-Q2</v>
      </c>
      <c r="T1166" s="63" t="str">
        <f t="shared" si="6"/>
        <v>2023-05</v>
      </c>
      <c r="U1166" s="64" t="str">
        <f t="shared" si="7"/>
        <v>2023-H1</v>
      </c>
      <c r="V1166" s="9" t="str">
        <f>VLOOKUP(B1166,Bounties!A:E,2,FALSE)</f>
        <v>Anti-Scam Bounty</v>
      </c>
    </row>
    <row r="1167" hidden="1">
      <c r="A1167" s="67">
        <f>HYPERLINK("https://polkadot.subsquare.io/treasury/child-bounties/227", 227)</f>
        <v>227</v>
      </c>
      <c r="B1167" s="1">
        <v>11.0</v>
      </c>
      <c r="C1167" s="1" t="s">
        <v>2414</v>
      </c>
      <c r="D1167" s="1" t="s">
        <v>1526</v>
      </c>
      <c r="E1167" s="5">
        <v>85.89835361</v>
      </c>
      <c r="F1167" s="4">
        <v>454.0094035387872</v>
      </c>
      <c r="G1167" s="1" t="s">
        <v>2531</v>
      </c>
      <c r="H1167" s="95">
        <v>45054.0</v>
      </c>
      <c r="I1167" s="95">
        <v>45062.0</v>
      </c>
      <c r="J1167" s="4">
        <v>461.2775077366136</v>
      </c>
      <c r="K1167" s="1"/>
      <c r="L1167" s="1"/>
      <c r="M1167" s="1" t="str">
        <f>VLOOKUP(B1167,Bounties!A:D,3,FALSE)</f>
        <v>Research</v>
      </c>
      <c r="N1167" s="1" t="str">
        <f>VLOOKUP(B1167,Bounties!A:D,4,FALSE)</f>
        <v>Anti-Scam</v>
      </c>
      <c r="O1167" s="1" t="str">
        <f t="shared" ref="O1167:P1167" si="1171">IF(ISBLANK(K1167),M1167,K1167)</f>
        <v>Research</v>
      </c>
      <c r="P1167" s="1" t="str">
        <f t="shared" si="1171"/>
        <v>Anti-Scam</v>
      </c>
      <c r="Q1167" s="61" t="str">
        <f t="shared" si="3"/>
        <v>2023</v>
      </c>
      <c r="R1167" s="62">
        <f t="shared" si="4"/>
        <v>5</v>
      </c>
      <c r="S1167" s="61" t="str">
        <f t="shared" si="5"/>
        <v>2023-Q2</v>
      </c>
      <c r="T1167" s="63" t="str">
        <f t="shared" si="6"/>
        <v>2023-05</v>
      </c>
      <c r="U1167" s="64" t="str">
        <f t="shared" si="7"/>
        <v>2023-H1</v>
      </c>
      <c r="V1167" s="9" t="str">
        <f>VLOOKUP(B1167,Bounties!A:E,2,FALSE)</f>
        <v>Anti-Scam Bounty</v>
      </c>
    </row>
    <row r="1168" hidden="1">
      <c r="A1168" s="67">
        <f>HYPERLINK("https://polkadot.subsquare.io/treasury/child-bounties/226", 226)</f>
        <v>226</v>
      </c>
      <c r="B1168" s="1">
        <v>11.0</v>
      </c>
      <c r="C1168" s="1" t="s">
        <v>2414</v>
      </c>
      <c r="D1168" s="1" t="s">
        <v>1525</v>
      </c>
      <c r="E1168" s="5">
        <v>42.94917681</v>
      </c>
      <c r="F1168" s="4">
        <v>227.00470179582072</v>
      </c>
      <c r="G1168" s="1" t="s">
        <v>2437</v>
      </c>
      <c r="H1168" s="95">
        <v>45054.0</v>
      </c>
      <c r="I1168" s="95">
        <v>45062.0</v>
      </c>
      <c r="J1168" s="4">
        <v>230.63875389515698</v>
      </c>
      <c r="K1168" s="1"/>
      <c r="L1168" s="1"/>
      <c r="M1168" s="1" t="str">
        <f>VLOOKUP(B1168,Bounties!A:D,3,FALSE)</f>
        <v>Research</v>
      </c>
      <c r="N1168" s="1" t="str">
        <f>VLOOKUP(B1168,Bounties!A:D,4,FALSE)</f>
        <v>Anti-Scam</v>
      </c>
      <c r="O1168" s="1" t="str">
        <f t="shared" ref="O1168:P1168" si="1172">IF(ISBLANK(K1168),M1168,K1168)</f>
        <v>Research</v>
      </c>
      <c r="P1168" s="1" t="str">
        <f t="shared" si="1172"/>
        <v>Anti-Scam</v>
      </c>
      <c r="Q1168" s="61" t="str">
        <f t="shared" si="3"/>
        <v>2023</v>
      </c>
      <c r="R1168" s="62">
        <f t="shared" si="4"/>
        <v>5</v>
      </c>
      <c r="S1168" s="61" t="str">
        <f t="shared" si="5"/>
        <v>2023-Q2</v>
      </c>
      <c r="T1168" s="63" t="str">
        <f t="shared" si="6"/>
        <v>2023-05</v>
      </c>
      <c r="U1168" s="64" t="str">
        <f t="shared" si="7"/>
        <v>2023-H1</v>
      </c>
      <c r="V1168" s="9" t="str">
        <f>VLOOKUP(B1168,Bounties!A:E,2,FALSE)</f>
        <v>Anti-Scam Bounty</v>
      </c>
    </row>
    <row r="1169" hidden="1">
      <c r="A1169" s="67">
        <f>HYPERLINK("https://polkadot.subsquare.io/treasury/child-bounties/225", 225)</f>
        <v>225</v>
      </c>
      <c r="B1169" s="1">
        <v>11.0</v>
      </c>
      <c r="C1169" s="1" t="s">
        <v>2414</v>
      </c>
      <c r="D1169" s="1" t="s">
        <v>1524</v>
      </c>
      <c r="E1169" s="5">
        <v>41.393583</v>
      </c>
      <c r="F1169" s="4">
        <v>233.51266095330476</v>
      </c>
      <c r="G1169" s="1" t="s">
        <v>2437</v>
      </c>
      <c r="H1169" s="95">
        <v>45050.0</v>
      </c>
      <c r="I1169" s="95">
        <v>45059.0</v>
      </c>
      <c r="J1169" s="4">
        <v>219.35668686744833</v>
      </c>
      <c r="K1169" s="1"/>
      <c r="L1169" s="1"/>
      <c r="M1169" s="1" t="str">
        <f>VLOOKUP(B1169,Bounties!A:D,3,FALSE)</f>
        <v>Research</v>
      </c>
      <c r="N1169" s="1" t="str">
        <f>VLOOKUP(B1169,Bounties!A:D,4,FALSE)</f>
        <v>Anti-Scam</v>
      </c>
      <c r="O1169" s="1" t="str">
        <f t="shared" ref="O1169:P1169" si="1173">IF(ISBLANK(K1169),M1169,K1169)</f>
        <v>Research</v>
      </c>
      <c r="P1169" s="1" t="str">
        <f t="shared" si="1173"/>
        <v>Anti-Scam</v>
      </c>
      <c r="Q1169" s="61" t="str">
        <f t="shared" si="3"/>
        <v>2023</v>
      </c>
      <c r="R1169" s="62">
        <f t="shared" si="4"/>
        <v>5</v>
      </c>
      <c r="S1169" s="61" t="str">
        <f t="shared" si="5"/>
        <v>2023-Q2</v>
      </c>
      <c r="T1169" s="63" t="str">
        <f t="shared" si="6"/>
        <v>2023-05</v>
      </c>
      <c r="U1169" s="64" t="str">
        <f t="shared" si="7"/>
        <v>2023-H1</v>
      </c>
      <c r="V1169" s="9" t="str">
        <f>VLOOKUP(B1169,Bounties!A:E,2,FALSE)</f>
        <v>Anti-Scam Bounty</v>
      </c>
    </row>
    <row r="1170" hidden="1">
      <c r="A1170" s="67">
        <f>HYPERLINK("https://polkadot.subsquare.io/treasury/child-bounties/224", 224)</f>
        <v>224</v>
      </c>
      <c r="B1170" s="1">
        <v>11.0</v>
      </c>
      <c r="C1170" s="1" t="s">
        <v>2414</v>
      </c>
      <c r="D1170" s="1" t="s">
        <v>1523</v>
      </c>
      <c r="E1170" s="5">
        <v>100.16</v>
      </c>
      <c r="F1170" s="4">
        <v>566.2828897094727</v>
      </c>
      <c r="G1170" s="1" t="s">
        <v>2531</v>
      </c>
      <c r="H1170" s="95">
        <v>45049.0</v>
      </c>
      <c r="I1170" s="95">
        <v>45059.0</v>
      </c>
      <c r="J1170" s="4">
        <v>532.8798254394532</v>
      </c>
      <c r="K1170" s="1"/>
      <c r="L1170" s="1"/>
      <c r="M1170" s="1" t="str">
        <f>VLOOKUP(B1170,Bounties!A:D,3,FALSE)</f>
        <v>Research</v>
      </c>
      <c r="N1170" s="1" t="str">
        <f>VLOOKUP(B1170,Bounties!A:D,4,FALSE)</f>
        <v>Anti-Scam</v>
      </c>
      <c r="O1170" s="1" t="str">
        <f t="shared" ref="O1170:P1170" si="1174">IF(ISBLANK(K1170),M1170,K1170)</f>
        <v>Research</v>
      </c>
      <c r="P1170" s="1" t="str">
        <f t="shared" si="1174"/>
        <v>Anti-Scam</v>
      </c>
      <c r="Q1170" s="61" t="str">
        <f t="shared" si="3"/>
        <v>2023</v>
      </c>
      <c r="R1170" s="62">
        <f t="shared" si="4"/>
        <v>5</v>
      </c>
      <c r="S1170" s="61" t="str">
        <f t="shared" si="5"/>
        <v>2023-Q2</v>
      </c>
      <c r="T1170" s="63" t="str">
        <f t="shared" si="6"/>
        <v>2023-05</v>
      </c>
      <c r="U1170" s="64" t="str">
        <f t="shared" si="7"/>
        <v>2023-H1</v>
      </c>
      <c r="V1170" s="9" t="str">
        <f>VLOOKUP(B1170,Bounties!A:E,2,FALSE)</f>
        <v>Anti-Scam Bounty</v>
      </c>
    </row>
    <row r="1171" hidden="1">
      <c r="A1171" s="67">
        <f>HYPERLINK("https://polkadot.subsquare.io/treasury/child-bounties/223", 223)</f>
        <v>223</v>
      </c>
      <c r="B1171" s="1">
        <v>11.0</v>
      </c>
      <c r="C1171" s="1" t="s">
        <v>2414</v>
      </c>
      <c r="D1171" s="1" t="s">
        <v>1522</v>
      </c>
      <c r="E1171" s="5">
        <v>83.47</v>
      </c>
      <c r="F1171" s="4">
        <v>471.92125403404236</v>
      </c>
      <c r="G1171" s="1" t="s">
        <v>2526</v>
      </c>
      <c r="H1171" s="95">
        <v>45049.0</v>
      </c>
      <c r="I1171" s="95">
        <v>45058.0</v>
      </c>
      <c r="J1171" s="4">
        <v>444.08425548553464</v>
      </c>
      <c r="K1171" s="1"/>
      <c r="L1171" s="1"/>
      <c r="M1171" s="1" t="str">
        <f>VLOOKUP(B1171,Bounties!A:D,3,FALSE)</f>
        <v>Research</v>
      </c>
      <c r="N1171" s="1" t="str">
        <f>VLOOKUP(B1171,Bounties!A:D,4,FALSE)</f>
        <v>Anti-Scam</v>
      </c>
      <c r="O1171" s="1" t="str">
        <f t="shared" ref="O1171:P1171" si="1175">IF(ISBLANK(K1171),M1171,K1171)</f>
        <v>Research</v>
      </c>
      <c r="P1171" s="1" t="str">
        <f t="shared" si="1175"/>
        <v>Anti-Scam</v>
      </c>
      <c r="Q1171" s="61" t="str">
        <f t="shared" si="3"/>
        <v>2023</v>
      </c>
      <c r="R1171" s="62">
        <f t="shared" si="4"/>
        <v>5</v>
      </c>
      <c r="S1171" s="61" t="str">
        <f t="shared" si="5"/>
        <v>2023-Q2</v>
      </c>
      <c r="T1171" s="63" t="str">
        <f t="shared" si="6"/>
        <v>2023-05</v>
      </c>
      <c r="U1171" s="64" t="str">
        <f t="shared" si="7"/>
        <v>2023-H1</v>
      </c>
      <c r="V1171" s="9" t="str">
        <f>VLOOKUP(B1171,Bounties!A:E,2,FALSE)</f>
        <v>Anti-Scam Bounty</v>
      </c>
    </row>
    <row r="1172" hidden="1">
      <c r="A1172" s="67">
        <f>HYPERLINK("https://polkadot.subsquare.io/treasury/child-bounties/222", 222)</f>
        <v>222</v>
      </c>
      <c r="B1172" s="1">
        <v>11.0</v>
      </c>
      <c r="C1172" s="1" t="s">
        <v>2414</v>
      </c>
      <c r="D1172" s="1" t="s">
        <v>1521</v>
      </c>
      <c r="E1172" s="5">
        <v>68.6341798215</v>
      </c>
      <c r="F1172" s="4">
        <v>401.7674112938772</v>
      </c>
      <c r="G1172" s="1" t="s">
        <v>2437</v>
      </c>
      <c r="H1172" s="95">
        <v>45048.0</v>
      </c>
      <c r="I1172" s="95">
        <v>45057.0</v>
      </c>
      <c r="J1172" s="4">
        <v>367.32353571731545</v>
      </c>
      <c r="K1172" s="1"/>
      <c r="L1172" s="1"/>
      <c r="M1172" s="1" t="str">
        <f>VLOOKUP(B1172,Bounties!A:D,3,FALSE)</f>
        <v>Research</v>
      </c>
      <c r="N1172" s="1" t="str">
        <f>VLOOKUP(B1172,Bounties!A:D,4,FALSE)</f>
        <v>Anti-Scam</v>
      </c>
      <c r="O1172" s="1" t="str">
        <f t="shared" ref="O1172:P1172" si="1176">IF(ISBLANK(K1172),M1172,K1172)</f>
        <v>Research</v>
      </c>
      <c r="P1172" s="1" t="str">
        <f t="shared" si="1176"/>
        <v>Anti-Scam</v>
      </c>
      <c r="Q1172" s="61" t="str">
        <f t="shared" si="3"/>
        <v>2023</v>
      </c>
      <c r="R1172" s="62">
        <f t="shared" si="4"/>
        <v>5</v>
      </c>
      <c r="S1172" s="61" t="str">
        <f t="shared" si="5"/>
        <v>2023-Q2</v>
      </c>
      <c r="T1172" s="63" t="str">
        <f t="shared" si="6"/>
        <v>2023-05</v>
      </c>
      <c r="U1172" s="64" t="str">
        <f t="shared" si="7"/>
        <v>2023-H1</v>
      </c>
      <c r="V1172" s="9" t="str">
        <f>VLOOKUP(B1172,Bounties!A:E,2,FALSE)</f>
        <v>Anti-Scam Bounty</v>
      </c>
    </row>
    <row r="1173" hidden="1">
      <c r="A1173" s="67">
        <f>HYPERLINK("https://polkadot.subsquare.io/treasury/child-bounties/221", 221)</f>
        <v>221</v>
      </c>
      <c r="B1173" s="1">
        <v>11.0</v>
      </c>
      <c r="C1173" s="1" t="s">
        <v>2414</v>
      </c>
      <c r="D1173" s="1" t="s">
        <v>1520</v>
      </c>
      <c r="E1173" s="5">
        <v>68.6341798215</v>
      </c>
      <c r="F1173" s="4">
        <v>401.7674112938772</v>
      </c>
      <c r="G1173" s="1" t="s">
        <v>2463</v>
      </c>
      <c r="H1173" s="95">
        <v>45048.0</v>
      </c>
      <c r="I1173" s="95">
        <v>45060.0</v>
      </c>
      <c r="J1173" s="4">
        <v>363.71256606389727</v>
      </c>
      <c r="K1173" s="1"/>
      <c r="L1173" s="1"/>
      <c r="M1173" s="1" t="str">
        <f>VLOOKUP(B1173,Bounties!A:D,3,FALSE)</f>
        <v>Research</v>
      </c>
      <c r="N1173" s="1" t="str">
        <f>VLOOKUP(B1173,Bounties!A:D,4,FALSE)</f>
        <v>Anti-Scam</v>
      </c>
      <c r="O1173" s="1" t="str">
        <f t="shared" ref="O1173:P1173" si="1177">IF(ISBLANK(K1173),M1173,K1173)</f>
        <v>Research</v>
      </c>
      <c r="P1173" s="1" t="str">
        <f t="shared" si="1177"/>
        <v>Anti-Scam</v>
      </c>
      <c r="Q1173" s="61" t="str">
        <f t="shared" si="3"/>
        <v>2023</v>
      </c>
      <c r="R1173" s="62">
        <f t="shared" si="4"/>
        <v>5</v>
      </c>
      <c r="S1173" s="61" t="str">
        <f t="shared" si="5"/>
        <v>2023-Q2</v>
      </c>
      <c r="T1173" s="63" t="str">
        <f t="shared" si="6"/>
        <v>2023-05</v>
      </c>
      <c r="U1173" s="64" t="str">
        <f t="shared" si="7"/>
        <v>2023-H1</v>
      </c>
      <c r="V1173" s="9" t="str">
        <f>VLOOKUP(B1173,Bounties!A:E,2,FALSE)</f>
        <v>Anti-Scam Bounty</v>
      </c>
    </row>
    <row r="1174" hidden="1">
      <c r="A1174" s="67">
        <f>HYPERLINK("https://polkadot.subsquare.io/treasury/child-bounties/220", 220)</f>
        <v>220</v>
      </c>
      <c r="B1174" s="1">
        <v>11.0</v>
      </c>
      <c r="C1174" s="1" t="s">
        <v>2414</v>
      </c>
      <c r="D1174" s="1" t="s">
        <v>1519</v>
      </c>
      <c r="E1174" s="5">
        <v>68.6341798215</v>
      </c>
      <c r="F1174" s="4">
        <v>401.7674112938772</v>
      </c>
      <c r="G1174" s="1" t="s">
        <v>2438</v>
      </c>
      <c r="H1174" s="95">
        <v>45048.0</v>
      </c>
      <c r="I1174" s="95">
        <v>45057.0</v>
      </c>
      <c r="J1174" s="4">
        <v>367.49548509474835</v>
      </c>
      <c r="K1174" s="1"/>
      <c r="L1174" s="1"/>
      <c r="M1174" s="1" t="str">
        <f>VLOOKUP(B1174,Bounties!A:D,3,FALSE)</f>
        <v>Research</v>
      </c>
      <c r="N1174" s="1" t="str">
        <f>VLOOKUP(B1174,Bounties!A:D,4,FALSE)</f>
        <v>Anti-Scam</v>
      </c>
      <c r="O1174" s="1" t="str">
        <f t="shared" ref="O1174:P1174" si="1178">IF(ISBLANK(K1174),M1174,K1174)</f>
        <v>Research</v>
      </c>
      <c r="P1174" s="1" t="str">
        <f t="shared" si="1178"/>
        <v>Anti-Scam</v>
      </c>
      <c r="Q1174" s="61" t="str">
        <f t="shared" si="3"/>
        <v>2023</v>
      </c>
      <c r="R1174" s="62">
        <f t="shared" si="4"/>
        <v>5</v>
      </c>
      <c r="S1174" s="61" t="str">
        <f t="shared" si="5"/>
        <v>2023-Q2</v>
      </c>
      <c r="T1174" s="63" t="str">
        <f t="shared" si="6"/>
        <v>2023-05</v>
      </c>
      <c r="U1174" s="64" t="str">
        <f t="shared" si="7"/>
        <v>2023-H1</v>
      </c>
      <c r="V1174" s="9" t="str">
        <f>VLOOKUP(B1174,Bounties!A:E,2,FALSE)</f>
        <v>Anti-Scam Bounty</v>
      </c>
    </row>
    <row r="1175" hidden="1">
      <c r="A1175" s="67">
        <f>HYPERLINK("https://polkadot.subsquare.io/treasury/child-bounties/219", 219)</f>
        <v>219</v>
      </c>
      <c r="B1175" s="1">
        <v>11.0</v>
      </c>
      <c r="C1175" s="1" t="s">
        <v>2414</v>
      </c>
      <c r="D1175" s="1" t="s">
        <v>1518</v>
      </c>
      <c r="E1175" s="5">
        <v>102.9512697323</v>
      </c>
      <c r="F1175" s="4">
        <v>602.6511169411086</v>
      </c>
      <c r="G1175" s="1" t="s">
        <v>2437</v>
      </c>
      <c r="H1175" s="95">
        <v>45048.0</v>
      </c>
      <c r="I1175" s="95">
        <v>45057.0</v>
      </c>
      <c r="J1175" s="4">
        <v>550.9853035762408</v>
      </c>
      <c r="K1175" s="1"/>
      <c r="L1175" s="1"/>
      <c r="M1175" s="1" t="str">
        <f>VLOOKUP(B1175,Bounties!A:D,3,FALSE)</f>
        <v>Research</v>
      </c>
      <c r="N1175" s="1" t="str">
        <f>VLOOKUP(B1175,Bounties!A:D,4,FALSE)</f>
        <v>Anti-Scam</v>
      </c>
      <c r="O1175" s="1" t="str">
        <f t="shared" ref="O1175:P1175" si="1179">IF(ISBLANK(K1175),M1175,K1175)</f>
        <v>Research</v>
      </c>
      <c r="P1175" s="1" t="str">
        <f t="shared" si="1179"/>
        <v>Anti-Scam</v>
      </c>
      <c r="Q1175" s="61" t="str">
        <f t="shared" si="3"/>
        <v>2023</v>
      </c>
      <c r="R1175" s="62">
        <f t="shared" si="4"/>
        <v>5</v>
      </c>
      <c r="S1175" s="61" t="str">
        <f t="shared" si="5"/>
        <v>2023-Q2</v>
      </c>
      <c r="T1175" s="63" t="str">
        <f t="shared" si="6"/>
        <v>2023-05</v>
      </c>
      <c r="U1175" s="64" t="str">
        <f t="shared" si="7"/>
        <v>2023-H1</v>
      </c>
      <c r="V1175" s="9" t="str">
        <f>VLOOKUP(B1175,Bounties!A:E,2,FALSE)</f>
        <v>Anti-Scam Bounty</v>
      </c>
    </row>
    <row r="1176" hidden="1">
      <c r="A1176" s="67">
        <f>HYPERLINK("https://polkadot.subsquare.io/treasury/child-bounties/218", 218)</f>
        <v>218</v>
      </c>
      <c r="B1176" s="1">
        <v>11.0</v>
      </c>
      <c r="C1176" s="1" t="s">
        <v>2414</v>
      </c>
      <c r="D1176" s="1" t="s">
        <v>1517</v>
      </c>
      <c r="E1176" s="5">
        <v>123.5415236788</v>
      </c>
      <c r="F1176" s="4">
        <v>723.1813403295645</v>
      </c>
      <c r="G1176" s="1" t="s">
        <v>2535</v>
      </c>
      <c r="H1176" s="95">
        <v>45048.0</v>
      </c>
      <c r="I1176" s="95">
        <v>45057.0</v>
      </c>
      <c r="J1176" s="4">
        <v>661.4918731710825</v>
      </c>
      <c r="K1176" s="1"/>
      <c r="L1176" s="1"/>
      <c r="M1176" s="1" t="str">
        <f>VLOOKUP(B1176,Bounties!A:D,3,FALSE)</f>
        <v>Research</v>
      </c>
      <c r="N1176" s="1" t="str">
        <f>VLOOKUP(B1176,Bounties!A:D,4,FALSE)</f>
        <v>Anti-Scam</v>
      </c>
      <c r="O1176" s="1" t="str">
        <f t="shared" ref="O1176:P1176" si="1180">IF(ISBLANK(K1176),M1176,K1176)</f>
        <v>Research</v>
      </c>
      <c r="P1176" s="1" t="str">
        <f t="shared" si="1180"/>
        <v>Anti-Scam</v>
      </c>
      <c r="Q1176" s="61" t="str">
        <f t="shared" si="3"/>
        <v>2023</v>
      </c>
      <c r="R1176" s="62">
        <f t="shared" si="4"/>
        <v>5</v>
      </c>
      <c r="S1176" s="61" t="str">
        <f t="shared" si="5"/>
        <v>2023-Q2</v>
      </c>
      <c r="T1176" s="63" t="str">
        <f t="shared" si="6"/>
        <v>2023-05</v>
      </c>
      <c r="U1176" s="64" t="str">
        <f t="shared" si="7"/>
        <v>2023-H1</v>
      </c>
      <c r="V1176" s="9" t="str">
        <f>VLOOKUP(B1176,Bounties!A:E,2,FALSE)</f>
        <v>Anti-Scam Bounty</v>
      </c>
    </row>
    <row r="1177" hidden="1">
      <c r="A1177" s="67">
        <f>HYPERLINK("https://polkadot.subsquare.io/treasury/child-bounties/217", 217)</f>
        <v>217</v>
      </c>
      <c r="B1177" s="1">
        <v>11.0</v>
      </c>
      <c r="C1177" s="1" t="s">
        <v>2414</v>
      </c>
      <c r="D1177" s="1" t="s">
        <v>1516</v>
      </c>
      <c r="E1177" s="5">
        <v>123.5415236788</v>
      </c>
      <c r="F1177" s="4">
        <v>723.1813403295645</v>
      </c>
      <c r="G1177" s="1" t="s">
        <v>2438</v>
      </c>
      <c r="H1177" s="95">
        <v>45048.0</v>
      </c>
      <c r="I1177" s="95">
        <v>45057.0</v>
      </c>
      <c r="J1177" s="4">
        <v>661.4918731710825</v>
      </c>
      <c r="K1177" s="1"/>
      <c r="L1177" s="1"/>
      <c r="M1177" s="1" t="str">
        <f>VLOOKUP(B1177,Bounties!A:D,3,FALSE)</f>
        <v>Research</v>
      </c>
      <c r="N1177" s="1" t="str">
        <f>VLOOKUP(B1177,Bounties!A:D,4,FALSE)</f>
        <v>Anti-Scam</v>
      </c>
      <c r="O1177" s="1" t="str">
        <f t="shared" ref="O1177:P1177" si="1181">IF(ISBLANK(K1177),M1177,K1177)</f>
        <v>Research</v>
      </c>
      <c r="P1177" s="1" t="str">
        <f t="shared" si="1181"/>
        <v>Anti-Scam</v>
      </c>
      <c r="Q1177" s="61" t="str">
        <f t="shared" si="3"/>
        <v>2023</v>
      </c>
      <c r="R1177" s="62">
        <f t="shared" si="4"/>
        <v>5</v>
      </c>
      <c r="S1177" s="61" t="str">
        <f t="shared" si="5"/>
        <v>2023-Q2</v>
      </c>
      <c r="T1177" s="63" t="str">
        <f t="shared" si="6"/>
        <v>2023-05</v>
      </c>
      <c r="U1177" s="64" t="str">
        <f t="shared" si="7"/>
        <v>2023-H1</v>
      </c>
      <c r="V1177" s="9" t="str">
        <f>VLOOKUP(B1177,Bounties!A:E,2,FALSE)</f>
        <v>Anti-Scam Bounty</v>
      </c>
    </row>
    <row r="1178" hidden="1">
      <c r="A1178" s="67">
        <f>HYPERLINK("https://polkadot.subsquare.io/treasury/child-bounties/216", 216)</f>
        <v>216</v>
      </c>
      <c r="B1178" s="1">
        <v>11.0</v>
      </c>
      <c r="C1178" s="1" t="s">
        <v>2414</v>
      </c>
      <c r="D1178" s="1" t="s">
        <v>1515</v>
      </c>
      <c r="E1178" s="5">
        <v>144.1317776253</v>
      </c>
      <c r="F1178" s="4">
        <v>843.7115637180203</v>
      </c>
      <c r="G1178" s="1" t="s">
        <v>2534</v>
      </c>
      <c r="H1178" s="95">
        <v>45048.0</v>
      </c>
      <c r="I1178" s="95">
        <v>45056.0</v>
      </c>
      <c r="J1178" s="4">
        <v>771.3794250071653</v>
      </c>
      <c r="K1178" s="1"/>
      <c r="L1178" s="1"/>
      <c r="M1178" s="1" t="str">
        <f>VLOOKUP(B1178,Bounties!A:D,3,FALSE)</f>
        <v>Research</v>
      </c>
      <c r="N1178" s="1" t="str">
        <f>VLOOKUP(B1178,Bounties!A:D,4,FALSE)</f>
        <v>Anti-Scam</v>
      </c>
      <c r="O1178" s="1" t="str">
        <f t="shared" ref="O1178:P1178" si="1182">IF(ISBLANK(K1178),M1178,K1178)</f>
        <v>Research</v>
      </c>
      <c r="P1178" s="1" t="str">
        <f t="shared" si="1182"/>
        <v>Anti-Scam</v>
      </c>
      <c r="Q1178" s="61" t="str">
        <f t="shared" si="3"/>
        <v>2023</v>
      </c>
      <c r="R1178" s="62">
        <f t="shared" si="4"/>
        <v>5</v>
      </c>
      <c r="S1178" s="61" t="str">
        <f t="shared" si="5"/>
        <v>2023-Q2</v>
      </c>
      <c r="T1178" s="63" t="str">
        <f t="shared" si="6"/>
        <v>2023-05</v>
      </c>
      <c r="U1178" s="64" t="str">
        <f t="shared" si="7"/>
        <v>2023-H1</v>
      </c>
      <c r="V1178" s="9" t="str">
        <f>VLOOKUP(B1178,Bounties!A:E,2,FALSE)</f>
        <v>Anti-Scam Bounty</v>
      </c>
    </row>
    <row r="1179" hidden="1">
      <c r="A1179" s="67">
        <f>HYPERLINK("https://polkadot.subsquare.io/treasury/child-bounties/215", 215)</f>
        <v>215</v>
      </c>
      <c r="B1179" s="1">
        <v>11.0</v>
      </c>
      <c r="C1179" s="1" t="s">
        <v>2414</v>
      </c>
      <c r="D1179" s="1" t="s">
        <v>1514</v>
      </c>
      <c r="E1179" s="5">
        <v>85.7927478</v>
      </c>
      <c r="F1179" s="4">
        <v>502.20939888899176</v>
      </c>
      <c r="G1179" s="1" t="s">
        <v>2534</v>
      </c>
      <c r="H1179" s="95">
        <v>45048.0</v>
      </c>
      <c r="I1179" s="95">
        <v>45056.0</v>
      </c>
      <c r="J1179" s="4">
        <v>459.15454286419714</v>
      </c>
      <c r="K1179" s="1"/>
      <c r="L1179" s="1"/>
      <c r="M1179" s="1" t="str">
        <f>VLOOKUP(B1179,Bounties!A:D,3,FALSE)</f>
        <v>Research</v>
      </c>
      <c r="N1179" s="1" t="str">
        <f>VLOOKUP(B1179,Bounties!A:D,4,FALSE)</f>
        <v>Anti-Scam</v>
      </c>
      <c r="O1179" s="1" t="str">
        <f t="shared" ref="O1179:P1179" si="1183">IF(ISBLANK(K1179),M1179,K1179)</f>
        <v>Research</v>
      </c>
      <c r="P1179" s="1" t="str">
        <f t="shared" si="1183"/>
        <v>Anti-Scam</v>
      </c>
      <c r="Q1179" s="61" t="str">
        <f t="shared" si="3"/>
        <v>2023</v>
      </c>
      <c r="R1179" s="62">
        <f t="shared" si="4"/>
        <v>5</v>
      </c>
      <c r="S1179" s="61" t="str">
        <f t="shared" si="5"/>
        <v>2023-Q2</v>
      </c>
      <c r="T1179" s="63" t="str">
        <f t="shared" si="6"/>
        <v>2023-05</v>
      </c>
      <c r="U1179" s="64" t="str">
        <f t="shared" si="7"/>
        <v>2023-H1</v>
      </c>
      <c r="V1179" s="9" t="str">
        <f>VLOOKUP(B1179,Bounties!A:E,2,FALSE)</f>
        <v>Anti-Scam Bounty</v>
      </c>
    </row>
    <row r="1180" hidden="1">
      <c r="A1180" s="67">
        <f>HYPERLINK("https://polkadot.subsquare.io/treasury/child-bounties/214", 214)</f>
        <v>214</v>
      </c>
      <c r="B1180" s="1">
        <v>11.0</v>
      </c>
      <c r="C1180" s="1" t="s">
        <v>2414</v>
      </c>
      <c r="D1180" s="1" t="s">
        <v>1513</v>
      </c>
      <c r="E1180" s="5">
        <v>85.7927478</v>
      </c>
      <c r="F1180" s="4">
        <v>502.20939888899176</v>
      </c>
      <c r="G1180" s="1" t="s">
        <v>2528</v>
      </c>
      <c r="H1180" s="95">
        <v>45048.0</v>
      </c>
      <c r="I1180" s="95">
        <v>45056.0</v>
      </c>
      <c r="J1180" s="4">
        <v>459.15454286419714</v>
      </c>
      <c r="K1180" s="1"/>
      <c r="L1180" s="1"/>
      <c r="M1180" s="1" t="str">
        <f>VLOOKUP(B1180,Bounties!A:D,3,FALSE)</f>
        <v>Research</v>
      </c>
      <c r="N1180" s="1" t="str">
        <f>VLOOKUP(B1180,Bounties!A:D,4,FALSE)</f>
        <v>Anti-Scam</v>
      </c>
      <c r="O1180" s="1" t="str">
        <f t="shared" ref="O1180:P1180" si="1184">IF(ISBLANK(K1180),M1180,K1180)</f>
        <v>Research</v>
      </c>
      <c r="P1180" s="1" t="str">
        <f t="shared" si="1184"/>
        <v>Anti-Scam</v>
      </c>
      <c r="Q1180" s="61" t="str">
        <f t="shared" si="3"/>
        <v>2023</v>
      </c>
      <c r="R1180" s="62">
        <f t="shared" si="4"/>
        <v>5</v>
      </c>
      <c r="S1180" s="61" t="str">
        <f t="shared" si="5"/>
        <v>2023-Q2</v>
      </c>
      <c r="T1180" s="63" t="str">
        <f t="shared" si="6"/>
        <v>2023-05</v>
      </c>
      <c r="U1180" s="64" t="str">
        <f t="shared" si="7"/>
        <v>2023-H1</v>
      </c>
      <c r="V1180" s="9" t="str">
        <f>VLOOKUP(B1180,Bounties!A:E,2,FALSE)</f>
        <v>Anti-Scam Bounty</v>
      </c>
    </row>
    <row r="1181" hidden="1">
      <c r="A1181" s="67">
        <f>HYPERLINK("https://polkadot.subsquare.io/treasury/child-bounties/213", 213)</f>
        <v>213</v>
      </c>
      <c r="B1181" s="1">
        <v>11.0</v>
      </c>
      <c r="C1181" s="1" t="s">
        <v>2414</v>
      </c>
      <c r="D1181" s="1" t="s">
        <v>1512</v>
      </c>
      <c r="E1181" s="5">
        <v>185.9528712</v>
      </c>
      <c r="F1181" s="4">
        <v>1088.521839686712</v>
      </c>
      <c r="G1181" s="1" t="s">
        <v>2437</v>
      </c>
      <c r="H1181" s="95">
        <v>45048.0</v>
      </c>
      <c r="I1181" s="95">
        <v>45057.0</v>
      </c>
      <c r="J1181" s="4">
        <v>995.2018994561325</v>
      </c>
      <c r="K1181" s="1"/>
      <c r="L1181" s="1"/>
      <c r="M1181" s="1" t="str">
        <f>VLOOKUP(B1181,Bounties!A:D,3,FALSE)</f>
        <v>Research</v>
      </c>
      <c r="N1181" s="1" t="str">
        <f>VLOOKUP(B1181,Bounties!A:D,4,FALSE)</f>
        <v>Anti-Scam</v>
      </c>
      <c r="O1181" s="1" t="str">
        <f t="shared" ref="O1181:P1181" si="1185">IF(ISBLANK(K1181),M1181,K1181)</f>
        <v>Research</v>
      </c>
      <c r="P1181" s="1" t="str">
        <f t="shared" si="1185"/>
        <v>Anti-Scam</v>
      </c>
      <c r="Q1181" s="61" t="str">
        <f t="shared" si="3"/>
        <v>2023</v>
      </c>
      <c r="R1181" s="62">
        <f t="shared" si="4"/>
        <v>5</v>
      </c>
      <c r="S1181" s="61" t="str">
        <f t="shared" si="5"/>
        <v>2023-Q2</v>
      </c>
      <c r="T1181" s="63" t="str">
        <f t="shared" si="6"/>
        <v>2023-05</v>
      </c>
      <c r="U1181" s="64" t="str">
        <f t="shared" si="7"/>
        <v>2023-H1</v>
      </c>
      <c r="V1181" s="9" t="str">
        <f>VLOOKUP(B1181,Bounties!A:E,2,FALSE)</f>
        <v>Anti-Scam Bounty</v>
      </c>
    </row>
    <row r="1182" hidden="1">
      <c r="A1182" s="67">
        <f>HYPERLINK("https://polkadot.subsquare.io/treasury/child-bounties/212", 212)</f>
        <v>212</v>
      </c>
      <c r="B1182" s="1">
        <v>11.0</v>
      </c>
      <c r="C1182" s="1" t="s">
        <v>2414</v>
      </c>
      <c r="D1182" s="1" t="s">
        <v>1511</v>
      </c>
      <c r="E1182" s="5">
        <v>1054.587051</v>
      </c>
      <c r="F1182" s="4">
        <v>6173.290196899655</v>
      </c>
      <c r="G1182" s="1" t="s">
        <v>2438</v>
      </c>
      <c r="H1182" s="95">
        <v>45048.0</v>
      </c>
      <c r="I1182" s="95">
        <v>45057.0</v>
      </c>
      <c r="J1182" s="4">
        <v>5646.690626883273</v>
      </c>
      <c r="K1182" s="1"/>
      <c r="L1182" s="1"/>
      <c r="M1182" s="1" t="str">
        <f>VLOOKUP(B1182,Bounties!A:D,3,FALSE)</f>
        <v>Research</v>
      </c>
      <c r="N1182" s="1" t="str">
        <f>VLOOKUP(B1182,Bounties!A:D,4,FALSE)</f>
        <v>Anti-Scam</v>
      </c>
      <c r="O1182" s="1" t="str">
        <f t="shared" ref="O1182:P1182" si="1186">IF(ISBLANK(K1182),M1182,K1182)</f>
        <v>Research</v>
      </c>
      <c r="P1182" s="1" t="str">
        <f t="shared" si="1186"/>
        <v>Anti-Scam</v>
      </c>
      <c r="Q1182" s="61" t="str">
        <f t="shared" si="3"/>
        <v>2023</v>
      </c>
      <c r="R1182" s="62">
        <f t="shared" si="4"/>
        <v>5</v>
      </c>
      <c r="S1182" s="61" t="str">
        <f t="shared" si="5"/>
        <v>2023-Q2</v>
      </c>
      <c r="T1182" s="63" t="str">
        <f t="shared" si="6"/>
        <v>2023-05</v>
      </c>
      <c r="U1182" s="64" t="str">
        <f t="shared" si="7"/>
        <v>2023-H1</v>
      </c>
      <c r="V1182" s="9" t="str">
        <f>VLOOKUP(B1182,Bounties!A:E,2,FALSE)</f>
        <v>Anti-Scam Bounty</v>
      </c>
    </row>
    <row r="1183" hidden="1">
      <c r="A1183" s="67">
        <f>HYPERLINK("https://polkadot.subsquare.io/treasury/child-bounties/211", 211)</f>
        <v>211</v>
      </c>
      <c r="B1183" s="1">
        <v>11.0</v>
      </c>
      <c r="C1183" s="1" t="s">
        <v>2414</v>
      </c>
      <c r="D1183" s="1" t="s">
        <v>1510</v>
      </c>
      <c r="E1183" s="5">
        <v>298.4099748</v>
      </c>
      <c r="F1183" s="4">
        <v>1746.8177428720514</v>
      </c>
      <c r="G1183" s="1" t="s">
        <v>2463</v>
      </c>
      <c r="H1183" s="95">
        <v>45048.0</v>
      </c>
      <c r="I1183" s="95">
        <v>45060.0</v>
      </c>
      <c r="J1183" s="4">
        <v>1581.3616183051065</v>
      </c>
      <c r="K1183" s="1"/>
      <c r="L1183" s="1"/>
      <c r="M1183" s="1" t="str">
        <f>VLOOKUP(B1183,Bounties!A:D,3,FALSE)</f>
        <v>Research</v>
      </c>
      <c r="N1183" s="1" t="str">
        <f>VLOOKUP(B1183,Bounties!A:D,4,FALSE)</f>
        <v>Anti-Scam</v>
      </c>
      <c r="O1183" s="1" t="str">
        <f t="shared" ref="O1183:P1183" si="1187">IF(ISBLANK(K1183),M1183,K1183)</f>
        <v>Research</v>
      </c>
      <c r="P1183" s="1" t="str">
        <f t="shared" si="1187"/>
        <v>Anti-Scam</v>
      </c>
      <c r="Q1183" s="61" t="str">
        <f t="shared" si="3"/>
        <v>2023</v>
      </c>
      <c r="R1183" s="62">
        <f t="shared" si="4"/>
        <v>5</v>
      </c>
      <c r="S1183" s="61" t="str">
        <f t="shared" si="5"/>
        <v>2023-Q2</v>
      </c>
      <c r="T1183" s="63" t="str">
        <f t="shared" si="6"/>
        <v>2023-05</v>
      </c>
      <c r="U1183" s="64" t="str">
        <f t="shared" si="7"/>
        <v>2023-H1</v>
      </c>
      <c r="V1183" s="9" t="str">
        <f>VLOOKUP(B1183,Bounties!A:E,2,FALSE)</f>
        <v>Anti-Scam Bounty</v>
      </c>
    </row>
    <row r="1184" hidden="1">
      <c r="A1184" s="67">
        <f>HYPERLINK("https://polkadot.subsquare.io/treasury/child-bounties/210", 210)</f>
        <v>210</v>
      </c>
      <c r="B1184" s="1">
        <v>17.0</v>
      </c>
      <c r="C1184" s="1" t="s">
        <v>2414</v>
      </c>
      <c r="D1184" s="1" t="s">
        <v>1509</v>
      </c>
      <c r="E1184" s="5">
        <v>20146.0</v>
      </c>
      <c r="F1184" s="4">
        <v>114213.99798297882</v>
      </c>
      <c r="G1184" s="1" t="s">
        <v>2689</v>
      </c>
      <c r="H1184" s="95">
        <v>45048.0</v>
      </c>
      <c r="I1184" s="95">
        <v>45059.0</v>
      </c>
      <c r="J1184" s="4">
        <v>106759.53839588165</v>
      </c>
      <c r="K1184" s="1"/>
      <c r="L1184" s="1"/>
      <c r="M1184" s="1" t="str">
        <f>VLOOKUP(B1184,Bounties!A:D,3,FALSE)</f>
        <v>Outreach</v>
      </c>
      <c r="N1184" s="1" t="str">
        <f>VLOOKUP(B1184,Bounties!A:D,4,FALSE)</f>
        <v>Events/Meetups</v>
      </c>
      <c r="O1184" s="1" t="str">
        <f t="shared" ref="O1184:P1184" si="1188">IF(ISBLANK(K1184),M1184,K1184)</f>
        <v>Outreach</v>
      </c>
      <c r="P1184" s="1" t="str">
        <f t="shared" si="1188"/>
        <v>Events/Meetups</v>
      </c>
      <c r="Q1184" s="61" t="str">
        <f t="shared" si="3"/>
        <v>2023</v>
      </c>
      <c r="R1184" s="62">
        <f t="shared" si="4"/>
        <v>5</v>
      </c>
      <c r="S1184" s="61" t="str">
        <f t="shared" si="5"/>
        <v>2023-Q2</v>
      </c>
      <c r="T1184" s="63" t="str">
        <f t="shared" si="6"/>
        <v>2023-05</v>
      </c>
      <c r="U1184" s="64" t="str">
        <f t="shared" si="7"/>
        <v>2023-H1</v>
      </c>
      <c r="V1184" s="9" t="str">
        <f>VLOOKUP(B1184,Bounties!A:E,2,FALSE)</f>
        <v>Events Bounty</v>
      </c>
    </row>
    <row r="1185" hidden="1">
      <c r="A1185" s="67">
        <f>HYPERLINK("https://polkadot.subsquare.io/treasury/child-bounties/209", 209)</f>
        <v>209</v>
      </c>
      <c r="B1185" s="1">
        <v>17.0</v>
      </c>
      <c r="C1185" s="1" t="s">
        <v>2414</v>
      </c>
      <c r="D1185" s="1" t="s">
        <v>1508</v>
      </c>
      <c r="E1185" s="5">
        <v>3140.0</v>
      </c>
      <c r="F1185" s="4">
        <v>17801.645669937134</v>
      </c>
      <c r="G1185" s="1" t="s">
        <v>2739</v>
      </c>
      <c r="H1185" s="95">
        <v>45048.0</v>
      </c>
      <c r="I1185" s="95">
        <v>45059.0</v>
      </c>
      <c r="J1185" s="4">
        <v>16705.6974029541</v>
      </c>
      <c r="K1185" s="1"/>
      <c r="L1185" s="1"/>
      <c r="M1185" s="1" t="str">
        <f>VLOOKUP(B1185,Bounties!A:D,3,FALSE)</f>
        <v>Outreach</v>
      </c>
      <c r="N1185" s="1" t="str">
        <f>VLOOKUP(B1185,Bounties!A:D,4,FALSE)</f>
        <v>Events/Meetups</v>
      </c>
      <c r="O1185" s="1" t="str">
        <f t="shared" ref="O1185:P1185" si="1189">IF(ISBLANK(K1185),M1185,K1185)</f>
        <v>Outreach</v>
      </c>
      <c r="P1185" s="1" t="str">
        <f t="shared" si="1189"/>
        <v>Events/Meetups</v>
      </c>
      <c r="Q1185" s="61" t="str">
        <f t="shared" si="3"/>
        <v>2023</v>
      </c>
      <c r="R1185" s="62">
        <f t="shared" si="4"/>
        <v>5</v>
      </c>
      <c r="S1185" s="61" t="str">
        <f t="shared" si="5"/>
        <v>2023-Q2</v>
      </c>
      <c r="T1185" s="63" t="str">
        <f t="shared" si="6"/>
        <v>2023-05</v>
      </c>
      <c r="U1185" s="64" t="str">
        <f t="shared" si="7"/>
        <v>2023-H1</v>
      </c>
      <c r="V1185" s="9" t="str">
        <f>VLOOKUP(B1185,Bounties!A:E,2,FALSE)</f>
        <v>Events Bounty</v>
      </c>
    </row>
    <row r="1186" hidden="1">
      <c r="A1186" s="67">
        <f>HYPERLINK("https://polkadot.subsquare.io/treasury/child-bounties/208", 208)</f>
        <v>208</v>
      </c>
      <c r="B1186" s="1">
        <v>17.0</v>
      </c>
      <c r="C1186" s="1" t="s">
        <v>2414</v>
      </c>
      <c r="D1186" s="1" t="s">
        <v>1507</v>
      </c>
      <c r="E1186" s="5">
        <v>12000.0</v>
      </c>
      <c r="F1186" s="4">
        <v>68031.76689147949</v>
      </c>
      <c r="G1186" s="1" t="s">
        <v>2740</v>
      </c>
      <c r="H1186" s="95">
        <v>45048.0</v>
      </c>
      <c r="I1186" s="95">
        <v>45057.0</v>
      </c>
      <c r="J1186" s="4">
        <v>64252.91061401367</v>
      </c>
      <c r="K1186" s="1"/>
      <c r="L1186" s="1"/>
      <c r="M1186" s="1" t="str">
        <f>VLOOKUP(B1186,Bounties!A:D,3,FALSE)</f>
        <v>Outreach</v>
      </c>
      <c r="N1186" s="1" t="str">
        <f>VLOOKUP(B1186,Bounties!A:D,4,FALSE)</f>
        <v>Events/Meetups</v>
      </c>
      <c r="O1186" s="1" t="str">
        <f t="shared" ref="O1186:P1186" si="1190">IF(ISBLANK(K1186),M1186,K1186)</f>
        <v>Outreach</v>
      </c>
      <c r="P1186" s="1" t="str">
        <f t="shared" si="1190"/>
        <v>Events/Meetups</v>
      </c>
      <c r="Q1186" s="61" t="str">
        <f t="shared" si="3"/>
        <v>2023</v>
      </c>
      <c r="R1186" s="62">
        <f t="shared" si="4"/>
        <v>5</v>
      </c>
      <c r="S1186" s="61" t="str">
        <f t="shared" si="5"/>
        <v>2023-Q2</v>
      </c>
      <c r="T1186" s="63" t="str">
        <f t="shared" si="6"/>
        <v>2023-05</v>
      </c>
      <c r="U1186" s="64" t="str">
        <f t="shared" si="7"/>
        <v>2023-H1</v>
      </c>
      <c r="V1186" s="9" t="str">
        <f>VLOOKUP(B1186,Bounties!A:E,2,FALSE)</f>
        <v>Events Bounty</v>
      </c>
    </row>
    <row r="1187" hidden="1">
      <c r="A1187" s="67">
        <f>HYPERLINK("https://polkadot.subsquare.io/treasury/child-bounties/207", 207)</f>
        <v>207</v>
      </c>
      <c r="B1187" s="1">
        <v>17.0</v>
      </c>
      <c r="C1187" s="1" t="s">
        <v>2414</v>
      </c>
      <c r="D1187" s="1" t="s">
        <v>1506</v>
      </c>
      <c r="E1187" s="5">
        <v>9427.0</v>
      </c>
      <c r="F1187" s="4">
        <v>53444.622207164764</v>
      </c>
      <c r="G1187" s="1" t="s">
        <v>2681</v>
      </c>
      <c r="H1187" s="95">
        <v>45048.0</v>
      </c>
      <c r="I1187" s="95">
        <v>45059.0</v>
      </c>
      <c r="J1187" s="4">
        <v>49956.42650938034</v>
      </c>
      <c r="K1187" s="1"/>
      <c r="L1187" s="1" t="s">
        <v>86</v>
      </c>
      <c r="M1187" s="1" t="str">
        <f>VLOOKUP(B1187,Bounties!A:D,3,FALSE)</f>
        <v>Outreach</v>
      </c>
      <c r="N1187" s="1" t="str">
        <f>VLOOKUP(B1187,Bounties!A:D,4,FALSE)</f>
        <v>Events/Meetups</v>
      </c>
      <c r="O1187" s="1" t="str">
        <f t="shared" ref="O1187:P1187" si="1191">IF(ISBLANK(K1187),M1187,K1187)</f>
        <v>Outreach</v>
      </c>
      <c r="P1187" s="1" t="str">
        <f t="shared" si="1191"/>
        <v>Events/Conference Attendance &amp; Side Events</v>
      </c>
      <c r="Q1187" s="61" t="str">
        <f t="shared" si="3"/>
        <v>2023</v>
      </c>
      <c r="R1187" s="62">
        <f t="shared" si="4"/>
        <v>5</v>
      </c>
      <c r="S1187" s="61" t="str">
        <f t="shared" si="5"/>
        <v>2023-Q2</v>
      </c>
      <c r="T1187" s="63" t="str">
        <f t="shared" si="6"/>
        <v>2023-05</v>
      </c>
      <c r="U1187" s="64" t="str">
        <f t="shared" si="7"/>
        <v>2023-H1</v>
      </c>
      <c r="V1187" s="9" t="str">
        <f>VLOOKUP(B1187,Bounties!A:E,2,FALSE)</f>
        <v>Events Bounty</v>
      </c>
    </row>
    <row r="1188">
      <c r="A1188" s="67">
        <f>HYPERLINK("https://polkadot.subsquare.io/treasury/child-bounties/206", 206)</f>
        <v>206</v>
      </c>
      <c r="B1188" s="1">
        <v>13.0</v>
      </c>
      <c r="C1188" s="1" t="s">
        <v>2414</v>
      </c>
      <c r="D1188" s="67" t="s">
        <v>1505</v>
      </c>
      <c r="E1188" s="5">
        <v>325.0</v>
      </c>
      <c r="F1188" s="4">
        <v>1940.6319379806519</v>
      </c>
      <c r="G1188" s="1" t="s">
        <v>2741</v>
      </c>
      <c r="H1188" s="95">
        <v>45041.0</v>
      </c>
      <c r="I1188" s="95">
        <v>45066.0</v>
      </c>
      <c r="J1188" s="4">
        <v>1726.600468158722</v>
      </c>
      <c r="K1188" s="1"/>
      <c r="L1188" s="1"/>
      <c r="M1188" s="1" t="str">
        <f>VLOOKUP(B1188,Bounties!A:D,3,FALSE)</f>
        <v/>
      </c>
      <c r="N1188" s="1" t="str">
        <f>VLOOKUP(B1188,Bounties!A:D,4,FALSE)</f>
        <v/>
      </c>
      <c r="O1188" s="1" t="str">
        <f t="shared" ref="O1188:P1188" si="1192">IF(ISBLANK(K1188),M1188,K1188)</f>
        <v/>
      </c>
      <c r="P1188" s="1" t="str">
        <f t="shared" si="1192"/>
        <v/>
      </c>
      <c r="Q1188" s="61" t="str">
        <f t="shared" si="3"/>
        <v>2023</v>
      </c>
      <c r="R1188" s="62">
        <f t="shared" si="4"/>
        <v>5</v>
      </c>
      <c r="S1188" s="61" t="str">
        <f t="shared" si="5"/>
        <v>2023-Q2</v>
      </c>
      <c r="T1188" s="63" t="str">
        <f t="shared" si="6"/>
        <v>2023-05</v>
      </c>
      <c r="U1188" s="64" t="str">
        <f t="shared" si="7"/>
        <v>2023-H1</v>
      </c>
      <c r="V1188" s="9" t="str">
        <f>VLOOKUP(B1188,Bounties!A:E,2,FALSE)</f>
        <v>Security Bug Bounty for Open Runtime Module Library (ORML)</v>
      </c>
    </row>
    <row r="1189" hidden="1">
      <c r="A1189" s="67">
        <f>HYPERLINK("https://polkadot.subsquare.io/treasury/child-bounties/205", 205)</f>
        <v>205</v>
      </c>
      <c r="B1189" s="1">
        <v>17.0</v>
      </c>
      <c r="C1189" s="1" t="s">
        <v>2414</v>
      </c>
      <c r="D1189" s="1" t="s">
        <v>1504</v>
      </c>
      <c r="E1189" s="5">
        <v>3678.0</v>
      </c>
      <c r="F1189" s="4">
        <v>25459.21571445465</v>
      </c>
      <c r="G1189" s="1" t="s">
        <v>2681</v>
      </c>
      <c r="H1189" s="95">
        <v>45032.0</v>
      </c>
      <c r="I1189" s="95">
        <v>45040.0</v>
      </c>
      <c r="J1189" s="4">
        <v>21961.982362747192</v>
      </c>
      <c r="K1189" s="1"/>
      <c r="L1189" s="1" t="s">
        <v>86</v>
      </c>
      <c r="M1189" s="1" t="str">
        <f>VLOOKUP(B1189,Bounties!A:D,3,FALSE)</f>
        <v>Outreach</v>
      </c>
      <c r="N1189" s="1" t="str">
        <f>VLOOKUP(B1189,Bounties!A:D,4,FALSE)</f>
        <v>Events/Meetups</v>
      </c>
      <c r="O1189" s="1" t="str">
        <f t="shared" ref="O1189:P1189" si="1193">IF(ISBLANK(K1189),M1189,K1189)</f>
        <v>Outreach</v>
      </c>
      <c r="P1189" s="1" t="str">
        <f t="shared" si="1193"/>
        <v>Events/Conference Attendance &amp; Side Events</v>
      </c>
      <c r="Q1189" s="61" t="str">
        <f t="shared" si="3"/>
        <v>2023</v>
      </c>
      <c r="R1189" s="62">
        <f t="shared" si="4"/>
        <v>4</v>
      </c>
      <c r="S1189" s="61" t="str">
        <f t="shared" si="5"/>
        <v>2023-Q2</v>
      </c>
      <c r="T1189" s="63" t="str">
        <f t="shared" si="6"/>
        <v>2023-04</v>
      </c>
      <c r="U1189" s="64" t="str">
        <f t="shared" si="7"/>
        <v>2023-H1</v>
      </c>
      <c r="V1189" s="9" t="str">
        <f>VLOOKUP(B1189,Bounties!A:E,2,FALSE)</f>
        <v>Events Bounty</v>
      </c>
    </row>
    <row r="1190" hidden="1">
      <c r="A1190" s="67">
        <f>HYPERLINK("https://polkadot.subsquare.io/treasury/child-bounties/204", 204)</f>
        <v>204</v>
      </c>
      <c r="B1190" s="1">
        <v>17.0</v>
      </c>
      <c r="C1190" s="1" t="s">
        <v>2414</v>
      </c>
      <c r="D1190" s="1" t="s">
        <v>1503</v>
      </c>
      <c r="E1190" s="5">
        <v>12583.0</v>
      </c>
      <c r="F1190" s="4">
        <v>87099.86713838577</v>
      </c>
      <c r="G1190" s="1" t="s">
        <v>2681</v>
      </c>
      <c r="H1190" s="95">
        <v>45032.0</v>
      </c>
      <c r="I1190" s="95">
        <v>45040.0</v>
      </c>
      <c r="J1190" s="4">
        <v>75135.29746341705</v>
      </c>
      <c r="K1190" s="1"/>
      <c r="L1190" s="1" t="s">
        <v>86</v>
      </c>
      <c r="M1190" s="1" t="str">
        <f>VLOOKUP(B1190,Bounties!A:D,3,FALSE)</f>
        <v>Outreach</v>
      </c>
      <c r="N1190" s="1" t="str">
        <f>VLOOKUP(B1190,Bounties!A:D,4,FALSE)</f>
        <v>Events/Meetups</v>
      </c>
      <c r="O1190" s="1" t="str">
        <f t="shared" ref="O1190:P1190" si="1194">IF(ISBLANK(K1190),M1190,K1190)</f>
        <v>Outreach</v>
      </c>
      <c r="P1190" s="1" t="str">
        <f t="shared" si="1194"/>
        <v>Events/Conference Attendance &amp; Side Events</v>
      </c>
      <c r="Q1190" s="61" t="str">
        <f t="shared" si="3"/>
        <v>2023</v>
      </c>
      <c r="R1190" s="62">
        <f t="shared" si="4"/>
        <v>4</v>
      </c>
      <c r="S1190" s="61" t="str">
        <f t="shared" si="5"/>
        <v>2023-Q2</v>
      </c>
      <c r="T1190" s="63" t="str">
        <f t="shared" si="6"/>
        <v>2023-04</v>
      </c>
      <c r="U1190" s="64" t="str">
        <f t="shared" si="7"/>
        <v>2023-H1</v>
      </c>
      <c r="V1190" s="9" t="str">
        <f>VLOOKUP(B1190,Bounties!A:E,2,FALSE)</f>
        <v>Events Bounty</v>
      </c>
    </row>
    <row r="1191" hidden="1">
      <c r="A1191" s="67">
        <f>HYPERLINK("https://polkadot.subsquare.io/treasury/child-bounties/203", 203)</f>
        <v>203</v>
      </c>
      <c r="B1191" s="1">
        <v>17.0</v>
      </c>
      <c r="C1191" s="1" t="s">
        <v>2414</v>
      </c>
      <c r="D1191" s="1" t="s">
        <v>1502</v>
      </c>
      <c r="E1191" s="5">
        <v>783.2</v>
      </c>
      <c r="F1191" s="4">
        <v>5243.9491306304935</v>
      </c>
      <c r="G1191" s="1" t="s">
        <v>2742</v>
      </c>
      <c r="H1191" s="95">
        <v>45030.0</v>
      </c>
      <c r="I1191" s="95">
        <v>45045.0</v>
      </c>
      <c r="J1191" s="4">
        <v>4439.117272949219</v>
      </c>
      <c r="K1191" s="1"/>
      <c r="L1191" s="1"/>
      <c r="M1191" s="1" t="str">
        <f>VLOOKUP(B1191,Bounties!A:D,3,FALSE)</f>
        <v>Outreach</v>
      </c>
      <c r="N1191" s="1" t="str">
        <f>VLOOKUP(B1191,Bounties!A:D,4,FALSE)</f>
        <v>Events/Meetups</v>
      </c>
      <c r="O1191" s="1" t="str">
        <f t="shared" ref="O1191:P1191" si="1195">IF(ISBLANK(K1191),M1191,K1191)</f>
        <v>Outreach</v>
      </c>
      <c r="P1191" s="1" t="str">
        <f t="shared" si="1195"/>
        <v>Events/Meetups</v>
      </c>
      <c r="Q1191" s="61" t="str">
        <f t="shared" si="3"/>
        <v>2023</v>
      </c>
      <c r="R1191" s="62">
        <f t="shared" si="4"/>
        <v>4</v>
      </c>
      <c r="S1191" s="61" t="str">
        <f t="shared" si="5"/>
        <v>2023-Q2</v>
      </c>
      <c r="T1191" s="63" t="str">
        <f t="shared" si="6"/>
        <v>2023-04</v>
      </c>
      <c r="U1191" s="64" t="str">
        <f t="shared" si="7"/>
        <v>2023-H1</v>
      </c>
      <c r="V1191" s="9" t="str">
        <f>VLOOKUP(B1191,Bounties!A:E,2,FALSE)</f>
        <v>Events Bounty</v>
      </c>
    </row>
    <row r="1192" hidden="1">
      <c r="A1192" s="67">
        <f>HYPERLINK("https://polkadot.subsquare.io/treasury/child-bounties/202", 202)</f>
        <v>202</v>
      </c>
      <c r="B1192" s="1">
        <v>17.0</v>
      </c>
      <c r="C1192" s="1" t="s">
        <v>2414</v>
      </c>
      <c r="D1192" s="1" t="s">
        <v>1501</v>
      </c>
      <c r="E1192" s="5">
        <v>1736.1</v>
      </c>
      <c r="F1192" s="4">
        <v>11624.131876516341</v>
      </c>
      <c r="G1192" s="1" t="s">
        <v>2743</v>
      </c>
      <c r="H1192" s="95">
        <v>45030.0</v>
      </c>
      <c r="I1192" s="95">
        <v>45042.0</v>
      </c>
      <c r="J1192" s="4">
        <v>10327.355861091613</v>
      </c>
      <c r="K1192" s="1"/>
      <c r="L1192" s="1"/>
      <c r="M1192" s="1" t="str">
        <f>VLOOKUP(B1192,Bounties!A:D,3,FALSE)</f>
        <v>Outreach</v>
      </c>
      <c r="N1192" s="1" t="str">
        <f>VLOOKUP(B1192,Bounties!A:D,4,FALSE)</f>
        <v>Events/Meetups</v>
      </c>
      <c r="O1192" s="1" t="str">
        <f t="shared" ref="O1192:P1192" si="1196">IF(ISBLANK(K1192),M1192,K1192)</f>
        <v>Outreach</v>
      </c>
      <c r="P1192" s="1" t="str">
        <f t="shared" si="1196"/>
        <v>Events/Meetups</v>
      </c>
      <c r="Q1192" s="61" t="str">
        <f t="shared" si="3"/>
        <v>2023</v>
      </c>
      <c r="R1192" s="62">
        <f t="shared" si="4"/>
        <v>4</v>
      </c>
      <c r="S1192" s="61" t="str">
        <f t="shared" si="5"/>
        <v>2023-Q2</v>
      </c>
      <c r="T1192" s="63" t="str">
        <f t="shared" si="6"/>
        <v>2023-04</v>
      </c>
      <c r="U1192" s="64" t="str">
        <f t="shared" si="7"/>
        <v>2023-H1</v>
      </c>
      <c r="V1192" s="9" t="str">
        <f>VLOOKUP(B1192,Bounties!A:E,2,FALSE)</f>
        <v>Events Bounty</v>
      </c>
    </row>
    <row r="1193" hidden="1">
      <c r="A1193" s="67">
        <f>HYPERLINK("https://polkadot.subsquare.io/treasury/child-bounties/201", 201)</f>
        <v>201</v>
      </c>
      <c r="B1193" s="1">
        <v>17.0</v>
      </c>
      <c r="C1193" s="1" t="s">
        <v>2414</v>
      </c>
      <c r="D1193" s="1" t="s">
        <v>1500</v>
      </c>
      <c r="E1193" s="5">
        <v>890.0</v>
      </c>
      <c r="F1193" s="4">
        <v>5959.033102989197</v>
      </c>
      <c r="G1193" s="1" t="s">
        <v>2744</v>
      </c>
      <c r="H1193" s="95">
        <v>45030.0</v>
      </c>
      <c r="I1193" s="95">
        <v>45249.0</v>
      </c>
      <c r="J1193" s="4">
        <v>4603.849773406982</v>
      </c>
      <c r="K1193" s="1"/>
      <c r="L1193" s="1" t="s">
        <v>86</v>
      </c>
      <c r="M1193" s="1" t="str">
        <f>VLOOKUP(B1193,Bounties!A:D,3,FALSE)</f>
        <v>Outreach</v>
      </c>
      <c r="N1193" s="1" t="str">
        <f>VLOOKUP(B1193,Bounties!A:D,4,FALSE)</f>
        <v>Events/Meetups</v>
      </c>
      <c r="O1193" s="1" t="str">
        <f t="shared" ref="O1193:P1193" si="1197">IF(ISBLANK(K1193),M1193,K1193)</f>
        <v>Outreach</v>
      </c>
      <c r="P1193" s="1" t="str">
        <f t="shared" si="1197"/>
        <v>Events/Conference Attendance &amp; Side Events</v>
      </c>
      <c r="Q1193" s="61" t="str">
        <f t="shared" si="3"/>
        <v>2023</v>
      </c>
      <c r="R1193" s="62">
        <f t="shared" si="4"/>
        <v>11</v>
      </c>
      <c r="S1193" s="61" t="str">
        <f t="shared" si="5"/>
        <v>2023-Q4</v>
      </c>
      <c r="T1193" s="63" t="str">
        <f t="shared" si="6"/>
        <v>2023-11</v>
      </c>
      <c r="U1193" s="64" t="str">
        <f t="shared" si="7"/>
        <v>2023-H2</v>
      </c>
      <c r="V1193" s="9" t="str">
        <f>VLOOKUP(B1193,Bounties!A:E,2,FALSE)</f>
        <v>Events Bounty</v>
      </c>
    </row>
    <row r="1194" hidden="1">
      <c r="A1194" s="67">
        <f>HYPERLINK("https://polkadot.subsquare.io/treasury/child-bounties/200", 200)</f>
        <v>200</v>
      </c>
      <c r="B1194" s="1">
        <v>11.0</v>
      </c>
      <c r="C1194" s="1" t="s">
        <v>2414</v>
      </c>
      <c r="D1194" s="1" t="s">
        <v>1499</v>
      </c>
      <c r="E1194" s="5">
        <v>102.4751694781</v>
      </c>
      <c r="F1194" s="4">
        <v>697.5385268061257</v>
      </c>
      <c r="G1194" s="1" t="s">
        <v>2524</v>
      </c>
      <c r="H1194" s="95">
        <v>45028.0</v>
      </c>
      <c r="I1194" s="95">
        <v>45038.0</v>
      </c>
      <c r="J1194" s="4">
        <v>614.9797245618932</v>
      </c>
      <c r="K1194" s="1"/>
      <c r="L1194" s="1"/>
      <c r="M1194" s="1" t="str">
        <f>VLOOKUP(B1194,Bounties!A:D,3,FALSE)</f>
        <v>Research</v>
      </c>
      <c r="N1194" s="1" t="str">
        <f>VLOOKUP(B1194,Bounties!A:D,4,FALSE)</f>
        <v>Anti-Scam</v>
      </c>
      <c r="O1194" s="1" t="str">
        <f t="shared" ref="O1194:P1194" si="1198">IF(ISBLANK(K1194),M1194,K1194)</f>
        <v>Research</v>
      </c>
      <c r="P1194" s="1" t="str">
        <f t="shared" si="1198"/>
        <v>Anti-Scam</v>
      </c>
      <c r="Q1194" s="61" t="str">
        <f t="shared" si="3"/>
        <v>2023</v>
      </c>
      <c r="R1194" s="62">
        <f t="shared" si="4"/>
        <v>4</v>
      </c>
      <c r="S1194" s="61" t="str">
        <f t="shared" si="5"/>
        <v>2023-Q2</v>
      </c>
      <c r="T1194" s="63" t="str">
        <f t="shared" si="6"/>
        <v>2023-04</v>
      </c>
      <c r="U1194" s="64" t="str">
        <f t="shared" si="7"/>
        <v>2023-H1</v>
      </c>
      <c r="V1194" s="9" t="str">
        <f>VLOOKUP(B1194,Bounties!A:E,2,FALSE)</f>
        <v>Anti-Scam Bounty</v>
      </c>
    </row>
    <row r="1195" hidden="1">
      <c r="A1195" s="67">
        <f>HYPERLINK("https://polkadot.subsquare.io/treasury/child-bounties/199", 199)</f>
        <v>199</v>
      </c>
      <c r="B1195" s="1">
        <v>11.0</v>
      </c>
      <c r="C1195" s="1" t="s">
        <v>2414</v>
      </c>
      <c r="D1195" s="1" t="s">
        <v>1498</v>
      </c>
      <c r="E1195" s="5">
        <v>63.43165239</v>
      </c>
      <c r="F1195" s="4">
        <v>394.30479754022207</v>
      </c>
      <c r="G1195" s="1" t="s">
        <v>2437</v>
      </c>
      <c r="H1195" s="95">
        <v>45022.0</v>
      </c>
      <c r="I1195" s="95">
        <v>45031.0</v>
      </c>
      <c r="J1195" s="4">
        <v>424.70934423518406</v>
      </c>
      <c r="K1195" s="1"/>
      <c r="L1195" s="1"/>
      <c r="M1195" s="1" t="str">
        <f>VLOOKUP(B1195,Bounties!A:D,3,FALSE)</f>
        <v>Research</v>
      </c>
      <c r="N1195" s="1" t="str">
        <f>VLOOKUP(B1195,Bounties!A:D,4,FALSE)</f>
        <v>Anti-Scam</v>
      </c>
      <c r="O1195" s="1" t="str">
        <f t="shared" ref="O1195:P1195" si="1199">IF(ISBLANK(K1195),M1195,K1195)</f>
        <v>Research</v>
      </c>
      <c r="P1195" s="1" t="str">
        <f t="shared" si="1199"/>
        <v>Anti-Scam</v>
      </c>
      <c r="Q1195" s="61" t="str">
        <f t="shared" si="3"/>
        <v>2023</v>
      </c>
      <c r="R1195" s="62">
        <f t="shared" si="4"/>
        <v>4</v>
      </c>
      <c r="S1195" s="61" t="str">
        <f t="shared" si="5"/>
        <v>2023-Q2</v>
      </c>
      <c r="T1195" s="63" t="str">
        <f t="shared" si="6"/>
        <v>2023-04</v>
      </c>
      <c r="U1195" s="64" t="str">
        <f t="shared" si="7"/>
        <v>2023-H1</v>
      </c>
      <c r="V1195" s="9" t="str">
        <f>VLOOKUP(B1195,Bounties!A:E,2,FALSE)</f>
        <v>Anti-Scam Bounty</v>
      </c>
    </row>
    <row r="1196" hidden="1">
      <c r="A1196" s="67">
        <f>HYPERLINK("https://polkadot.subsquare.io/treasury/child-bounties/198", 198)</f>
        <v>198</v>
      </c>
      <c r="B1196" s="1">
        <v>11.0</v>
      </c>
      <c r="C1196" s="1" t="s">
        <v>2414</v>
      </c>
      <c r="D1196" s="1" t="s">
        <v>1497</v>
      </c>
      <c r="E1196" s="5">
        <v>63.43165239</v>
      </c>
      <c r="F1196" s="4">
        <v>394.30479754022207</v>
      </c>
      <c r="G1196" s="1" t="s">
        <v>2463</v>
      </c>
      <c r="H1196" s="95">
        <v>45022.0</v>
      </c>
      <c r="I1196" s="95">
        <v>45043.0</v>
      </c>
      <c r="J1196" s="4">
        <v>383.1406377390198</v>
      </c>
      <c r="K1196" s="1"/>
      <c r="L1196" s="1"/>
      <c r="M1196" s="1" t="str">
        <f>VLOOKUP(B1196,Bounties!A:D,3,FALSE)</f>
        <v>Research</v>
      </c>
      <c r="N1196" s="1" t="str">
        <f>VLOOKUP(B1196,Bounties!A:D,4,FALSE)</f>
        <v>Anti-Scam</v>
      </c>
      <c r="O1196" s="1" t="str">
        <f t="shared" ref="O1196:P1196" si="1200">IF(ISBLANK(K1196),M1196,K1196)</f>
        <v>Research</v>
      </c>
      <c r="P1196" s="1" t="str">
        <f t="shared" si="1200"/>
        <v>Anti-Scam</v>
      </c>
      <c r="Q1196" s="61" t="str">
        <f t="shared" si="3"/>
        <v>2023</v>
      </c>
      <c r="R1196" s="62">
        <f t="shared" si="4"/>
        <v>4</v>
      </c>
      <c r="S1196" s="61" t="str">
        <f t="shared" si="5"/>
        <v>2023-Q2</v>
      </c>
      <c r="T1196" s="63" t="str">
        <f t="shared" si="6"/>
        <v>2023-04</v>
      </c>
      <c r="U1196" s="64" t="str">
        <f t="shared" si="7"/>
        <v>2023-H1</v>
      </c>
      <c r="V1196" s="9" t="str">
        <f>VLOOKUP(B1196,Bounties!A:E,2,FALSE)</f>
        <v>Anti-Scam Bounty</v>
      </c>
    </row>
    <row r="1197" hidden="1">
      <c r="A1197" s="67">
        <f>HYPERLINK("https://polkadot.subsquare.io/treasury/child-bounties/197", 197)</f>
        <v>197</v>
      </c>
      <c r="B1197" s="1">
        <v>11.0</v>
      </c>
      <c r="C1197" s="1" t="s">
        <v>2414</v>
      </c>
      <c r="D1197" s="1" t="s">
        <v>1496</v>
      </c>
      <c r="E1197" s="5">
        <v>63.43165239</v>
      </c>
      <c r="F1197" s="4">
        <v>394.30479754022207</v>
      </c>
      <c r="G1197" s="1" t="s">
        <v>2438</v>
      </c>
      <c r="H1197" s="95">
        <v>45022.0</v>
      </c>
      <c r="I1197" s="95">
        <v>45032.0</v>
      </c>
      <c r="J1197" s="4">
        <v>400.8830330631331</v>
      </c>
      <c r="K1197" s="1"/>
      <c r="L1197" s="1"/>
      <c r="M1197" s="1" t="str">
        <f>VLOOKUP(B1197,Bounties!A:D,3,FALSE)</f>
        <v>Research</v>
      </c>
      <c r="N1197" s="1" t="str">
        <f>VLOOKUP(B1197,Bounties!A:D,4,FALSE)</f>
        <v>Anti-Scam</v>
      </c>
      <c r="O1197" s="1" t="str">
        <f t="shared" ref="O1197:P1197" si="1201">IF(ISBLANK(K1197),M1197,K1197)</f>
        <v>Research</v>
      </c>
      <c r="P1197" s="1" t="str">
        <f t="shared" si="1201"/>
        <v>Anti-Scam</v>
      </c>
      <c r="Q1197" s="61" t="str">
        <f t="shared" si="3"/>
        <v>2023</v>
      </c>
      <c r="R1197" s="62">
        <f t="shared" si="4"/>
        <v>4</v>
      </c>
      <c r="S1197" s="61" t="str">
        <f t="shared" si="5"/>
        <v>2023-Q2</v>
      </c>
      <c r="T1197" s="63" t="str">
        <f t="shared" si="6"/>
        <v>2023-04</v>
      </c>
      <c r="U1197" s="64" t="str">
        <f t="shared" si="7"/>
        <v>2023-H1</v>
      </c>
      <c r="V1197" s="9" t="str">
        <f>VLOOKUP(B1197,Bounties!A:E,2,FALSE)</f>
        <v>Anti-Scam Bounty</v>
      </c>
    </row>
    <row r="1198" hidden="1">
      <c r="A1198" s="67">
        <f>HYPERLINK("https://polkadot.subsquare.io/treasury/child-bounties/196", 196)</f>
        <v>196</v>
      </c>
      <c r="B1198" s="1">
        <v>11.0</v>
      </c>
      <c r="C1198" s="1" t="s">
        <v>2414</v>
      </c>
      <c r="D1198" s="1" t="s">
        <v>1495</v>
      </c>
      <c r="E1198" s="5">
        <v>272.7561052964</v>
      </c>
      <c r="F1198" s="4">
        <v>1673.6196692760732</v>
      </c>
      <c r="G1198" s="1" t="s">
        <v>2524</v>
      </c>
      <c r="H1198" s="95">
        <v>45022.0</v>
      </c>
      <c r="I1198" s="95">
        <v>45031.0</v>
      </c>
      <c r="J1198" s="4">
        <v>1826.250180341185</v>
      </c>
      <c r="K1198" s="1"/>
      <c r="L1198" s="1"/>
      <c r="M1198" s="1" t="str">
        <f>VLOOKUP(B1198,Bounties!A:D,3,FALSE)</f>
        <v>Research</v>
      </c>
      <c r="N1198" s="1" t="str">
        <f>VLOOKUP(B1198,Bounties!A:D,4,FALSE)</f>
        <v>Anti-Scam</v>
      </c>
      <c r="O1198" s="1" t="str">
        <f t="shared" ref="O1198:P1198" si="1202">IF(ISBLANK(K1198),M1198,K1198)</f>
        <v>Research</v>
      </c>
      <c r="P1198" s="1" t="str">
        <f t="shared" si="1202"/>
        <v>Anti-Scam</v>
      </c>
      <c r="Q1198" s="61" t="str">
        <f t="shared" si="3"/>
        <v>2023</v>
      </c>
      <c r="R1198" s="62">
        <f t="shared" si="4"/>
        <v>4</v>
      </c>
      <c r="S1198" s="61" t="str">
        <f t="shared" si="5"/>
        <v>2023-Q2</v>
      </c>
      <c r="T1198" s="63" t="str">
        <f t="shared" si="6"/>
        <v>2023-04</v>
      </c>
      <c r="U1198" s="64" t="str">
        <f t="shared" si="7"/>
        <v>2023-H1</v>
      </c>
      <c r="V1198" s="9" t="str">
        <f>VLOOKUP(B1198,Bounties!A:E,2,FALSE)</f>
        <v>Anti-Scam Bounty</v>
      </c>
    </row>
    <row r="1199" hidden="1">
      <c r="A1199" s="67">
        <f>HYPERLINK("https://polkadot.subsquare.io/treasury/child-bounties/195", 195)</f>
        <v>195</v>
      </c>
      <c r="B1199" s="1">
        <v>11.0</v>
      </c>
      <c r="C1199" s="1" t="s">
        <v>2414</v>
      </c>
      <c r="D1199" s="1" t="s">
        <v>1494</v>
      </c>
      <c r="E1199" s="5">
        <v>85.6327307325</v>
      </c>
      <c r="F1199" s="4">
        <v>525.4387333768152</v>
      </c>
      <c r="G1199" s="1" t="s">
        <v>2437</v>
      </c>
      <c r="H1199" s="95">
        <v>45022.0</v>
      </c>
      <c r="I1199" s="95">
        <v>45031.0</v>
      </c>
      <c r="J1199" s="4">
        <v>573.3576147576716</v>
      </c>
      <c r="K1199" s="1"/>
      <c r="L1199" s="1"/>
      <c r="M1199" s="1" t="str">
        <f>VLOOKUP(B1199,Bounties!A:D,3,FALSE)</f>
        <v>Research</v>
      </c>
      <c r="N1199" s="1" t="str">
        <f>VLOOKUP(B1199,Bounties!A:D,4,FALSE)</f>
        <v>Anti-Scam</v>
      </c>
      <c r="O1199" s="1" t="str">
        <f t="shared" ref="O1199:P1199" si="1203">IF(ISBLANK(K1199),M1199,K1199)</f>
        <v>Research</v>
      </c>
      <c r="P1199" s="1" t="str">
        <f t="shared" si="1203"/>
        <v>Anti-Scam</v>
      </c>
      <c r="Q1199" s="61" t="str">
        <f t="shared" si="3"/>
        <v>2023</v>
      </c>
      <c r="R1199" s="62">
        <f t="shared" si="4"/>
        <v>4</v>
      </c>
      <c r="S1199" s="61" t="str">
        <f t="shared" si="5"/>
        <v>2023-Q2</v>
      </c>
      <c r="T1199" s="63" t="str">
        <f t="shared" si="6"/>
        <v>2023-04</v>
      </c>
      <c r="U1199" s="64" t="str">
        <f t="shared" si="7"/>
        <v>2023-H1</v>
      </c>
      <c r="V1199" s="9" t="str">
        <f>VLOOKUP(B1199,Bounties!A:E,2,FALSE)</f>
        <v>Anti-Scam Bounty</v>
      </c>
    </row>
    <row r="1200" hidden="1">
      <c r="A1200" s="67">
        <f>HYPERLINK("https://polkadot.subsquare.io/treasury/child-bounties/194", 194)</f>
        <v>194</v>
      </c>
      <c r="B1200" s="1">
        <v>11.0</v>
      </c>
      <c r="C1200" s="1" t="s">
        <v>2414</v>
      </c>
      <c r="D1200" s="1" t="s">
        <v>1493</v>
      </c>
      <c r="E1200" s="5">
        <v>209.3244529019</v>
      </c>
      <c r="F1200" s="4">
        <v>1284.4057927003134</v>
      </c>
      <c r="G1200" s="1" t="s">
        <v>2533</v>
      </c>
      <c r="H1200" s="95">
        <v>45022.0</v>
      </c>
      <c r="I1200" s="95">
        <v>45031.0</v>
      </c>
      <c r="J1200" s="4">
        <v>1448.9495379933865</v>
      </c>
      <c r="K1200" s="1"/>
      <c r="L1200" s="1"/>
      <c r="M1200" s="1" t="str">
        <f>VLOOKUP(B1200,Bounties!A:D,3,FALSE)</f>
        <v>Research</v>
      </c>
      <c r="N1200" s="1" t="str">
        <f>VLOOKUP(B1200,Bounties!A:D,4,FALSE)</f>
        <v>Anti-Scam</v>
      </c>
      <c r="O1200" s="1" t="str">
        <f t="shared" ref="O1200:P1200" si="1204">IF(ISBLANK(K1200),M1200,K1200)</f>
        <v>Research</v>
      </c>
      <c r="P1200" s="1" t="str">
        <f t="shared" si="1204"/>
        <v>Anti-Scam</v>
      </c>
      <c r="Q1200" s="61" t="str">
        <f t="shared" si="3"/>
        <v>2023</v>
      </c>
      <c r="R1200" s="62">
        <f t="shared" si="4"/>
        <v>4</v>
      </c>
      <c r="S1200" s="61" t="str">
        <f t="shared" si="5"/>
        <v>2023-Q2</v>
      </c>
      <c r="T1200" s="63" t="str">
        <f t="shared" si="6"/>
        <v>2023-04</v>
      </c>
      <c r="U1200" s="64" t="str">
        <f t="shared" si="7"/>
        <v>2023-H1</v>
      </c>
      <c r="V1200" s="9" t="str">
        <f>VLOOKUP(B1200,Bounties!A:E,2,FALSE)</f>
        <v>Anti-Scam Bounty</v>
      </c>
    </row>
    <row r="1201" hidden="1">
      <c r="A1201" s="67">
        <f>HYPERLINK("https://polkadot.subsquare.io/treasury/child-bounties/193", 193)</f>
        <v>193</v>
      </c>
      <c r="B1201" s="1">
        <v>11.0</v>
      </c>
      <c r="C1201" s="1" t="s">
        <v>2414</v>
      </c>
      <c r="D1201" s="1" t="s">
        <v>1492</v>
      </c>
      <c r="E1201" s="5">
        <v>228.3539486202</v>
      </c>
      <c r="F1201" s="4">
        <v>1401.1699556727344</v>
      </c>
      <c r="G1201" s="1" t="s">
        <v>2531</v>
      </c>
      <c r="H1201" s="95">
        <v>45022.0</v>
      </c>
      <c r="I1201" s="95">
        <v>45031.0</v>
      </c>
      <c r="J1201" s="4">
        <v>1528.9536393551302</v>
      </c>
      <c r="K1201" s="1"/>
      <c r="L1201" s="1"/>
      <c r="M1201" s="1" t="str">
        <f>VLOOKUP(B1201,Bounties!A:D,3,FALSE)</f>
        <v>Research</v>
      </c>
      <c r="N1201" s="1" t="str">
        <f>VLOOKUP(B1201,Bounties!A:D,4,FALSE)</f>
        <v>Anti-Scam</v>
      </c>
      <c r="O1201" s="1" t="str">
        <f t="shared" ref="O1201:P1201" si="1205">IF(ISBLANK(K1201),M1201,K1201)</f>
        <v>Research</v>
      </c>
      <c r="P1201" s="1" t="str">
        <f t="shared" si="1205"/>
        <v>Anti-Scam</v>
      </c>
      <c r="Q1201" s="61" t="str">
        <f t="shared" si="3"/>
        <v>2023</v>
      </c>
      <c r="R1201" s="62">
        <f t="shared" si="4"/>
        <v>4</v>
      </c>
      <c r="S1201" s="61" t="str">
        <f t="shared" si="5"/>
        <v>2023-Q2</v>
      </c>
      <c r="T1201" s="63" t="str">
        <f t="shared" si="6"/>
        <v>2023-04</v>
      </c>
      <c r="U1201" s="64" t="str">
        <f t="shared" si="7"/>
        <v>2023-H1</v>
      </c>
      <c r="V1201" s="9" t="str">
        <f>VLOOKUP(B1201,Bounties!A:E,2,FALSE)</f>
        <v>Anti-Scam Bounty</v>
      </c>
    </row>
    <row r="1202" hidden="1">
      <c r="A1202" s="67">
        <f>HYPERLINK("https://polkadot.subsquare.io/treasury/child-bounties/192", 192)</f>
        <v>192</v>
      </c>
      <c r="B1202" s="1">
        <v>11.0</v>
      </c>
      <c r="C1202" s="1" t="s">
        <v>2414</v>
      </c>
      <c r="D1202" s="1" t="s">
        <v>1491</v>
      </c>
      <c r="E1202" s="5">
        <v>352.0456707896</v>
      </c>
      <c r="F1202" s="4">
        <v>2160.137014996233</v>
      </c>
      <c r="G1202" s="1" t="s">
        <v>2535</v>
      </c>
      <c r="H1202" s="95">
        <v>45022.0</v>
      </c>
      <c r="I1202" s="95">
        <v>45031.0</v>
      </c>
      <c r="J1202" s="4">
        <v>2357.13686067333</v>
      </c>
      <c r="K1202" s="1"/>
      <c r="L1202" s="1"/>
      <c r="M1202" s="1" t="str">
        <f>VLOOKUP(B1202,Bounties!A:D,3,FALSE)</f>
        <v>Research</v>
      </c>
      <c r="N1202" s="1" t="str">
        <f>VLOOKUP(B1202,Bounties!A:D,4,FALSE)</f>
        <v>Anti-Scam</v>
      </c>
      <c r="O1202" s="1" t="str">
        <f t="shared" ref="O1202:P1202" si="1206">IF(ISBLANK(K1202),M1202,K1202)</f>
        <v>Research</v>
      </c>
      <c r="P1202" s="1" t="str">
        <f t="shared" si="1206"/>
        <v>Anti-Scam</v>
      </c>
      <c r="Q1202" s="61" t="str">
        <f t="shared" si="3"/>
        <v>2023</v>
      </c>
      <c r="R1202" s="62">
        <f t="shared" si="4"/>
        <v>4</v>
      </c>
      <c r="S1202" s="61" t="str">
        <f t="shared" si="5"/>
        <v>2023-Q2</v>
      </c>
      <c r="T1202" s="63" t="str">
        <f t="shared" si="6"/>
        <v>2023-04</v>
      </c>
      <c r="U1202" s="64" t="str">
        <f t="shared" si="7"/>
        <v>2023-H1</v>
      </c>
      <c r="V1202" s="9" t="str">
        <f>VLOOKUP(B1202,Bounties!A:E,2,FALSE)</f>
        <v>Anti-Scam Bounty</v>
      </c>
    </row>
    <row r="1203" hidden="1">
      <c r="A1203" s="67">
        <f>HYPERLINK("https://polkadot.subsquare.io/treasury/child-bounties/191", 191)</f>
        <v>191</v>
      </c>
      <c r="B1203" s="1">
        <v>11.0</v>
      </c>
      <c r="C1203" s="1" t="s">
        <v>2414</v>
      </c>
      <c r="D1203" s="1" t="s">
        <v>1490</v>
      </c>
      <c r="E1203" s="5">
        <v>78.8767944471</v>
      </c>
      <c r="F1203" s="4">
        <v>487.8356302927649</v>
      </c>
      <c r="G1203" s="1" t="s">
        <v>2526</v>
      </c>
      <c r="H1203" s="95">
        <v>45020.0</v>
      </c>
      <c r="I1203" s="95">
        <v>45033.0</v>
      </c>
      <c r="J1203" s="4">
        <v>498.4951109556101</v>
      </c>
      <c r="K1203" s="1"/>
      <c r="L1203" s="1"/>
      <c r="M1203" s="1" t="str">
        <f>VLOOKUP(B1203,Bounties!A:D,3,FALSE)</f>
        <v>Research</v>
      </c>
      <c r="N1203" s="1" t="str">
        <f>VLOOKUP(B1203,Bounties!A:D,4,FALSE)</f>
        <v>Anti-Scam</v>
      </c>
      <c r="O1203" s="1" t="str">
        <f t="shared" ref="O1203:P1203" si="1207">IF(ISBLANK(K1203),M1203,K1203)</f>
        <v>Research</v>
      </c>
      <c r="P1203" s="1" t="str">
        <f t="shared" si="1207"/>
        <v>Anti-Scam</v>
      </c>
      <c r="Q1203" s="61" t="str">
        <f t="shared" si="3"/>
        <v>2023</v>
      </c>
      <c r="R1203" s="62">
        <f t="shared" si="4"/>
        <v>4</v>
      </c>
      <c r="S1203" s="61" t="str">
        <f t="shared" si="5"/>
        <v>2023-Q2</v>
      </c>
      <c r="T1203" s="63" t="str">
        <f t="shared" si="6"/>
        <v>2023-04</v>
      </c>
      <c r="U1203" s="64" t="str">
        <f t="shared" si="7"/>
        <v>2023-H1</v>
      </c>
      <c r="V1203" s="9" t="str">
        <f>VLOOKUP(B1203,Bounties!A:E,2,FALSE)</f>
        <v>Anti-Scam Bounty</v>
      </c>
    </row>
    <row r="1204" hidden="1">
      <c r="A1204" s="67">
        <f>HYPERLINK("https://polkadot.subsquare.io/treasury/child-bounties/190", 190)</f>
        <v>190</v>
      </c>
      <c r="B1204" s="1">
        <v>17.0</v>
      </c>
      <c r="C1204" s="1" t="s">
        <v>2414</v>
      </c>
      <c r="D1204" s="1" t="s">
        <v>1489</v>
      </c>
      <c r="E1204" s="5">
        <v>218.0</v>
      </c>
      <c r="F1204" s="4">
        <v>1348.2820663452148</v>
      </c>
      <c r="G1204" s="1" t="s">
        <v>2733</v>
      </c>
      <c r="H1204" s="95">
        <v>45020.0</v>
      </c>
      <c r="I1204" s="95">
        <v>45088.0</v>
      </c>
      <c r="J1204" s="4">
        <v>996.2272930145264</v>
      </c>
      <c r="K1204" s="1"/>
      <c r="L1204" s="1" t="s">
        <v>86</v>
      </c>
      <c r="M1204" s="1" t="str">
        <f>VLOOKUP(B1204,Bounties!A:D,3,FALSE)</f>
        <v>Outreach</v>
      </c>
      <c r="N1204" s="1" t="str">
        <f>VLOOKUP(B1204,Bounties!A:D,4,FALSE)</f>
        <v>Events/Meetups</v>
      </c>
      <c r="O1204" s="1" t="str">
        <f t="shared" ref="O1204:P1204" si="1208">IF(ISBLANK(K1204),M1204,K1204)</f>
        <v>Outreach</v>
      </c>
      <c r="P1204" s="1" t="str">
        <f t="shared" si="1208"/>
        <v>Events/Conference Attendance &amp; Side Events</v>
      </c>
      <c r="Q1204" s="61" t="str">
        <f t="shared" si="3"/>
        <v>2023</v>
      </c>
      <c r="R1204" s="62">
        <f t="shared" si="4"/>
        <v>6</v>
      </c>
      <c r="S1204" s="61" t="str">
        <f t="shared" si="5"/>
        <v>2023-Q2</v>
      </c>
      <c r="T1204" s="63" t="str">
        <f t="shared" si="6"/>
        <v>2023-06</v>
      </c>
      <c r="U1204" s="64" t="str">
        <f t="shared" si="7"/>
        <v>2023-H1</v>
      </c>
      <c r="V1204" s="9" t="str">
        <f>VLOOKUP(B1204,Bounties!A:E,2,FALSE)</f>
        <v>Events Bounty</v>
      </c>
    </row>
    <row r="1205" hidden="1">
      <c r="A1205" s="67">
        <f>HYPERLINK("https://polkadot.subsquare.io/treasury/child-bounties/189", 189)</f>
        <v>189</v>
      </c>
      <c r="B1205" s="1">
        <v>17.0</v>
      </c>
      <c r="C1205" s="1" t="s">
        <v>2414</v>
      </c>
      <c r="D1205" s="1" t="s">
        <v>1488</v>
      </c>
      <c r="E1205" s="5">
        <v>1861.0</v>
      </c>
      <c r="F1205" s="4">
        <v>11509.875804901123</v>
      </c>
      <c r="G1205" s="1" t="s">
        <v>2681</v>
      </c>
      <c r="H1205" s="95">
        <v>45020.0</v>
      </c>
      <c r="I1205" s="95">
        <v>45031.0</v>
      </c>
      <c r="J1205" s="4">
        <v>12881.892453670502</v>
      </c>
      <c r="K1205" s="1"/>
      <c r="L1205" s="1" t="s">
        <v>86</v>
      </c>
      <c r="M1205" s="1" t="str">
        <f>VLOOKUP(B1205,Bounties!A:D,3,FALSE)</f>
        <v>Outreach</v>
      </c>
      <c r="N1205" s="1" t="str">
        <f>VLOOKUP(B1205,Bounties!A:D,4,FALSE)</f>
        <v>Events/Meetups</v>
      </c>
      <c r="O1205" s="1" t="str">
        <f t="shared" ref="O1205:P1205" si="1209">IF(ISBLANK(K1205),M1205,K1205)</f>
        <v>Outreach</v>
      </c>
      <c r="P1205" s="1" t="str">
        <f t="shared" si="1209"/>
        <v>Events/Conference Attendance &amp; Side Events</v>
      </c>
      <c r="Q1205" s="61" t="str">
        <f t="shared" si="3"/>
        <v>2023</v>
      </c>
      <c r="R1205" s="62">
        <f t="shared" si="4"/>
        <v>4</v>
      </c>
      <c r="S1205" s="61" t="str">
        <f t="shared" si="5"/>
        <v>2023-Q2</v>
      </c>
      <c r="T1205" s="63" t="str">
        <f t="shared" si="6"/>
        <v>2023-04</v>
      </c>
      <c r="U1205" s="64" t="str">
        <f t="shared" si="7"/>
        <v>2023-H1</v>
      </c>
      <c r="V1205" s="9" t="str">
        <f>VLOOKUP(B1205,Bounties!A:E,2,FALSE)</f>
        <v>Events Bounty</v>
      </c>
    </row>
    <row r="1206" hidden="1">
      <c r="A1206" s="67">
        <f>HYPERLINK("https://polkadot.subsquare.io/treasury/child-bounties/188", 188)</f>
        <v>188</v>
      </c>
      <c r="B1206" s="1">
        <v>11.0</v>
      </c>
      <c r="C1206" s="1" t="s">
        <v>2414</v>
      </c>
      <c r="D1206" s="1" t="s">
        <v>1487</v>
      </c>
      <c r="E1206" s="5">
        <v>78.8767944471</v>
      </c>
      <c r="F1206" s="4">
        <v>487.8356302927649</v>
      </c>
      <c r="G1206" s="1" t="s">
        <v>2745</v>
      </c>
      <c r="H1206" s="95">
        <v>45020.0</v>
      </c>
      <c r="I1206" s="95">
        <v>45028.0</v>
      </c>
      <c r="J1206" s="4">
        <v>536.906679715987</v>
      </c>
      <c r="K1206" s="1"/>
      <c r="L1206" s="1"/>
      <c r="M1206" s="1" t="str">
        <f>VLOOKUP(B1206,Bounties!A:D,3,FALSE)</f>
        <v>Research</v>
      </c>
      <c r="N1206" s="1" t="str">
        <f>VLOOKUP(B1206,Bounties!A:D,4,FALSE)</f>
        <v>Anti-Scam</v>
      </c>
      <c r="O1206" s="1" t="str">
        <f t="shared" ref="O1206:P1206" si="1210">IF(ISBLANK(K1206),M1206,K1206)</f>
        <v>Research</v>
      </c>
      <c r="P1206" s="1" t="str">
        <f t="shared" si="1210"/>
        <v>Anti-Scam</v>
      </c>
      <c r="Q1206" s="61" t="str">
        <f t="shared" si="3"/>
        <v>2023</v>
      </c>
      <c r="R1206" s="62">
        <f t="shared" si="4"/>
        <v>4</v>
      </c>
      <c r="S1206" s="61" t="str">
        <f t="shared" si="5"/>
        <v>2023-Q2</v>
      </c>
      <c r="T1206" s="63" t="str">
        <f t="shared" si="6"/>
        <v>2023-04</v>
      </c>
      <c r="U1206" s="64" t="str">
        <f t="shared" si="7"/>
        <v>2023-H1</v>
      </c>
      <c r="V1206" s="9" t="str">
        <f>VLOOKUP(B1206,Bounties!A:E,2,FALSE)</f>
        <v>Anti-Scam Bounty</v>
      </c>
    </row>
    <row r="1207" hidden="1">
      <c r="A1207" s="67">
        <f>HYPERLINK("https://polkadot.subsquare.io/treasury/child-bounties/187", 187)</f>
        <v>187</v>
      </c>
      <c r="B1207" s="1">
        <v>11.0</v>
      </c>
      <c r="C1207" s="1" t="s">
        <v>2414</v>
      </c>
      <c r="D1207" s="1" t="s">
        <v>1486</v>
      </c>
      <c r="E1207" s="5">
        <v>28.3956460009</v>
      </c>
      <c r="F1207" s="4">
        <v>175.62082690504903</v>
      </c>
      <c r="G1207" s="1" t="s">
        <v>2437</v>
      </c>
      <c r="H1207" s="95">
        <v>45020.0</v>
      </c>
      <c r="I1207" s="95">
        <v>45029.0</v>
      </c>
      <c r="J1207" s="4">
        <v>194.02926869683313</v>
      </c>
      <c r="K1207" s="1"/>
      <c r="L1207" s="1"/>
      <c r="M1207" s="1" t="str">
        <f>VLOOKUP(B1207,Bounties!A:D,3,FALSE)</f>
        <v>Research</v>
      </c>
      <c r="N1207" s="1" t="str">
        <f>VLOOKUP(B1207,Bounties!A:D,4,FALSE)</f>
        <v>Anti-Scam</v>
      </c>
      <c r="O1207" s="1" t="str">
        <f t="shared" ref="O1207:P1207" si="1211">IF(ISBLANK(K1207),M1207,K1207)</f>
        <v>Research</v>
      </c>
      <c r="P1207" s="1" t="str">
        <f t="shared" si="1211"/>
        <v>Anti-Scam</v>
      </c>
      <c r="Q1207" s="61" t="str">
        <f t="shared" si="3"/>
        <v>2023</v>
      </c>
      <c r="R1207" s="62">
        <f t="shared" si="4"/>
        <v>4</v>
      </c>
      <c r="S1207" s="61" t="str">
        <f t="shared" si="5"/>
        <v>2023-Q2</v>
      </c>
      <c r="T1207" s="63" t="str">
        <f t="shared" si="6"/>
        <v>2023-04</v>
      </c>
      <c r="U1207" s="64" t="str">
        <f t="shared" si="7"/>
        <v>2023-H1</v>
      </c>
      <c r="V1207" s="9" t="str">
        <f>VLOOKUP(B1207,Bounties!A:E,2,FALSE)</f>
        <v>Anti-Scam Bounty</v>
      </c>
    </row>
    <row r="1208" hidden="1">
      <c r="A1208" s="67">
        <f>HYPERLINK("https://polkadot.subsquare.io/treasury/child-bounties/186", 186)</f>
        <v>186</v>
      </c>
      <c r="B1208" s="1">
        <v>11.0</v>
      </c>
      <c r="C1208" s="1" t="s">
        <v>2414</v>
      </c>
      <c r="D1208" s="1" t="s">
        <v>1485</v>
      </c>
      <c r="E1208" s="5">
        <v>78.8767944471</v>
      </c>
      <c r="F1208" s="4">
        <v>495.4074794026536</v>
      </c>
      <c r="G1208" s="1" t="s">
        <v>2534</v>
      </c>
      <c r="H1208" s="95">
        <v>45020.0</v>
      </c>
      <c r="I1208" s="95">
        <v>45028.0</v>
      </c>
      <c r="J1208" s="4">
        <v>531.1587947950137</v>
      </c>
      <c r="K1208" s="1"/>
      <c r="L1208" s="1"/>
      <c r="M1208" s="1" t="str">
        <f>VLOOKUP(B1208,Bounties!A:D,3,FALSE)</f>
        <v>Research</v>
      </c>
      <c r="N1208" s="1" t="str">
        <f>VLOOKUP(B1208,Bounties!A:D,4,FALSE)</f>
        <v>Anti-Scam</v>
      </c>
      <c r="O1208" s="1" t="str">
        <f t="shared" ref="O1208:P1208" si="1212">IF(ISBLANK(K1208),M1208,K1208)</f>
        <v>Research</v>
      </c>
      <c r="P1208" s="1" t="str">
        <f t="shared" si="1212"/>
        <v>Anti-Scam</v>
      </c>
      <c r="Q1208" s="61" t="str">
        <f t="shared" si="3"/>
        <v>2023</v>
      </c>
      <c r="R1208" s="62">
        <f t="shared" si="4"/>
        <v>4</v>
      </c>
      <c r="S1208" s="61" t="str">
        <f t="shared" si="5"/>
        <v>2023-Q2</v>
      </c>
      <c r="T1208" s="63" t="str">
        <f t="shared" si="6"/>
        <v>2023-04</v>
      </c>
      <c r="U1208" s="64" t="str">
        <f t="shared" si="7"/>
        <v>2023-H1</v>
      </c>
      <c r="V1208" s="9" t="str">
        <f>VLOOKUP(B1208,Bounties!A:E,2,FALSE)</f>
        <v>Anti-Scam Bounty</v>
      </c>
    </row>
    <row r="1209" hidden="1">
      <c r="A1209" s="67">
        <f>HYPERLINK("https://polkadot.subsquare.io/treasury/child-bounties/185", 185)</f>
        <v>185</v>
      </c>
      <c r="B1209" s="1">
        <v>11.0</v>
      </c>
      <c r="C1209" s="1" t="s">
        <v>2414</v>
      </c>
      <c r="D1209" s="1" t="s">
        <v>1484</v>
      </c>
      <c r="E1209" s="5">
        <v>1216.9525624735</v>
      </c>
      <c r="F1209" s="4">
        <v>7643.406476564323</v>
      </c>
      <c r="G1209" s="1" t="s">
        <v>2437</v>
      </c>
      <c r="H1209" s="95">
        <v>45019.0</v>
      </c>
      <c r="I1209" s="95">
        <v>45028.0</v>
      </c>
      <c r="J1209" s="4">
        <v>8283.677908940832</v>
      </c>
      <c r="K1209" s="1"/>
      <c r="L1209" s="1"/>
      <c r="M1209" s="1" t="str">
        <f>VLOOKUP(B1209,Bounties!A:D,3,FALSE)</f>
        <v>Research</v>
      </c>
      <c r="N1209" s="1" t="str">
        <f>VLOOKUP(B1209,Bounties!A:D,4,FALSE)</f>
        <v>Anti-Scam</v>
      </c>
      <c r="O1209" s="1" t="str">
        <f t="shared" ref="O1209:P1209" si="1213">IF(ISBLANK(K1209),M1209,K1209)</f>
        <v>Research</v>
      </c>
      <c r="P1209" s="1" t="str">
        <f t="shared" si="1213"/>
        <v>Anti-Scam</v>
      </c>
      <c r="Q1209" s="61" t="str">
        <f t="shared" si="3"/>
        <v>2023</v>
      </c>
      <c r="R1209" s="62">
        <f t="shared" si="4"/>
        <v>4</v>
      </c>
      <c r="S1209" s="61" t="str">
        <f t="shared" si="5"/>
        <v>2023-Q2</v>
      </c>
      <c r="T1209" s="63" t="str">
        <f t="shared" si="6"/>
        <v>2023-04</v>
      </c>
      <c r="U1209" s="64" t="str">
        <f t="shared" si="7"/>
        <v>2023-H1</v>
      </c>
      <c r="V1209" s="9" t="str">
        <f>VLOOKUP(B1209,Bounties!A:E,2,FALSE)</f>
        <v>Anti-Scam Bounty</v>
      </c>
    </row>
    <row r="1210" hidden="1">
      <c r="A1210" s="67">
        <f>HYPERLINK("https://polkadot.subsquare.io/treasury/child-bounties/184", 184)</f>
        <v>184</v>
      </c>
      <c r="B1210" s="1">
        <v>11.0</v>
      </c>
      <c r="C1210" s="1" t="s">
        <v>2414</v>
      </c>
      <c r="D1210" s="1" t="s">
        <v>1483</v>
      </c>
      <c r="E1210" s="5">
        <v>1371.2409995765</v>
      </c>
      <c r="F1210" s="4">
        <v>8612.45759308041</v>
      </c>
      <c r="G1210" s="1" t="s">
        <v>2438</v>
      </c>
      <c r="H1210" s="95">
        <v>45019.0</v>
      </c>
      <c r="I1210" s="95">
        <v>45028.0</v>
      </c>
      <c r="J1210" s="4">
        <v>9333.90431664681</v>
      </c>
      <c r="K1210" s="1"/>
      <c r="L1210" s="1"/>
      <c r="M1210" s="1" t="str">
        <f>VLOOKUP(B1210,Bounties!A:D,3,FALSE)</f>
        <v>Research</v>
      </c>
      <c r="N1210" s="1" t="str">
        <f>VLOOKUP(B1210,Bounties!A:D,4,FALSE)</f>
        <v>Anti-Scam</v>
      </c>
      <c r="O1210" s="1" t="str">
        <f t="shared" ref="O1210:P1210" si="1214">IF(ISBLANK(K1210),M1210,K1210)</f>
        <v>Research</v>
      </c>
      <c r="P1210" s="1" t="str">
        <f t="shared" si="1214"/>
        <v>Anti-Scam</v>
      </c>
      <c r="Q1210" s="61" t="str">
        <f t="shared" si="3"/>
        <v>2023</v>
      </c>
      <c r="R1210" s="62">
        <f t="shared" si="4"/>
        <v>4</v>
      </c>
      <c r="S1210" s="61" t="str">
        <f t="shared" si="5"/>
        <v>2023-Q2</v>
      </c>
      <c r="T1210" s="63" t="str">
        <f t="shared" si="6"/>
        <v>2023-04</v>
      </c>
      <c r="U1210" s="64" t="str">
        <f t="shared" si="7"/>
        <v>2023-H1</v>
      </c>
      <c r="V1210" s="9" t="str">
        <f>VLOOKUP(B1210,Bounties!A:E,2,FALSE)</f>
        <v>Anti-Scam Bounty</v>
      </c>
    </row>
    <row r="1211" hidden="1">
      <c r="A1211" s="67">
        <f>HYPERLINK("https://polkadot.subsquare.io/treasury/child-bounties/183", 183)</f>
        <v>183</v>
      </c>
      <c r="B1211" s="1">
        <v>11.0</v>
      </c>
      <c r="C1211" s="1" t="s">
        <v>2414</v>
      </c>
      <c r="D1211" s="1" t="s">
        <v>1482</v>
      </c>
      <c r="E1211" s="5">
        <v>1371.2409995765</v>
      </c>
      <c r="F1211" s="4">
        <v>8612.45759308041</v>
      </c>
      <c r="G1211" s="1" t="s">
        <v>2463</v>
      </c>
      <c r="H1211" s="95">
        <v>45019.0</v>
      </c>
      <c r="I1211" s="95">
        <v>45029.0</v>
      </c>
      <c r="J1211" s="4">
        <v>9369.777618248585</v>
      </c>
      <c r="K1211" s="1"/>
      <c r="L1211" s="1"/>
      <c r="M1211" s="1" t="str">
        <f>VLOOKUP(B1211,Bounties!A:D,3,FALSE)</f>
        <v>Research</v>
      </c>
      <c r="N1211" s="1" t="str">
        <f>VLOOKUP(B1211,Bounties!A:D,4,FALSE)</f>
        <v>Anti-Scam</v>
      </c>
      <c r="O1211" s="1" t="str">
        <f t="shared" ref="O1211:P1211" si="1215">IF(ISBLANK(K1211),M1211,K1211)</f>
        <v>Research</v>
      </c>
      <c r="P1211" s="1" t="str">
        <f t="shared" si="1215"/>
        <v>Anti-Scam</v>
      </c>
      <c r="Q1211" s="61" t="str">
        <f t="shared" si="3"/>
        <v>2023</v>
      </c>
      <c r="R1211" s="62">
        <f t="shared" si="4"/>
        <v>4</v>
      </c>
      <c r="S1211" s="61" t="str">
        <f t="shared" si="5"/>
        <v>2023-Q2</v>
      </c>
      <c r="T1211" s="63" t="str">
        <f t="shared" si="6"/>
        <v>2023-04</v>
      </c>
      <c r="U1211" s="64" t="str">
        <f t="shared" si="7"/>
        <v>2023-H1</v>
      </c>
      <c r="V1211" s="9" t="str">
        <f>VLOOKUP(B1211,Bounties!A:E,2,FALSE)</f>
        <v>Anti-Scam Bounty</v>
      </c>
    </row>
    <row r="1212" hidden="1">
      <c r="A1212" s="67">
        <f>HYPERLINK("https://polkadot.subsquare.io/treasury/child-bounties/182", 182)</f>
        <v>182</v>
      </c>
      <c r="B1212" s="1">
        <v>11.0</v>
      </c>
      <c r="C1212" s="1" t="s">
        <v>2414</v>
      </c>
      <c r="D1212" s="1" t="s">
        <v>1481</v>
      </c>
      <c r="E1212" s="5">
        <v>79.41550191</v>
      </c>
      <c r="F1212" s="4">
        <v>498.790980319513</v>
      </c>
      <c r="G1212" s="1" t="s">
        <v>2528</v>
      </c>
      <c r="H1212" s="95">
        <v>45019.0</v>
      </c>
      <c r="I1212" s="95">
        <v>45028.0</v>
      </c>
      <c r="J1212" s="4">
        <v>540.5736090996076</v>
      </c>
      <c r="K1212" s="1"/>
      <c r="L1212" s="1"/>
      <c r="M1212" s="1" t="str">
        <f>VLOOKUP(B1212,Bounties!A:D,3,FALSE)</f>
        <v>Research</v>
      </c>
      <c r="N1212" s="1" t="str">
        <f>VLOOKUP(B1212,Bounties!A:D,4,FALSE)</f>
        <v>Anti-Scam</v>
      </c>
      <c r="O1212" s="1" t="str">
        <f t="shared" ref="O1212:P1212" si="1216">IF(ISBLANK(K1212),M1212,K1212)</f>
        <v>Research</v>
      </c>
      <c r="P1212" s="1" t="str">
        <f t="shared" si="1216"/>
        <v>Anti-Scam</v>
      </c>
      <c r="Q1212" s="61" t="str">
        <f t="shared" si="3"/>
        <v>2023</v>
      </c>
      <c r="R1212" s="62">
        <f t="shared" si="4"/>
        <v>4</v>
      </c>
      <c r="S1212" s="61" t="str">
        <f t="shared" si="5"/>
        <v>2023-Q2</v>
      </c>
      <c r="T1212" s="63" t="str">
        <f t="shared" si="6"/>
        <v>2023-04</v>
      </c>
      <c r="U1212" s="64" t="str">
        <f t="shared" si="7"/>
        <v>2023-H1</v>
      </c>
      <c r="V1212" s="9" t="str">
        <f>VLOOKUP(B1212,Bounties!A:E,2,FALSE)</f>
        <v>Anti-Scam Bounty</v>
      </c>
    </row>
    <row r="1213" hidden="1">
      <c r="A1213" s="67">
        <f>HYPERLINK("https://polkadot.subsquare.io/treasury/child-bounties/181", 181)</f>
        <v>181</v>
      </c>
      <c r="B1213" s="1">
        <v>11.0</v>
      </c>
      <c r="C1213" s="1" t="s">
        <v>2414</v>
      </c>
      <c r="D1213" s="1" t="s">
        <v>1480</v>
      </c>
      <c r="E1213" s="5">
        <v>72.26810673</v>
      </c>
      <c r="F1213" s="4">
        <v>453.89979203988247</v>
      </c>
      <c r="G1213" s="1" t="s">
        <v>2437</v>
      </c>
      <c r="H1213" s="95">
        <v>45019.0</v>
      </c>
      <c r="I1213" s="95">
        <v>45027.0</v>
      </c>
      <c r="J1213" s="4">
        <v>486.65568551430295</v>
      </c>
      <c r="K1213" s="1"/>
      <c r="L1213" s="1"/>
      <c r="M1213" s="1" t="str">
        <f>VLOOKUP(B1213,Bounties!A:D,3,FALSE)</f>
        <v>Research</v>
      </c>
      <c r="N1213" s="1" t="str">
        <f>VLOOKUP(B1213,Bounties!A:D,4,FALSE)</f>
        <v>Anti-Scam</v>
      </c>
      <c r="O1213" s="1" t="str">
        <f t="shared" ref="O1213:P1213" si="1217">IF(ISBLANK(K1213),M1213,K1213)</f>
        <v>Research</v>
      </c>
      <c r="P1213" s="1" t="str">
        <f t="shared" si="1217"/>
        <v>Anti-Scam</v>
      </c>
      <c r="Q1213" s="61" t="str">
        <f t="shared" si="3"/>
        <v>2023</v>
      </c>
      <c r="R1213" s="62">
        <f t="shared" si="4"/>
        <v>4</v>
      </c>
      <c r="S1213" s="61" t="str">
        <f t="shared" si="5"/>
        <v>2023-Q2</v>
      </c>
      <c r="T1213" s="63" t="str">
        <f t="shared" si="6"/>
        <v>2023-04</v>
      </c>
      <c r="U1213" s="64" t="str">
        <f t="shared" si="7"/>
        <v>2023-H1</v>
      </c>
      <c r="V1213" s="9" t="str">
        <f>VLOOKUP(B1213,Bounties!A:E,2,FALSE)</f>
        <v>Anti-Scam Bounty</v>
      </c>
    </row>
    <row r="1214" hidden="1">
      <c r="A1214" s="67">
        <f>HYPERLINK("https://polkadot.subsquare.io/treasury/child-bounties/180", 180)</f>
        <v>180</v>
      </c>
      <c r="B1214" s="1">
        <v>11.0</v>
      </c>
      <c r="C1214" s="1" t="s">
        <v>2414</v>
      </c>
      <c r="D1214" s="1" t="s">
        <v>1479</v>
      </c>
      <c r="E1214" s="5">
        <v>72.26810673</v>
      </c>
      <c r="F1214" s="4">
        <v>453.89979203988247</v>
      </c>
      <c r="G1214" s="1" t="s">
        <v>2438</v>
      </c>
      <c r="H1214" s="95">
        <v>45019.0</v>
      </c>
      <c r="I1214" s="95">
        <v>45027.0</v>
      </c>
      <c r="J1214" s="4">
        <v>486.65568551430295</v>
      </c>
      <c r="K1214" s="1"/>
      <c r="L1214" s="1"/>
      <c r="M1214" s="1" t="str">
        <f>VLOOKUP(B1214,Bounties!A:D,3,FALSE)</f>
        <v>Research</v>
      </c>
      <c r="N1214" s="1" t="str">
        <f>VLOOKUP(B1214,Bounties!A:D,4,FALSE)</f>
        <v>Anti-Scam</v>
      </c>
      <c r="O1214" s="1" t="str">
        <f t="shared" ref="O1214:P1214" si="1218">IF(ISBLANK(K1214),M1214,K1214)</f>
        <v>Research</v>
      </c>
      <c r="P1214" s="1" t="str">
        <f t="shared" si="1218"/>
        <v>Anti-Scam</v>
      </c>
      <c r="Q1214" s="61" t="str">
        <f t="shared" si="3"/>
        <v>2023</v>
      </c>
      <c r="R1214" s="62">
        <f t="shared" si="4"/>
        <v>4</v>
      </c>
      <c r="S1214" s="61" t="str">
        <f t="shared" si="5"/>
        <v>2023-Q2</v>
      </c>
      <c r="T1214" s="63" t="str">
        <f t="shared" si="6"/>
        <v>2023-04</v>
      </c>
      <c r="U1214" s="64" t="str">
        <f t="shared" si="7"/>
        <v>2023-H1</v>
      </c>
      <c r="V1214" s="9" t="str">
        <f>VLOOKUP(B1214,Bounties!A:E,2,FALSE)</f>
        <v>Anti-Scam Bounty</v>
      </c>
    </row>
    <row r="1215" hidden="1">
      <c r="A1215" s="67">
        <f>HYPERLINK("https://polkadot.subsquare.io/treasury/child-bounties/179", 179)</f>
        <v>179</v>
      </c>
      <c r="B1215" s="1">
        <v>10.0</v>
      </c>
      <c r="C1215" s="1" t="s">
        <v>2414</v>
      </c>
      <c r="D1215" s="1" t="s">
        <v>1478</v>
      </c>
      <c r="E1215" s="5">
        <v>2365.0</v>
      </c>
      <c r="F1215" s="4">
        <v>15145.540735721588</v>
      </c>
      <c r="G1215" s="1" t="s">
        <v>2746</v>
      </c>
      <c r="H1215" s="95">
        <v>45018.0</v>
      </c>
      <c r="I1215" s="95">
        <v>45110.0</v>
      </c>
      <c r="J1215" s="4">
        <v>11886.606209278107</v>
      </c>
      <c r="K1215" s="1"/>
      <c r="L1215" s="1"/>
      <c r="M1215" s="1" t="str">
        <f>VLOOKUP(B1215,Bounties!A:D,3,FALSE)</f>
        <v>Talent &amp; Education</v>
      </c>
      <c r="N1215" s="1" t="str">
        <f>VLOOKUP(B1215,Bounties!A:D,4,FALSE)</f>
        <v>Incubation</v>
      </c>
      <c r="O1215" s="1" t="str">
        <f t="shared" ref="O1215:P1215" si="1219">IF(ISBLANK(K1215),M1215,K1215)</f>
        <v>Talent &amp; Education</v>
      </c>
      <c r="P1215" s="1" t="str">
        <f t="shared" si="1219"/>
        <v>Incubation</v>
      </c>
      <c r="Q1215" s="61" t="str">
        <f t="shared" si="3"/>
        <v>2023</v>
      </c>
      <c r="R1215" s="62">
        <f t="shared" si="4"/>
        <v>7</v>
      </c>
      <c r="S1215" s="61" t="str">
        <f t="shared" si="5"/>
        <v>2023-Q3</v>
      </c>
      <c r="T1215" s="63" t="str">
        <f t="shared" si="6"/>
        <v>2023-07</v>
      </c>
      <c r="U1215" s="64" t="str">
        <f t="shared" si="7"/>
        <v>2023-H2</v>
      </c>
      <c r="V1215" s="9" t="str">
        <f>VLOOKUP(B1215,Bounties!A:E,2,FALSE)</f>
        <v>Polkadot Pioneers Bounty</v>
      </c>
    </row>
    <row r="1216" hidden="1">
      <c r="A1216" s="67">
        <f>HYPERLINK("https://polkadot.subsquare.io/treasury/child-bounties/178", 178)</f>
        <v>178</v>
      </c>
      <c r="B1216" s="1">
        <v>10.0</v>
      </c>
      <c r="C1216" s="1" t="s">
        <v>2414</v>
      </c>
      <c r="D1216" s="1" t="s">
        <v>1477</v>
      </c>
      <c r="E1216" s="5">
        <v>5912.5</v>
      </c>
      <c r="F1216" s="4">
        <v>37863.85183930397</v>
      </c>
      <c r="G1216" s="1" t="s">
        <v>2747</v>
      </c>
      <c r="H1216" s="95">
        <v>45018.0</v>
      </c>
      <c r="I1216" s="95">
        <v>45057.0</v>
      </c>
      <c r="J1216" s="4">
        <v>31643.13189983368</v>
      </c>
      <c r="K1216" s="1"/>
      <c r="L1216" s="1"/>
      <c r="M1216" s="1" t="str">
        <f>VLOOKUP(B1216,Bounties!A:D,3,FALSE)</f>
        <v>Talent &amp; Education</v>
      </c>
      <c r="N1216" s="1" t="str">
        <f>VLOOKUP(B1216,Bounties!A:D,4,FALSE)</f>
        <v>Incubation</v>
      </c>
      <c r="O1216" s="1" t="str">
        <f t="shared" ref="O1216:P1216" si="1220">IF(ISBLANK(K1216),M1216,K1216)</f>
        <v>Talent &amp; Education</v>
      </c>
      <c r="P1216" s="1" t="str">
        <f t="shared" si="1220"/>
        <v>Incubation</v>
      </c>
      <c r="Q1216" s="61" t="str">
        <f t="shared" si="3"/>
        <v>2023</v>
      </c>
      <c r="R1216" s="62">
        <f t="shared" si="4"/>
        <v>5</v>
      </c>
      <c r="S1216" s="61" t="str">
        <f t="shared" si="5"/>
        <v>2023-Q2</v>
      </c>
      <c r="T1216" s="63" t="str">
        <f t="shared" si="6"/>
        <v>2023-05</v>
      </c>
      <c r="U1216" s="64" t="str">
        <f t="shared" si="7"/>
        <v>2023-H1</v>
      </c>
      <c r="V1216" s="9" t="str">
        <f>VLOOKUP(B1216,Bounties!A:E,2,FALSE)</f>
        <v>Polkadot Pioneers Bounty</v>
      </c>
    </row>
    <row r="1217" hidden="1">
      <c r="A1217" s="67">
        <f>HYPERLINK("https://polkadot.subsquare.io/treasury/child-bounties/177", 177)</f>
        <v>177</v>
      </c>
      <c r="B1217" s="1">
        <v>10.0</v>
      </c>
      <c r="C1217" s="1" t="s">
        <v>2414</v>
      </c>
      <c r="D1217" s="1" t="s">
        <v>1476</v>
      </c>
      <c r="E1217" s="5">
        <v>15372.5</v>
      </c>
      <c r="F1217" s="4">
        <v>98446.01478219032</v>
      </c>
      <c r="G1217" s="1" t="s">
        <v>2748</v>
      </c>
      <c r="H1217" s="95">
        <v>45018.0</v>
      </c>
      <c r="I1217" s="95">
        <v>45057.0</v>
      </c>
      <c r="J1217" s="4">
        <v>82272.14293956757</v>
      </c>
      <c r="K1217" s="1"/>
      <c r="L1217" s="1"/>
      <c r="M1217" s="1" t="str">
        <f>VLOOKUP(B1217,Bounties!A:D,3,FALSE)</f>
        <v>Talent &amp; Education</v>
      </c>
      <c r="N1217" s="1" t="str">
        <f>VLOOKUP(B1217,Bounties!A:D,4,FALSE)</f>
        <v>Incubation</v>
      </c>
      <c r="O1217" s="1" t="str">
        <f t="shared" ref="O1217:P1217" si="1221">IF(ISBLANK(K1217),M1217,K1217)</f>
        <v>Talent &amp; Education</v>
      </c>
      <c r="P1217" s="1" t="str">
        <f t="shared" si="1221"/>
        <v>Incubation</v>
      </c>
      <c r="Q1217" s="61" t="str">
        <f t="shared" si="3"/>
        <v>2023</v>
      </c>
      <c r="R1217" s="62">
        <f t="shared" si="4"/>
        <v>5</v>
      </c>
      <c r="S1217" s="61" t="str">
        <f t="shared" si="5"/>
        <v>2023-Q2</v>
      </c>
      <c r="T1217" s="63" t="str">
        <f t="shared" si="6"/>
        <v>2023-05</v>
      </c>
      <c r="U1217" s="64" t="str">
        <f t="shared" si="7"/>
        <v>2023-H1</v>
      </c>
      <c r="V1217" s="9" t="str">
        <f>VLOOKUP(B1217,Bounties!A:E,2,FALSE)</f>
        <v>Polkadot Pioneers Bounty</v>
      </c>
    </row>
    <row r="1218" hidden="1">
      <c r="A1218" s="67">
        <f>HYPERLINK("https://polkadot.subsquare.io/treasury/child-bounties/176", 176)</f>
        <v>176</v>
      </c>
      <c r="B1218" s="1">
        <v>10.0</v>
      </c>
      <c r="C1218" s="1" t="s">
        <v>2508</v>
      </c>
      <c r="D1218" s="1" t="s">
        <v>1478</v>
      </c>
      <c r="E1218" s="5">
        <v>236.5</v>
      </c>
      <c r="F1218" s="4">
        <v>1521.2219429016113</v>
      </c>
      <c r="G1218" s="1"/>
      <c r="H1218" s="95">
        <v>45017.0</v>
      </c>
      <c r="I1218" s="95">
        <v>45018.0</v>
      </c>
      <c r="J1218" s="4">
        <v>1514.5540735721588</v>
      </c>
      <c r="K1218" s="1"/>
      <c r="L1218" s="1"/>
      <c r="M1218" s="1" t="str">
        <f>VLOOKUP(B1218,Bounties!A:D,3,FALSE)</f>
        <v>Talent &amp; Education</v>
      </c>
      <c r="N1218" s="1" t="str">
        <f>VLOOKUP(B1218,Bounties!A:D,4,FALSE)</f>
        <v>Incubation</v>
      </c>
      <c r="O1218" s="1" t="str">
        <f t="shared" ref="O1218:P1218" si="1222">IF(ISBLANK(K1218),M1218,K1218)</f>
        <v>Talent &amp; Education</v>
      </c>
      <c r="P1218" s="1" t="str">
        <f t="shared" si="1222"/>
        <v>Incubation</v>
      </c>
      <c r="Q1218" s="61" t="str">
        <f t="shared" si="3"/>
        <v>2023</v>
      </c>
      <c r="R1218" s="62">
        <f t="shared" si="4"/>
        <v>4</v>
      </c>
      <c r="S1218" s="61" t="str">
        <f t="shared" si="5"/>
        <v>2023-Q2</v>
      </c>
      <c r="T1218" s="63" t="str">
        <f t="shared" si="6"/>
        <v>2023-04</v>
      </c>
      <c r="U1218" s="64" t="str">
        <f t="shared" si="7"/>
        <v>2023-H1</v>
      </c>
      <c r="V1218" s="9" t="str">
        <f>VLOOKUP(B1218,Bounties!A:E,2,FALSE)</f>
        <v>Polkadot Pioneers Bounty</v>
      </c>
    </row>
    <row r="1219" hidden="1">
      <c r="A1219" s="67">
        <f>HYPERLINK("https://polkadot.subsquare.io/treasury/child-bounties/175", 175)</f>
        <v>175</v>
      </c>
      <c r="B1219" s="1">
        <v>10.0</v>
      </c>
      <c r="C1219" s="1" t="s">
        <v>2508</v>
      </c>
      <c r="D1219" s="1" t="s">
        <v>1477</v>
      </c>
      <c r="E1219" s="5">
        <v>591.25</v>
      </c>
      <c r="F1219" s="4">
        <v>3803.0548572540283</v>
      </c>
      <c r="G1219" s="1"/>
      <c r="H1219" s="95">
        <v>45017.0</v>
      </c>
      <c r="I1219" s="95">
        <v>45018.0</v>
      </c>
      <c r="J1219" s="4">
        <v>3786.385183930397</v>
      </c>
      <c r="K1219" s="1"/>
      <c r="L1219" s="1"/>
      <c r="M1219" s="1" t="str">
        <f>VLOOKUP(B1219,Bounties!A:D,3,FALSE)</f>
        <v>Talent &amp; Education</v>
      </c>
      <c r="N1219" s="1" t="str">
        <f>VLOOKUP(B1219,Bounties!A:D,4,FALSE)</f>
        <v>Incubation</v>
      </c>
      <c r="O1219" s="1" t="str">
        <f t="shared" ref="O1219:P1219" si="1223">IF(ISBLANK(K1219),M1219,K1219)</f>
        <v>Talent &amp; Education</v>
      </c>
      <c r="P1219" s="1" t="str">
        <f t="shared" si="1223"/>
        <v>Incubation</v>
      </c>
      <c r="Q1219" s="61" t="str">
        <f t="shared" si="3"/>
        <v>2023</v>
      </c>
      <c r="R1219" s="62">
        <f t="shared" si="4"/>
        <v>4</v>
      </c>
      <c r="S1219" s="61" t="str">
        <f t="shared" si="5"/>
        <v>2023-Q2</v>
      </c>
      <c r="T1219" s="63" t="str">
        <f t="shared" si="6"/>
        <v>2023-04</v>
      </c>
      <c r="U1219" s="64" t="str">
        <f t="shared" si="7"/>
        <v>2023-H1</v>
      </c>
      <c r="V1219" s="9" t="str">
        <f>VLOOKUP(B1219,Bounties!A:E,2,FALSE)</f>
        <v>Polkadot Pioneers Bounty</v>
      </c>
    </row>
    <row r="1220" hidden="1">
      <c r="A1220" s="67">
        <f>HYPERLINK("https://polkadot.subsquare.io/treasury/child-bounties/174", 174)</f>
        <v>174</v>
      </c>
      <c r="B1220" s="1">
        <v>10.0</v>
      </c>
      <c r="C1220" s="1" t="s">
        <v>2508</v>
      </c>
      <c r="D1220" s="1" t="s">
        <v>1476</v>
      </c>
      <c r="E1220" s="5">
        <v>1537.25</v>
      </c>
      <c r="F1220" s="4">
        <v>9887.942628860474</v>
      </c>
      <c r="G1220" s="1"/>
      <c r="H1220" s="95">
        <v>45017.0</v>
      </c>
      <c r="I1220" s="95">
        <v>45018.0</v>
      </c>
      <c r="J1220" s="4">
        <v>9844.601478219032</v>
      </c>
      <c r="K1220" s="1"/>
      <c r="L1220" s="1"/>
      <c r="M1220" s="1" t="str">
        <f>VLOOKUP(B1220,Bounties!A:D,3,FALSE)</f>
        <v>Talent &amp; Education</v>
      </c>
      <c r="N1220" s="1" t="str">
        <f>VLOOKUP(B1220,Bounties!A:D,4,FALSE)</f>
        <v>Incubation</v>
      </c>
      <c r="O1220" s="1" t="str">
        <f t="shared" ref="O1220:P1220" si="1224">IF(ISBLANK(K1220),M1220,K1220)</f>
        <v>Talent &amp; Education</v>
      </c>
      <c r="P1220" s="1" t="str">
        <f t="shared" si="1224"/>
        <v>Incubation</v>
      </c>
      <c r="Q1220" s="61" t="str">
        <f t="shared" si="3"/>
        <v>2023</v>
      </c>
      <c r="R1220" s="62">
        <f t="shared" si="4"/>
        <v>4</v>
      </c>
      <c r="S1220" s="61" t="str">
        <f t="shared" si="5"/>
        <v>2023-Q2</v>
      </c>
      <c r="T1220" s="63" t="str">
        <f t="shared" si="6"/>
        <v>2023-04</v>
      </c>
      <c r="U1220" s="64" t="str">
        <f t="shared" si="7"/>
        <v>2023-H1</v>
      </c>
      <c r="V1220" s="9" t="str">
        <f>VLOOKUP(B1220,Bounties!A:E,2,FALSE)</f>
        <v>Polkadot Pioneers Bounty</v>
      </c>
    </row>
    <row r="1221" hidden="1">
      <c r="A1221" s="67">
        <f>HYPERLINK("https://polkadot.subsquare.io/treasury/child-bounties/173", 173)</f>
        <v>173</v>
      </c>
      <c r="B1221" s="1">
        <v>17.0</v>
      </c>
      <c r="C1221" s="1" t="s">
        <v>2508</v>
      </c>
      <c r="D1221" s="1" t="s">
        <v>1474</v>
      </c>
      <c r="E1221" s="5">
        <v>2732.0</v>
      </c>
      <c r="F1221" s="4">
        <v>17510.79992866516</v>
      </c>
      <c r="G1221" s="1"/>
      <c r="H1221" s="95">
        <v>45014.0</v>
      </c>
      <c r="I1221" s="95">
        <v>45030.0</v>
      </c>
      <c r="J1221" s="4">
        <v>18292.22296333313</v>
      </c>
      <c r="K1221" s="1"/>
      <c r="L1221" s="1"/>
      <c r="M1221" s="1" t="str">
        <f>VLOOKUP(B1221,Bounties!A:D,3,FALSE)</f>
        <v>Outreach</v>
      </c>
      <c r="N1221" s="1" t="str">
        <f>VLOOKUP(B1221,Bounties!A:D,4,FALSE)</f>
        <v>Events/Meetups</v>
      </c>
      <c r="O1221" s="1" t="str">
        <f t="shared" ref="O1221:P1221" si="1225">IF(ISBLANK(K1221),M1221,K1221)</f>
        <v>Outreach</v>
      </c>
      <c r="P1221" s="1" t="str">
        <f t="shared" si="1225"/>
        <v>Events/Meetups</v>
      </c>
      <c r="Q1221" s="61" t="str">
        <f t="shared" si="3"/>
        <v>2023</v>
      </c>
      <c r="R1221" s="62">
        <f t="shared" si="4"/>
        <v>4</v>
      </c>
      <c r="S1221" s="61" t="str">
        <f t="shared" si="5"/>
        <v>2023-Q2</v>
      </c>
      <c r="T1221" s="63" t="str">
        <f t="shared" si="6"/>
        <v>2023-04</v>
      </c>
      <c r="U1221" s="64" t="str">
        <f t="shared" si="7"/>
        <v>2023-H1</v>
      </c>
      <c r="V1221" s="9" t="str">
        <f>VLOOKUP(B1221,Bounties!A:E,2,FALSE)</f>
        <v>Events Bounty</v>
      </c>
    </row>
    <row r="1222" hidden="1">
      <c r="A1222" s="67">
        <f>HYPERLINK("https://polkadot.subsquare.io/treasury/child-bounties/172", 172)</f>
        <v>172</v>
      </c>
      <c r="B1222" s="1">
        <v>17.0</v>
      </c>
      <c r="C1222" s="1" t="s">
        <v>2414</v>
      </c>
      <c r="D1222" s="1" t="s">
        <v>1475</v>
      </c>
      <c r="E1222" s="5">
        <v>652.6</v>
      </c>
      <c r="F1222" s="4">
        <v>4182.850671100617</v>
      </c>
      <c r="G1222" s="1" t="s">
        <v>2730</v>
      </c>
      <c r="H1222" s="95">
        <v>45014.0</v>
      </c>
      <c r="I1222" s="95">
        <v>45023.0</v>
      </c>
      <c r="J1222" s="4">
        <v>4105.14773273468</v>
      </c>
      <c r="K1222" s="1"/>
      <c r="L1222" s="1" t="s">
        <v>86</v>
      </c>
      <c r="M1222" s="1" t="str">
        <f>VLOOKUP(B1222,Bounties!A:D,3,FALSE)</f>
        <v>Outreach</v>
      </c>
      <c r="N1222" s="1" t="str">
        <f>VLOOKUP(B1222,Bounties!A:D,4,FALSE)</f>
        <v>Events/Meetups</v>
      </c>
      <c r="O1222" s="1" t="str">
        <f t="shared" ref="O1222:P1222" si="1226">IF(ISBLANK(K1222),M1222,K1222)</f>
        <v>Outreach</v>
      </c>
      <c r="P1222" s="1" t="str">
        <f t="shared" si="1226"/>
        <v>Events/Conference Attendance &amp; Side Events</v>
      </c>
      <c r="Q1222" s="61" t="str">
        <f t="shared" si="3"/>
        <v>2023</v>
      </c>
      <c r="R1222" s="62">
        <f t="shared" si="4"/>
        <v>4</v>
      </c>
      <c r="S1222" s="61" t="str">
        <f t="shared" si="5"/>
        <v>2023-Q2</v>
      </c>
      <c r="T1222" s="63" t="str">
        <f t="shared" si="6"/>
        <v>2023-04</v>
      </c>
      <c r="U1222" s="64" t="str">
        <f t="shared" si="7"/>
        <v>2023-H1</v>
      </c>
      <c r="V1222" s="9" t="str">
        <f>VLOOKUP(B1222,Bounties!A:E,2,FALSE)</f>
        <v>Events Bounty</v>
      </c>
    </row>
    <row r="1223" hidden="1">
      <c r="A1223" s="67">
        <f>HYPERLINK("https://polkadot.subsquare.io/treasury/child-bounties/171", 171)</f>
        <v>171</v>
      </c>
      <c r="B1223" s="1">
        <v>17.0</v>
      </c>
      <c r="C1223" s="1" t="s">
        <v>2414</v>
      </c>
      <c r="D1223" s="1" t="s">
        <v>1474</v>
      </c>
      <c r="E1223" s="5">
        <v>2732.0</v>
      </c>
      <c r="F1223" s="4">
        <v>17510.79992866516</v>
      </c>
      <c r="G1223" s="1" t="s">
        <v>2605</v>
      </c>
      <c r="H1223" s="95">
        <v>45014.0</v>
      </c>
      <c r="I1223" s="95">
        <v>45025.0</v>
      </c>
      <c r="J1223" s="4">
        <v>17555.15490913391</v>
      </c>
      <c r="K1223" s="1"/>
      <c r="L1223" s="1" t="s">
        <v>86</v>
      </c>
      <c r="M1223" s="1" t="str">
        <f>VLOOKUP(B1223,Bounties!A:D,3,FALSE)</f>
        <v>Outreach</v>
      </c>
      <c r="N1223" s="1" t="str">
        <f>VLOOKUP(B1223,Bounties!A:D,4,FALSE)</f>
        <v>Events/Meetups</v>
      </c>
      <c r="O1223" s="1" t="str">
        <f t="shared" ref="O1223:P1223" si="1227">IF(ISBLANK(K1223),M1223,K1223)</f>
        <v>Outreach</v>
      </c>
      <c r="P1223" s="1" t="str">
        <f t="shared" si="1227"/>
        <v>Events/Conference Attendance &amp; Side Events</v>
      </c>
      <c r="Q1223" s="61" t="str">
        <f t="shared" si="3"/>
        <v>2023</v>
      </c>
      <c r="R1223" s="62">
        <f t="shared" si="4"/>
        <v>4</v>
      </c>
      <c r="S1223" s="61" t="str">
        <f t="shared" si="5"/>
        <v>2023-Q2</v>
      </c>
      <c r="T1223" s="63" t="str">
        <f t="shared" si="6"/>
        <v>2023-04</v>
      </c>
      <c r="U1223" s="64" t="str">
        <f t="shared" si="7"/>
        <v>2023-H1</v>
      </c>
      <c r="V1223" s="9" t="str">
        <f>VLOOKUP(B1223,Bounties!A:E,2,FALSE)</f>
        <v>Events Bounty</v>
      </c>
    </row>
    <row r="1224" hidden="1">
      <c r="A1224" s="67">
        <f>HYPERLINK("https://polkadot.subsquare.io/treasury/child-bounties/170", 170)</f>
        <v>170</v>
      </c>
      <c r="B1224" s="1">
        <v>17.0</v>
      </c>
      <c r="C1224" s="1" t="s">
        <v>2414</v>
      </c>
      <c r="D1224" s="1" t="s">
        <v>1473</v>
      </c>
      <c r="E1224" s="5">
        <v>47.8</v>
      </c>
      <c r="F1224" s="4">
        <v>289.88056306838985</v>
      </c>
      <c r="G1224" s="1" t="s">
        <v>2642</v>
      </c>
      <c r="H1224" s="95">
        <v>45010.0</v>
      </c>
      <c r="I1224" s="95">
        <v>45027.0</v>
      </c>
      <c r="J1224" s="4">
        <v>317.50901193618773</v>
      </c>
      <c r="K1224" s="1"/>
      <c r="L1224" s="1"/>
      <c r="M1224" s="1" t="str">
        <f>VLOOKUP(B1224,Bounties!A:D,3,FALSE)</f>
        <v>Outreach</v>
      </c>
      <c r="N1224" s="1" t="str">
        <f>VLOOKUP(B1224,Bounties!A:D,4,FALSE)</f>
        <v>Events/Meetups</v>
      </c>
      <c r="O1224" s="1" t="str">
        <f t="shared" ref="O1224:P1224" si="1228">IF(ISBLANK(K1224),M1224,K1224)</f>
        <v>Outreach</v>
      </c>
      <c r="P1224" s="1" t="str">
        <f t="shared" si="1228"/>
        <v>Events/Meetups</v>
      </c>
      <c r="Q1224" s="61" t="str">
        <f t="shared" si="3"/>
        <v>2023</v>
      </c>
      <c r="R1224" s="62">
        <f t="shared" si="4"/>
        <v>4</v>
      </c>
      <c r="S1224" s="61" t="str">
        <f t="shared" si="5"/>
        <v>2023-Q2</v>
      </c>
      <c r="T1224" s="63" t="str">
        <f t="shared" si="6"/>
        <v>2023-04</v>
      </c>
      <c r="U1224" s="64" t="str">
        <f t="shared" si="7"/>
        <v>2023-H1</v>
      </c>
      <c r="V1224" s="9" t="str">
        <f>VLOOKUP(B1224,Bounties!A:E,2,FALSE)</f>
        <v>Events Bounty</v>
      </c>
    </row>
    <row r="1225" hidden="1">
      <c r="A1225" s="67">
        <f>HYPERLINK("https://polkadot.subsquare.io/treasury/child-bounties/169", 169)</f>
        <v>169</v>
      </c>
      <c r="B1225" s="1">
        <v>17.0</v>
      </c>
      <c r="C1225" s="1" t="s">
        <v>2414</v>
      </c>
      <c r="D1225" s="1" t="s">
        <v>1472</v>
      </c>
      <c r="E1225" s="5">
        <v>143.4</v>
      </c>
      <c r="F1225" s="4">
        <v>869.6416892051698</v>
      </c>
      <c r="G1225" s="1" t="s">
        <v>2642</v>
      </c>
      <c r="H1225" s="95">
        <v>45010.0</v>
      </c>
      <c r="I1225" s="95">
        <v>45027.0</v>
      </c>
      <c r="J1225" s="4">
        <v>952.5270358085633</v>
      </c>
      <c r="K1225" s="1"/>
      <c r="L1225" s="1"/>
      <c r="M1225" s="1" t="str">
        <f>VLOOKUP(B1225,Bounties!A:D,3,FALSE)</f>
        <v>Outreach</v>
      </c>
      <c r="N1225" s="1" t="str">
        <f>VLOOKUP(B1225,Bounties!A:D,4,FALSE)</f>
        <v>Events/Meetups</v>
      </c>
      <c r="O1225" s="1" t="str">
        <f t="shared" ref="O1225:P1225" si="1229">IF(ISBLANK(K1225),M1225,K1225)</f>
        <v>Outreach</v>
      </c>
      <c r="P1225" s="1" t="str">
        <f t="shared" si="1229"/>
        <v>Events/Meetups</v>
      </c>
      <c r="Q1225" s="61" t="str">
        <f t="shared" si="3"/>
        <v>2023</v>
      </c>
      <c r="R1225" s="62">
        <f t="shared" si="4"/>
        <v>4</v>
      </c>
      <c r="S1225" s="61" t="str">
        <f t="shared" si="5"/>
        <v>2023-Q2</v>
      </c>
      <c r="T1225" s="63" t="str">
        <f t="shared" si="6"/>
        <v>2023-04</v>
      </c>
      <c r="U1225" s="64" t="str">
        <f t="shared" si="7"/>
        <v>2023-H1</v>
      </c>
      <c r="V1225" s="9" t="str">
        <f>VLOOKUP(B1225,Bounties!A:E,2,FALSE)</f>
        <v>Events Bounty</v>
      </c>
    </row>
    <row r="1226" hidden="1">
      <c r="A1226" s="67">
        <f>HYPERLINK("https://polkadot.subsquare.io/treasury/child-bounties/168", 168)</f>
        <v>168</v>
      </c>
      <c r="B1226" s="1">
        <v>17.0</v>
      </c>
      <c r="C1226" s="1" t="s">
        <v>2414</v>
      </c>
      <c r="D1226" s="1" t="s">
        <v>1471</v>
      </c>
      <c r="E1226" s="5">
        <v>31.8</v>
      </c>
      <c r="F1226" s="4">
        <v>192.8494122505188</v>
      </c>
      <c r="G1226" s="1" t="s">
        <v>2749</v>
      </c>
      <c r="H1226" s="95">
        <v>45010.0</v>
      </c>
      <c r="I1226" s="95">
        <v>45028.0</v>
      </c>
      <c r="J1226" s="4">
        <v>216.45951175689697</v>
      </c>
      <c r="K1226" s="1"/>
      <c r="L1226" s="1"/>
      <c r="M1226" s="1" t="str">
        <f>VLOOKUP(B1226,Bounties!A:D,3,FALSE)</f>
        <v>Outreach</v>
      </c>
      <c r="N1226" s="1" t="str">
        <f>VLOOKUP(B1226,Bounties!A:D,4,FALSE)</f>
        <v>Events/Meetups</v>
      </c>
      <c r="O1226" s="1" t="str">
        <f t="shared" ref="O1226:P1226" si="1230">IF(ISBLANK(K1226),M1226,K1226)</f>
        <v>Outreach</v>
      </c>
      <c r="P1226" s="1" t="str">
        <f t="shared" si="1230"/>
        <v>Events/Meetups</v>
      </c>
      <c r="Q1226" s="61" t="str">
        <f t="shared" si="3"/>
        <v>2023</v>
      </c>
      <c r="R1226" s="62">
        <f t="shared" si="4"/>
        <v>4</v>
      </c>
      <c r="S1226" s="61" t="str">
        <f t="shared" si="5"/>
        <v>2023-Q2</v>
      </c>
      <c r="T1226" s="63" t="str">
        <f t="shared" si="6"/>
        <v>2023-04</v>
      </c>
      <c r="U1226" s="64" t="str">
        <f t="shared" si="7"/>
        <v>2023-H1</v>
      </c>
      <c r="V1226" s="9" t="str">
        <f>VLOOKUP(B1226,Bounties!A:E,2,FALSE)</f>
        <v>Events Bounty</v>
      </c>
    </row>
    <row r="1227" hidden="1">
      <c r="A1227" s="67">
        <f>HYPERLINK("https://polkadot.subsquare.io/treasury/child-bounties/167", 167)</f>
        <v>167</v>
      </c>
      <c r="B1227" s="1">
        <v>17.0</v>
      </c>
      <c r="C1227" s="1" t="s">
        <v>2414</v>
      </c>
      <c r="D1227" s="1" t="s">
        <v>1470</v>
      </c>
      <c r="E1227" s="5">
        <v>123.3</v>
      </c>
      <c r="F1227" s="4">
        <v>747.7463059902191</v>
      </c>
      <c r="G1227" s="1" t="s">
        <v>2749</v>
      </c>
      <c r="H1227" s="95">
        <v>45010.0</v>
      </c>
      <c r="I1227" s="95">
        <v>45028.0</v>
      </c>
      <c r="J1227" s="4">
        <v>839.2911257743835</v>
      </c>
      <c r="K1227" s="1"/>
      <c r="L1227" s="1"/>
      <c r="M1227" s="1" t="str">
        <f>VLOOKUP(B1227,Bounties!A:D,3,FALSE)</f>
        <v>Outreach</v>
      </c>
      <c r="N1227" s="1" t="str">
        <f>VLOOKUP(B1227,Bounties!A:D,4,FALSE)</f>
        <v>Events/Meetups</v>
      </c>
      <c r="O1227" s="1" t="str">
        <f t="shared" ref="O1227:P1227" si="1231">IF(ISBLANK(K1227),M1227,K1227)</f>
        <v>Outreach</v>
      </c>
      <c r="P1227" s="1" t="str">
        <f t="shared" si="1231"/>
        <v>Events/Meetups</v>
      </c>
      <c r="Q1227" s="61" t="str">
        <f t="shared" si="3"/>
        <v>2023</v>
      </c>
      <c r="R1227" s="62">
        <f t="shared" si="4"/>
        <v>4</v>
      </c>
      <c r="S1227" s="61" t="str">
        <f t="shared" si="5"/>
        <v>2023-Q2</v>
      </c>
      <c r="T1227" s="63" t="str">
        <f t="shared" si="6"/>
        <v>2023-04</v>
      </c>
      <c r="U1227" s="64" t="str">
        <f t="shared" si="7"/>
        <v>2023-H1</v>
      </c>
      <c r="V1227" s="9" t="str">
        <f>VLOOKUP(B1227,Bounties!A:E,2,FALSE)</f>
        <v>Events Bounty</v>
      </c>
    </row>
    <row r="1228" hidden="1">
      <c r="A1228" s="67">
        <f>HYPERLINK("https://polkadot.subsquare.io/treasury/child-bounties/166", 166)</f>
        <v>166</v>
      </c>
      <c r="B1228" s="1">
        <v>17.0</v>
      </c>
      <c r="C1228" s="1" t="s">
        <v>2414</v>
      </c>
      <c r="D1228" s="1" t="s">
        <v>1469</v>
      </c>
      <c r="E1228" s="5">
        <v>785.2</v>
      </c>
      <c r="F1228" s="4">
        <v>4621.657369804382</v>
      </c>
      <c r="G1228" s="1" t="s">
        <v>2622</v>
      </c>
      <c r="H1228" s="95">
        <v>44997.0</v>
      </c>
      <c r="I1228" s="95">
        <v>45008.0</v>
      </c>
      <c r="J1228" s="4">
        <v>4639.478283309937</v>
      </c>
      <c r="K1228" s="1"/>
      <c r="L1228" s="1" t="s">
        <v>86</v>
      </c>
      <c r="M1228" s="1" t="str">
        <f>VLOOKUP(B1228,Bounties!A:D,3,FALSE)</f>
        <v>Outreach</v>
      </c>
      <c r="N1228" s="1" t="str">
        <f>VLOOKUP(B1228,Bounties!A:D,4,FALSE)</f>
        <v>Events/Meetups</v>
      </c>
      <c r="O1228" s="1" t="str">
        <f t="shared" ref="O1228:P1228" si="1232">IF(ISBLANK(K1228),M1228,K1228)</f>
        <v>Outreach</v>
      </c>
      <c r="P1228" s="1" t="str">
        <f t="shared" si="1232"/>
        <v>Events/Conference Attendance &amp; Side Events</v>
      </c>
      <c r="Q1228" s="61" t="str">
        <f t="shared" si="3"/>
        <v>2023</v>
      </c>
      <c r="R1228" s="62">
        <f t="shared" si="4"/>
        <v>3</v>
      </c>
      <c r="S1228" s="61" t="str">
        <f t="shared" si="5"/>
        <v>2023-Q1</v>
      </c>
      <c r="T1228" s="63" t="str">
        <f t="shared" si="6"/>
        <v>2023-03</v>
      </c>
      <c r="U1228" s="64" t="str">
        <f t="shared" si="7"/>
        <v>2023-H1</v>
      </c>
      <c r="V1228" s="9" t="str">
        <f>VLOOKUP(B1228,Bounties!A:E,2,FALSE)</f>
        <v>Events Bounty</v>
      </c>
    </row>
    <row r="1229" hidden="1">
      <c r="A1229" s="67">
        <f>HYPERLINK("https://polkadot.subsquare.io/treasury/child-bounties/165", 165)</f>
        <v>165</v>
      </c>
      <c r="B1229" s="1">
        <v>17.0</v>
      </c>
      <c r="C1229" s="1" t="s">
        <v>2414</v>
      </c>
      <c r="D1229" s="1" t="s">
        <v>1468</v>
      </c>
      <c r="E1229" s="5">
        <v>6551.0</v>
      </c>
      <c r="F1229" s="4">
        <v>38558.93712377548</v>
      </c>
      <c r="G1229" s="1" t="s">
        <v>2750</v>
      </c>
      <c r="H1229" s="95">
        <v>44997.0</v>
      </c>
      <c r="I1229" s="95">
        <v>45007.0</v>
      </c>
      <c r="J1229" s="4">
        <v>39489.623997211456</v>
      </c>
      <c r="K1229" s="1"/>
      <c r="L1229" s="1" t="s">
        <v>86</v>
      </c>
      <c r="M1229" s="1" t="str">
        <f>VLOOKUP(B1229,Bounties!A:D,3,FALSE)</f>
        <v>Outreach</v>
      </c>
      <c r="N1229" s="1" t="str">
        <f>VLOOKUP(B1229,Bounties!A:D,4,FALSE)</f>
        <v>Events/Meetups</v>
      </c>
      <c r="O1229" s="1" t="str">
        <f t="shared" ref="O1229:P1229" si="1233">IF(ISBLANK(K1229),M1229,K1229)</f>
        <v>Outreach</v>
      </c>
      <c r="P1229" s="1" t="str">
        <f t="shared" si="1233"/>
        <v>Events/Conference Attendance &amp; Side Events</v>
      </c>
      <c r="Q1229" s="61" t="str">
        <f t="shared" si="3"/>
        <v>2023</v>
      </c>
      <c r="R1229" s="62">
        <f t="shared" si="4"/>
        <v>3</v>
      </c>
      <c r="S1229" s="61" t="str">
        <f t="shared" si="5"/>
        <v>2023-Q1</v>
      </c>
      <c r="T1229" s="63" t="str">
        <f t="shared" si="6"/>
        <v>2023-03</v>
      </c>
      <c r="U1229" s="64" t="str">
        <f t="shared" si="7"/>
        <v>2023-H1</v>
      </c>
      <c r="V1229" s="9" t="str">
        <f>VLOOKUP(B1229,Bounties!A:E,2,FALSE)</f>
        <v>Events Bounty</v>
      </c>
    </row>
    <row r="1230" hidden="1">
      <c r="A1230" s="67">
        <f>HYPERLINK("https://polkadot.subsquare.io/treasury/child-bounties/164", 164)</f>
        <v>164</v>
      </c>
      <c r="B1230" s="1">
        <v>11.0</v>
      </c>
      <c r="C1230" s="1" t="s">
        <v>2414</v>
      </c>
      <c r="D1230" s="1" t="s">
        <v>1467</v>
      </c>
      <c r="E1230" s="5">
        <v>137.6823471562</v>
      </c>
      <c r="F1230" s="4">
        <v>814.5944682560133</v>
      </c>
      <c r="G1230" s="1" t="s">
        <v>2437</v>
      </c>
      <c r="H1230" s="95">
        <v>44994.0</v>
      </c>
      <c r="I1230" s="95">
        <v>45003.0</v>
      </c>
      <c r="J1230" s="4">
        <v>878.8378311754724</v>
      </c>
      <c r="K1230" s="1"/>
      <c r="L1230" s="1"/>
      <c r="M1230" s="1" t="str">
        <f>VLOOKUP(B1230,Bounties!A:D,3,FALSE)</f>
        <v>Research</v>
      </c>
      <c r="N1230" s="1" t="str">
        <f>VLOOKUP(B1230,Bounties!A:D,4,FALSE)</f>
        <v>Anti-Scam</v>
      </c>
      <c r="O1230" s="1" t="str">
        <f t="shared" ref="O1230:P1230" si="1234">IF(ISBLANK(K1230),M1230,K1230)</f>
        <v>Research</v>
      </c>
      <c r="P1230" s="1" t="str">
        <f t="shared" si="1234"/>
        <v>Anti-Scam</v>
      </c>
      <c r="Q1230" s="61" t="str">
        <f t="shared" si="3"/>
        <v>2023</v>
      </c>
      <c r="R1230" s="62">
        <f t="shared" si="4"/>
        <v>3</v>
      </c>
      <c r="S1230" s="61" t="str">
        <f t="shared" si="5"/>
        <v>2023-Q1</v>
      </c>
      <c r="T1230" s="63" t="str">
        <f t="shared" si="6"/>
        <v>2023-03</v>
      </c>
      <c r="U1230" s="64" t="str">
        <f t="shared" si="7"/>
        <v>2023-H1</v>
      </c>
      <c r="V1230" s="9" t="str">
        <f>VLOOKUP(B1230,Bounties!A:E,2,FALSE)</f>
        <v>Anti-Scam Bounty</v>
      </c>
    </row>
    <row r="1231" hidden="1">
      <c r="A1231" s="67">
        <f>HYPERLINK("https://polkadot.subsquare.io/treasury/child-bounties/163", 163)</f>
        <v>163</v>
      </c>
      <c r="B1231" s="1">
        <v>11.0</v>
      </c>
      <c r="C1231" s="1" t="s">
        <v>2414</v>
      </c>
      <c r="D1231" s="1" t="s">
        <v>1466</v>
      </c>
      <c r="E1231" s="5">
        <v>144.2386494018</v>
      </c>
      <c r="F1231" s="4">
        <v>794.4258180455101</v>
      </c>
      <c r="G1231" s="1" t="s">
        <v>2438</v>
      </c>
      <c r="H1231" s="95">
        <v>44993.0</v>
      </c>
      <c r="I1231" s="95">
        <v>45003.0</v>
      </c>
      <c r="J1231" s="4">
        <v>920.6872517080632</v>
      </c>
      <c r="K1231" s="1"/>
      <c r="L1231" s="1"/>
      <c r="M1231" s="1" t="str">
        <f>VLOOKUP(B1231,Bounties!A:D,3,FALSE)</f>
        <v>Research</v>
      </c>
      <c r="N1231" s="1" t="str">
        <f>VLOOKUP(B1231,Bounties!A:D,4,FALSE)</f>
        <v>Anti-Scam</v>
      </c>
      <c r="O1231" s="1" t="str">
        <f t="shared" ref="O1231:P1231" si="1235">IF(ISBLANK(K1231),M1231,K1231)</f>
        <v>Research</v>
      </c>
      <c r="P1231" s="1" t="str">
        <f t="shared" si="1235"/>
        <v>Anti-Scam</v>
      </c>
      <c r="Q1231" s="61" t="str">
        <f t="shared" si="3"/>
        <v>2023</v>
      </c>
      <c r="R1231" s="62">
        <f t="shared" si="4"/>
        <v>3</v>
      </c>
      <c r="S1231" s="61" t="str">
        <f t="shared" si="5"/>
        <v>2023-Q1</v>
      </c>
      <c r="T1231" s="63" t="str">
        <f t="shared" si="6"/>
        <v>2023-03</v>
      </c>
      <c r="U1231" s="64" t="str">
        <f t="shared" si="7"/>
        <v>2023-H1</v>
      </c>
      <c r="V1231" s="9" t="str">
        <f>VLOOKUP(B1231,Bounties!A:E,2,FALSE)</f>
        <v>Anti-Scam Bounty</v>
      </c>
    </row>
    <row r="1232" hidden="1">
      <c r="A1232" s="67">
        <f>HYPERLINK("https://polkadot.subsquare.io/treasury/child-bounties/162", 162)</f>
        <v>162</v>
      </c>
      <c r="B1232" s="1">
        <v>11.0</v>
      </c>
      <c r="C1232" s="1" t="s">
        <v>2414</v>
      </c>
      <c r="D1232" s="1" t="s">
        <v>1465</v>
      </c>
      <c r="E1232" s="5">
        <v>170.4638583839</v>
      </c>
      <c r="F1232" s="4">
        <v>938.8668758717163</v>
      </c>
      <c r="G1232" s="1" t="s">
        <v>2437</v>
      </c>
      <c r="H1232" s="95">
        <v>44993.0</v>
      </c>
      <c r="I1232" s="95">
        <v>45003.0</v>
      </c>
      <c r="J1232" s="4">
        <v>1039.0704945452055</v>
      </c>
      <c r="K1232" s="1"/>
      <c r="L1232" s="1"/>
      <c r="M1232" s="1" t="str">
        <f>VLOOKUP(B1232,Bounties!A:D,3,FALSE)</f>
        <v>Research</v>
      </c>
      <c r="N1232" s="1" t="str">
        <f>VLOOKUP(B1232,Bounties!A:D,4,FALSE)</f>
        <v>Anti-Scam</v>
      </c>
      <c r="O1232" s="1" t="str">
        <f t="shared" ref="O1232:P1232" si="1236">IF(ISBLANK(K1232),M1232,K1232)</f>
        <v>Research</v>
      </c>
      <c r="P1232" s="1" t="str">
        <f t="shared" si="1236"/>
        <v>Anti-Scam</v>
      </c>
      <c r="Q1232" s="61" t="str">
        <f t="shared" si="3"/>
        <v>2023</v>
      </c>
      <c r="R1232" s="62">
        <f t="shared" si="4"/>
        <v>3</v>
      </c>
      <c r="S1232" s="61" t="str">
        <f t="shared" si="5"/>
        <v>2023-Q1</v>
      </c>
      <c r="T1232" s="63" t="str">
        <f t="shared" si="6"/>
        <v>2023-03</v>
      </c>
      <c r="U1232" s="64" t="str">
        <f t="shared" si="7"/>
        <v>2023-H1</v>
      </c>
      <c r="V1232" s="9" t="str">
        <f>VLOOKUP(B1232,Bounties!A:E,2,FALSE)</f>
        <v>Anti-Scam Bounty</v>
      </c>
    </row>
    <row r="1233" hidden="1">
      <c r="A1233" s="67">
        <f>HYPERLINK("https://polkadot.subsquare.io/treasury/child-bounties/161", 161)</f>
        <v>161</v>
      </c>
      <c r="B1233" s="1">
        <v>17.0</v>
      </c>
      <c r="C1233" s="1" t="s">
        <v>2414</v>
      </c>
      <c r="D1233" s="1" t="s">
        <v>1464</v>
      </c>
      <c r="E1233" s="5">
        <v>4474.1</v>
      </c>
      <c r="F1233" s="4">
        <v>24642.081489658358</v>
      </c>
      <c r="G1233" s="1" t="s">
        <v>2733</v>
      </c>
      <c r="H1233" s="95">
        <v>44993.0</v>
      </c>
      <c r="I1233" s="95">
        <v>45003.0</v>
      </c>
      <c r="J1233" s="4">
        <v>27272.08772416115</v>
      </c>
      <c r="K1233" s="1"/>
      <c r="L1233" s="1"/>
      <c r="M1233" s="1" t="str">
        <f>VLOOKUP(B1233,Bounties!A:D,3,FALSE)</f>
        <v>Outreach</v>
      </c>
      <c r="N1233" s="1" t="str">
        <f>VLOOKUP(B1233,Bounties!A:D,4,FALSE)</f>
        <v>Events/Meetups</v>
      </c>
      <c r="O1233" s="1" t="str">
        <f t="shared" ref="O1233:P1233" si="1237">IF(ISBLANK(K1233),M1233,K1233)</f>
        <v>Outreach</v>
      </c>
      <c r="P1233" s="1" t="str">
        <f t="shared" si="1237"/>
        <v>Events/Meetups</v>
      </c>
      <c r="Q1233" s="61" t="str">
        <f t="shared" si="3"/>
        <v>2023</v>
      </c>
      <c r="R1233" s="62">
        <f t="shared" si="4"/>
        <v>3</v>
      </c>
      <c r="S1233" s="61" t="str">
        <f t="shared" si="5"/>
        <v>2023-Q1</v>
      </c>
      <c r="T1233" s="63" t="str">
        <f t="shared" si="6"/>
        <v>2023-03</v>
      </c>
      <c r="U1233" s="64" t="str">
        <f t="shared" si="7"/>
        <v>2023-H1</v>
      </c>
      <c r="V1233" s="9" t="str">
        <f>VLOOKUP(B1233,Bounties!A:E,2,FALSE)</f>
        <v>Events Bounty</v>
      </c>
    </row>
    <row r="1234" hidden="1">
      <c r="A1234" s="67">
        <f>HYPERLINK("https://polkadot.subsquare.io/treasury/child-bounties/160", 160)</f>
        <v>160</v>
      </c>
      <c r="B1234" s="1">
        <v>17.0</v>
      </c>
      <c r="C1234" s="1" t="s">
        <v>2414</v>
      </c>
      <c r="D1234" s="1" t="s">
        <v>1463</v>
      </c>
      <c r="E1234" s="5">
        <v>33807.0</v>
      </c>
      <c r="F1234" s="4">
        <v>186199.42534160614</v>
      </c>
      <c r="G1234" s="1" t="s">
        <v>2751</v>
      </c>
      <c r="H1234" s="95">
        <v>44993.0</v>
      </c>
      <c r="I1234" s="95">
        <v>45005.0</v>
      </c>
      <c r="J1234" s="4">
        <v>213845.16329956055</v>
      </c>
      <c r="K1234" s="1"/>
      <c r="L1234" s="1"/>
      <c r="M1234" s="1" t="str">
        <f>VLOOKUP(B1234,Bounties!A:D,3,FALSE)</f>
        <v>Outreach</v>
      </c>
      <c r="N1234" s="1" t="str">
        <f>VLOOKUP(B1234,Bounties!A:D,4,FALSE)</f>
        <v>Events/Meetups</v>
      </c>
      <c r="O1234" s="1" t="str">
        <f t="shared" ref="O1234:P1234" si="1238">IF(ISBLANK(K1234),M1234,K1234)</f>
        <v>Outreach</v>
      </c>
      <c r="P1234" s="1" t="str">
        <f t="shared" si="1238"/>
        <v>Events/Meetups</v>
      </c>
      <c r="Q1234" s="61" t="str">
        <f t="shared" si="3"/>
        <v>2023</v>
      </c>
      <c r="R1234" s="62">
        <f t="shared" si="4"/>
        <v>3</v>
      </c>
      <c r="S1234" s="61" t="str">
        <f t="shared" si="5"/>
        <v>2023-Q1</v>
      </c>
      <c r="T1234" s="63" t="str">
        <f t="shared" si="6"/>
        <v>2023-03</v>
      </c>
      <c r="U1234" s="64" t="str">
        <f t="shared" si="7"/>
        <v>2023-H1</v>
      </c>
      <c r="V1234" s="9" t="str">
        <f>VLOOKUP(B1234,Bounties!A:E,2,FALSE)</f>
        <v>Events Bounty</v>
      </c>
    </row>
    <row r="1235" hidden="1">
      <c r="A1235" s="67">
        <f>HYPERLINK("https://polkadot.subsquare.io/treasury/child-bounties/159", 159)</f>
        <v>159</v>
      </c>
      <c r="B1235" s="1">
        <v>17.0</v>
      </c>
      <c r="C1235" s="1" t="s">
        <v>2508</v>
      </c>
      <c r="D1235" s="1" t="s">
        <v>1463</v>
      </c>
      <c r="E1235" s="5">
        <v>3380.7</v>
      </c>
      <c r="F1235" s="4">
        <v>18619.942534160615</v>
      </c>
      <c r="G1235" s="1"/>
      <c r="H1235" s="95">
        <v>44993.0</v>
      </c>
      <c r="I1235" s="95">
        <v>44993.0</v>
      </c>
      <c r="J1235" s="4">
        <v>18619.942534160615</v>
      </c>
      <c r="K1235" s="1"/>
      <c r="L1235" s="1"/>
      <c r="M1235" s="1" t="str">
        <f>VLOOKUP(B1235,Bounties!A:D,3,FALSE)</f>
        <v>Outreach</v>
      </c>
      <c r="N1235" s="1" t="str">
        <f>VLOOKUP(B1235,Bounties!A:D,4,FALSE)</f>
        <v>Events/Meetups</v>
      </c>
      <c r="O1235" s="1" t="str">
        <f t="shared" ref="O1235:P1235" si="1239">IF(ISBLANK(K1235),M1235,K1235)</f>
        <v>Outreach</v>
      </c>
      <c r="P1235" s="1" t="str">
        <f t="shared" si="1239"/>
        <v>Events/Meetups</v>
      </c>
      <c r="Q1235" s="61" t="str">
        <f t="shared" si="3"/>
        <v>2023</v>
      </c>
      <c r="R1235" s="62">
        <f t="shared" si="4"/>
        <v>3</v>
      </c>
      <c r="S1235" s="61" t="str">
        <f t="shared" si="5"/>
        <v>2023-Q1</v>
      </c>
      <c r="T1235" s="63" t="str">
        <f t="shared" si="6"/>
        <v>2023-03</v>
      </c>
      <c r="U1235" s="64" t="str">
        <f t="shared" si="7"/>
        <v>2023-H1</v>
      </c>
      <c r="V1235" s="9" t="str">
        <f>VLOOKUP(B1235,Bounties!A:E,2,FALSE)</f>
        <v>Events Bounty</v>
      </c>
    </row>
    <row r="1236" hidden="1">
      <c r="A1236" s="67">
        <f>HYPERLINK("https://polkadot.subsquare.io/treasury/child-bounties/158", 158)</f>
        <v>158</v>
      </c>
      <c r="B1236" s="1">
        <v>17.0</v>
      </c>
      <c r="C1236" s="1" t="s">
        <v>2414</v>
      </c>
      <c r="D1236" s="1" t="s">
        <v>1462</v>
      </c>
      <c r="E1236" s="5">
        <v>742.8</v>
      </c>
      <c r="F1236" s="4">
        <v>4091.1329944610593</v>
      </c>
      <c r="G1236" s="1" t="s">
        <v>2682</v>
      </c>
      <c r="H1236" s="95">
        <v>44993.0</v>
      </c>
      <c r="I1236" s="95">
        <v>45027.0</v>
      </c>
      <c r="J1236" s="4">
        <v>5002.038375663757</v>
      </c>
      <c r="K1236" s="1"/>
      <c r="L1236" s="1"/>
      <c r="M1236" s="1" t="str">
        <f>VLOOKUP(B1236,Bounties!A:D,3,FALSE)</f>
        <v>Outreach</v>
      </c>
      <c r="N1236" s="1" t="str">
        <f>VLOOKUP(B1236,Bounties!A:D,4,FALSE)</f>
        <v>Events/Meetups</v>
      </c>
      <c r="O1236" s="1" t="str">
        <f t="shared" ref="O1236:P1236" si="1240">IF(ISBLANK(K1236),M1236,K1236)</f>
        <v>Outreach</v>
      </c>
      <c r="P1236" s="1" t="str">
        <f t="shared" si="1240"/>
        <v>Events/Meetups</v>
      </c>
      <c r="Q1236" s="61" t="str">
        <f t="shared" si="3"/>
        <v>2023</v>
      </c>
      <c r="R1236" s="62">
        <f t="shared" si="4"/>
        <v>4</v>
      </c>
      <c r="S1236" s="61" t="str">
        <f t="shared" si="5"/>
        <v>2023-Q2</v>
      </c>
      <c r="T1236" s="63" t="str">
        <f t="shared" si="6"/>
        <v>2023-04</v>
      </c>
      <c r="U1236" s="64" t="str">
        <f t="shared" si="7"/>
        <v>2023-H1</v>
      </c>
      <c r="V1236" s="9" t="str">
        <f>VLOOKUP(B1236,Bounties!A:E,2,FALSE)</f>
        <v>Events Bounty</v>
      </c>
    </row>
    <row r="1237" hidden="1">
      <c r="A1237" s="67">
        <f>HYPERLINK("https://polkadot.subsquare.io/treasury/child-bounties/157", 157)</f>
        <v>157</v>
      </c>
      <c r="B1237" s="1">
        <v>17.0</v>
      </c>
      <c r="C1237" s="1" t="s">
        <v>2414</v>
      </c>
      <c r="D1237" s="1" t="s">
        <v>1461</v>
      </c>
      <c r="E1237" s="5">
        <v>2539.4</v>
      </c>
      <c r="F1237" s="4">
        <v>13986.29930820465</v>
      </c>
      <c r="G1237" s="1" t="s">
        <v>2752</v>
      </c>
      <c r="H1237" s="95">
        <v>44993.0</v>
      </c>
      <c r="I1237" s="95">
        <v>45002.0</v>
      </c>
      <c r="J1237" s="4">
        <v>15479.032557773591</v>
      </c>
      <c r="K1237" s="1"/>
      <c r="L1237" s="1" t="s">
        <v>86</v>
      </c>
      <c r="M1237" s="1" t="str">
        <f>VLOOKUP(B1237,Bounties!A:D,3,FALSE)</f>
        <v>Outreach</v>
      </c>
      <c r="N1237" s="1" t="str">
        <f>VLOOKUP(B1237,Bounties!A:D,4,FALSE)</f>
        <v>Events/Meetups</v>
      </c>
      <c r="O1237" s="1" t="str">
        <f t="shared" ref="O1237:P1237" si="1241">IF(ISBLANK(K1237),M1237,K1237)</f>
        <v>Outreach</v>
      </c>
      <c r="P1237" s="1" t="str">
        <f t="shared" si="1241"/>
        <v>Events/Conference Attendance &amp; Side Events</v>
      </c>
      <c r="Q1237" s="61" t="str">
        <f t="shared" si="3"/>
        <v>2023</v>
      </c>
      <c r="R1237" s="62">
        <f t="shared" si="4"/>
        <v>3</v>
      </c>
      <c r="S1237" s="61" t="str">
        <f t="shared" si="5"/>
        <v>2023-Q1</v>
      </c>
      <c r="T1237" s="63" t="str">
        <f t="shared" si="6"/>
        <v>2023-03</v>
      </c>
      <c r="U1237" s="64" t="str">
        <f t="shared" si="7"/>
        <v>2023-H1</v>
      </c>
      <c r="V1237" s="9" t="str">
        <f>VLOOKUP(B1237,Bounties!A:E,2,FALSE)</f>
        <v>Events Bounty</v>
      </c>
    </row>
    <row r="1238" hidden="1">
      <c r="A1238" s="67">
        <f>HYPERLINK("https://polkadot.subsquare.io/treasury/child-bounties/156", 156)</f>
        <v>156</v>
      </c>
      <c r="B1238" s="1">
        <v>11.0</v>
      </c>
      <c r="C1238" s="1" t="s">
        <v>2414</v>
      </c>
      <c r="D1238" s="1" t="s">
        <v>1460</v>
      </c>
      <c r="E1238" s="5">
        <v>245.8613342075</v>
      </c>
      <c r="F1238" s="4">
        <v>1365.6702183871716</v>
      </c>
      <c r="G1238" s="1" t="s">
        <v>2534</v>
      </c>
      <c r="H1238" s="95">
        <v>44992.0</v>
      </c>
      <c r="I1238" s="95">
        <v>45002.0</v>
      </c>
      <c r="J1238" s="4">
        <v>1590.7608823802368</v>
      </c>
      <c r="K1238" s="1"/>
      <c r="L1238" s="1"/>
      <c r="M1238" s="1" t="str">
        <f>VLOOKUP(B1238,Bounties!A:D,3,FALSE)</f>
        <v>Research</v>
      </c>
      <c r="N1238" s="1" t="str">
        <f>VLOOKUP(B1238,Bounties!A:D,4,FALSE)</f>
        <v>Anti-Scam</v>
      </c>
      <c r="O1238" s="1" t="str">
        <f t="shared" ref="O1238:P1238" si="1242">IF(ISBLANK(K1238),M1238,K1238)</f>
        <v>Research</v>
      </c>
      <c r="P1238" s="1" t="str">
        <f t="shared" si="1242"/>
        <v>Anti-Scam</v>
      </c>
      <c r="Q1238" s="61" t="str">
        <f t="shared" si="3"/>
        <v>2023</v>
      </c>
      <c r="R1238" s="62">
        <f t="shared" si="4"/>
        <v>3</v>
      </c>
      <c r="S1238" s="61" t="str">
        <f t="shared" si="5"/>
        <v>2023-Q1</v>
      </c>
      <c r="T1238" s="63" t="str">
        <f t="shared" si="6"/>
        <v>2023-03</v>
      </c>
      <c r="U1238" s="64" t="str">
        <f t="shared" si="7"/>
        <v>2023-H1</v>
      </c>
      <c r="V1238" s="9" t="str">
        <f>VLOOKUP(B1238,Bounties!A:E,2,FALSE)</f>
        <v>Anti-Scam Bounty</v>
      </c>
    </row>
    <row r="1239" hidden="1">
      <c r="A1239" s="67">
        <f>HYPERLINK("https://polkadot.subsquare.io/treasury/child-bounties/155", 155)</f>
        <v>155</v>
      </c>
      <c r="B1239" s="1">
        <v>11.0</v>
      </c>
      <c r="C1239" s="1" t="s">
        <v>2414</v>
      </c>
      <c r="D1239" s="1" t="s">
        <v>1459</v>
      </c>
      <c r="E1239" s="5">
        <v>245.8613342075</v>
      </c>
      <c r="F1239" s="4">
        <v>1365.6702183871716</v>
      </c>
      <c r="G1239" s="1" t="s">
        <v>2526</v>
      </c>
      <c r="H1239" s="95">
        <v>44992.0</v>
      </c>
      <c r="I1239" s="95">
        <v>45004.0</v>
      </c>
      <c r="J1239" s="4">
        <v>1490.775492714535</v>
      </c>
      <c r="K1239" s="1"/>
      <c r="L1239" s="1"/>
      <c r="M1239" s="1" t="str">
        <f>VLOOKUP(B1239,Bounties!A:D,3,FALSE)</f>
        <v>Research</v>
      </c>
      <c r="N1239" s="1" t="str">
        <f>VLOOKUP(B1239,Bounties!A:D,4,FALSE)</f>
        <v>Anti-Scam</v>
      </c>
      <c r="O1239" s="1" t="str">
        <f t="shared" ref="O1239:P1239" si="1243">IF(ISBLANK(K1239),M1239,K1239)</f>
        <v>Research</v>
      </c>
      <c r="P1239" s="1" t="str">
        <f t="shared" si="1243"/>
        <v>Anti-Scam</v>
      </c>
      <c r="Q1239" s="61" t="str">
        <f t="shared" si="3"/>
        <v>2023</v>
      </c>
      <c r="R1239" s="62">
        <f t="shared" si="4"/>
        <v>3</v>
      </c>
      <c r="S1239" s="61" t="str">
        <f t="shared" si="5"/>
        <v>2023-Q1</v>
      </c>
      <c r="T1239" s="63" t="str">
        <f t="shared" si="6"/>
        <v>2023-03</v>
      </c>
      <c r="U1239" s="64" t="str">
        <f t="shared" si="7"/>
        <v>2023-H1</v>
      </c>
      <c r="V1239" s="9" t="str">
        <f>VLOOKUP(B1239,Bounties!A:E,2,FALSE)</f>
        <v>Anti-Scam Bounty</v>
      </c>
    </row>
    <row r="1240" hidden="1">
      <c r="A1240" s="67">
        <f>HYPERLINK("https://polkadot.subsquare.io/treasury/child-bounties/154", 154)</f>
        <v>154</v>
      </c>
      <c r="B1240" s="1">
        <v>11.0</v>
      </c>
      <c r="C1240" s="1" t="s">
        <v>2414</v>
      </c>
      <c r="D1240" s="1" t="s">
        <v>1458</v>
      </c>
      <c r="E1240" s="5">
        <v>131.1260449107</v>
      </c>
      <c r="F1240" s="4">
        <v>728.3574498066768</v>
      </c>
      <c r="G1240" s="1" t="s">
        <v>2437</v>
      </c>
      <c r="H1240" s="95">
        <v>44992.0</v>
      </c>
      <c r="I1240" s="95">
        <v>45001.0</v>
      </c>
      <c r="J1240" s="4">
        <v>848.4058039363418</v>
      </c>
      <c r="K1240" s="1"/>
      <c r="L1240" s="1"/>
      <c r="M1240" s="1" t="str">
        <f>VLOOKUP(B1240,Bounties!A:D,3,FALSE)</f>
        <v>Research</v>
      </c>
      <c r="N1240" s="1" t="str">
        <f>VLOOKUP(B1240,Bounties!A:D,4,FALSE)</f>
        <v>Anti-Scam</v>
      </c>
      <c r="O1240" s="1" t="str">
        <f t="shared" ref="O1240:P1240" si="1244">IF(ISBLANK(K1240),M1240,K1240)</f>
        <v>Research</v>
      </c>
      <c r="P1240" s="1" t="str">
        <f t="shared" si="1244"/>
        <v>Anti-Scam</v>
      </c>
      <c r="Q1240" s="61" t="str">
        <f t="shared" si="3"/>
        <v>2023</v>
      </c>
      <c r="R1240" s="62">
        <f t="shared" si="4"/>
        <v>3</v>
      </c>
      <c r="S1240" s="61" t="str">
        <f t="shared" si="5"/>
        <v>2023-Q1</v>
      </c>
      <c r="T1240" s="63" t="str">
        <f t="shared" si="6"/>
        <v>2023-03</v>
      </c>
      <c r="U1240" s="64" t="str">
        <f t="shared" si="7"/>
        <v>2023-H1</v>
      </c>
      <c r="V1240" s="9" t="str">
        <f>VLOOKUP(B1240,Bounties!A:E,2,FALSE)</f>
        <v>Anti-Scam Bounty</v>
      </c>
    </row>
    <row r="1241" hidden="1">
      <c r="A1241" s="67">
        <f>HYPERLINK("https://polkadot.subsquare.io/treasury/child-bounties/153", 153)</f>
        <v>153</v>
      </c>
      <c r="B1241" s="1">
        <v>11.0</v>
      </c>
      <c r="C1241" s="1" t="s">
        <v>2414</v>
      </c>
      <c r="D1241" s="1" t="s">
        <v>1457</v>
      </c>
      <c r="E1241" s="5">
        <v>131.1260449107</v>
      </c>
      <c r="F1241" s="4">
        <v>728.3574498066768</v>
      </c>
      <c r="G1241" s="1" t="s">
        <v>2463</v>
      </c>
      <c r="H1241" s="95">
        <v>44992.0</v>
      </c>
      <c r="I1241" s="95">
        <v>45001.0</v>
      </c>
      <c r="J1241" s="4">
        <v>829.8425904222557</v>
      </c>
      <c r="K1241" s="1"/>
      <c r="L1241" s="1"/>
      <c r="M1241" s="1" t="str">
        <f>VLOOKUP(B1241,Bounties!A:D,3,FALSE)</f>
        <v>Research</v>
      </c>
      <c r="N1241" s="1" t="str">
        <f>VLOOKUP(B1241,Bounties!A:D,4,FALSE)</f>
        <v>Anti-Scam</v>
      </c>
      <c r="O1241" s="1" t="str">
        <f t="shared" ref="O1241:P1241" si="1245">IF(ISBLANK(K1241),M1241,K1241)</f>
        <v>Research</v>
      </c>
      <c r="P1241" s="1" t="str">
        <f t="shared" si="1245"/>
        <v>Anti-Scam</v>
      </c>
      <c r="Q1241" s="61" t="str">
        <f t="shared" si="3"/>
        <v>2023</v>
      </c>
      <c r="R1241" s="62">
        <f t="shared" si="4"/>
        <v>3</v>
      </c>
      <c r="S1241" s="61" t="str">
        <f t="shared" si="5"/>
        <v>2023-Q1</v>
      </c>
      <c r="T1241" s="63" t="str">
        <f t="shared" si="6"/>
        <v>2023-03</v>
      </c>
      <c r="U1241" s="64" t="str">
        <f t="shared" si="7"/>
        <v>2023-H1</v>
      </c>
      <c r="V1241" s="9" t="str">
        <f>VLOOKUP(B1241,Bounties!A:E,2,FALSE)</f>
        <v>Anti-Scam Bounty</v>
      </c>
    </row>
    <row r="1242" hidden="1">
      <c r="A1242" s="67">
        <f>HYPERLINK("https://polkadot.subsquare.io/treasury/child-bounties/152", 152)</f>
        <v>152</v>
      </c>
      <c r="B1242" s="1">
        <v>11.0</v>
      </c>
      <c r="C1242" s="1" t="s">
        <v>2414</v>
      </c>
      <c r="D1242" s="1" t="s">
        <v>1456</v>
      </c>
      <c r="E1242" s="5">
        <v>131.1260449107</v>
      </c>
      <c r="F1242" s="4">
        <v>728.3574498066768</v>
      </c>
      <c r="G1242" s="1" t="s">
        <v>2438</v>
      </c>
      <c r="H1242" s="95">
        <v>44992.0</v>
      </c>
      <c r="I1242" s="95">
        <v>45001.0</v>
      </c>
      <c r="J1242" s="4">
        <v>829.8425904222557</v>
      </c>
      <c r="K1242" s="1"/>
      <c r="L1242" s="1"/>
      <c r="M1242" s="1" t="str">
        <f>VLOOKUP(B1242,Bounties!A:D,3,FALSE)</f>
        <v>Research</v>
      </c>
      <c r="N1242" s="1" t="str">
        <f>VLOOKUP(B1242,Bounties!A:D,4,FALSE)</f>
        <v>Anti-Scam</v>
      </c>
      <c r="O1242" s="1" t="str">
        <f t="shared" ref="O1242:P1242" si="1246">IF(ISBLANK(K1242),M1242,K1242)</f>
        <v>Research</v>
      </c>
      <c r="P1242" s="1" t="str">
        <f t="shared" si="1246"/>
        <v>Anti-Scam</v>
      </c>
      <c r="Q1242" s="61" t="str">
        <f t="shared" si="3"/>
        <v>2023</v>
      </c>
      <c r="R1242" s="62">
        <f t="shared" si="4"/>
        <v>3</v>
      </c>
      <c r="S1242" s="61" t="str">
        <f t="shared" si="5"/>
        <v>2023-Q1</v>
      </c>
      <c r="T1242" s="63" t="str">
        <f t="shared" si="6"/>
        <v>2023-03</v>
      </c>
      <c r="U1242" s="64" t="str">
        <f t="shared" si="7"/>
        <v>2023-H1</v>
      </c>
      <c r="V1242" s="9" t="str">
        <f>VLOOKUP(B1242,Bounties!A:E,2,FALSE)</f>
        <v>Anti-Scam Bounty</v>
      </c>
    </row>
    <row r="1243" hidden="1">
      <c r="A1243" s="67">
        <f>HYPERLINK("https://polkadot.subsquare.io/treasury/child-bounties/151", 151)</f>
        <v>151</v>
      </c>
      <c r="B1243" s="1">
        <v>11.0</v>
      </c>
      <c r="C1243" s="1" t="s">
        <v>2414</v>
      </c>
      <c r="D1243" s="1" t="s">
        <v>1455</v>
      </c>
      <c r="E1243" s="5">
        <v>40.976889</v>
      </c>
      <c r="F1243" s="4">
        <v>220.4854063290596</v>
      </c>
      <c r="G1243" s="1" t="s">
        <v>2528</v>
      </c>
      <c r="H1243" s="95">
        <v>44991.0</v>
      </c>
      <c r="I1243" s="95">
        <v>45000.0</v>
      </c>
      <c r="J1243" s="4">
        <v>259.32580928802537</v>
      </c>
      <c r="K1243" s="1"/>
      <c r="L1243" s="1"/>
      <c r="M1243" s="1" t="str">
        <f>VLOOKUP(B1243,Bounties!A:D,3,FALSE)</f>
        <v>Research</v>
      </c>
      <c r="N1243" s="1" t="str">
        <f>VLOOKUP(B1243,Bounties!A:D,4,FALSE)</f>
        <v>Anti-Scam</v>
      </c>
      <c r="O1243" s="1" t="str">
        <f t="shared" ref="O1243:P1243" si="1247">IF(ISBLANK(K1243),M1243,K1243)</f>
        <v>Research</v>
      </c>
      <c r="P1243" s="1" t="str">
        <f t="shared" si="1247"/>
        <v>Anti-Scam</v>
      </c>
      <c r="Q1243" s="61" t="str">
        <f t="shared" si="3"/>
        <v>2023</v>
      </c>
      <c r="R1243" s="62">
        <f t="shared" si="4"/>
        <v>3</v>
      </c>
      <c r="S1243" s="61" t="str">
        <f t="shared" si="5"/>
        <v>2023-Q1</v>
      </c>
      <c r="T1243" s="63" t="str">
        <f t="shared" si="6"/>
        <v>2023-03</v>
      </c>
      <c r="U1243" s="64" t="str">
        <f t="shared" si="7"/>
        <v>2023-H1</v>
      </c>
      <c r="V1243" s="9" t="str">
        <f>VLOOKUP(B1243,Bounties!A:E,2,FALSE)</f>
        <v>Anti-Scam Bounty</v>
      </c>
    </row>
    <row r="1244" hidden="1">
      <c r="A1244" s="67">
        <f>HYPERLINK("https://polkadot.subsquare.io/treasury/child-bounties/150", 150)</f>
        <v>150</v>
      </c>
      <c r="B1244" s="1">
        <v>11.0</v>
      </c>
      <c r="C1244" s="1" t="s">
        <v>2414</v>
      </c>
      <c r="D1244" s="1" t="s">
        <v>1454</v>
      </c>
      <c r="E1244" s="5">
        <v>245.861334</v>
      </c>
      <c r="F1244" s="4">
        <v>1322.9124379743575</v>
      </c>
      <c r="G1244" s="1" t="s">
        <v>2745</v>
      </c>
      <c r="H1244" s="95">
        <v>44991.0</v>
      </c>
      <c r="I1244" s="95">
        <v>45000.0</v>
      </c>
      <c r="J1244" s="4">
        <v>1631.4957562269717</v>
      </c>
      <c r="K1244" s="1"/>
      <c r="L1244" s="1"/>
      <c r="M1244" s="1" t="str">
        <f>VLOOKUP(B1244,Bounties!A:D,3,FALSE)</f>
        <v>Research</v>
      </c>
      <c r="N1244" s="1" t="str">
        <f>VLOOKUP(B1244,Bounties!A:D,4,FALSE)</f>
        <v>Anti-Scam</v>
      </c>
      <c r="O1244" s="1" t="str">
        <f t="shared" ref="O1244:P1244" si="1248">IF(ISBLANK(K1244),M1244,K1244)</f>
        <v>Research</v>
      </c>
      <c r="P1244" s="1" t="str">
        <f t="shared" si="1248"/>
        <v>Anti-Scam</v>
      </c>
      <c r="Q1244" s="61" t="str">
        <f t="shared" si="3"/>
        <v>2023</v>
      </c>
      <c r="R1244" s="62">
        <f t="shared" si="4"/>
        <v>3</v>
      </c>
      <c r="S1244" s="61" t="str">
        <f t="shared" si="5"/>
        <v>2023-Q1</v>
      </c>
      <c r="T1244" s="63" t="str">
        <f t="shared" si="6"/>
        <v>2023-03</v>
      </c>
      <c r="U1244" s="64" t="str">
        <f t="shared" si="7"/>
        <v>2023-H1</v>
      </c>
      <c r="V1244" s="9" t="str">
        <f>VLOOKUP(B1244,Bounties!A:E,2,FALSE)</f>
        <v>Anti-Scam Bounty</v>
      </c>
    </row>
    <row r="1245" hidden="1">
      <c r="A1245" s="67">
        <f>HYPERLINK("https://polkadot.subsquare.io/treasury/child-bounties/149", 149)</f>
        <v>149</v>
      </c>
      <c r="B1245" s="1">
        <v>17.0</v>
      </c>
      <c r="C1245" s="1" t="s">
        <v>2414</v>
      </c>
      <c r="D1245" s="1" t="s">
        <v>1453</v>
      </c>
      <c r="E1245" s="5">
        <v>48.6</v>
      </c>
      <c r="F1245" s="4">
        <v>261.5032768249512</v>
      </c>
      <c r="G1245" s="1" t="s">
        <v>2753</v>
      </c>
      <c r="H1245" s="95">
        <v>44991.0</v>
      </c>
      <c r="I1245" s="95">
        <v>45002.0</v>
      </c>
      <c r="J1245" s="4">
        <v>296.2435938835144</v>
      </c>
      <c r="K1245" s="1"/>
      <c r="L1245" s="1"/>
      <c r="M1245" s="1" t="str">
        <f>VLOOKUP(B1245,Bounties!A:D,3,FALSE)</f>
        <v>Outreach</v>
      </c>
      <c r="N1245" s="1" t="str">
        <f>VLOOKUP(B1245,Bounties!A:D,4,FALSE)</f>
        <v>Events/Meetups</v>
      </c>
      <c r="O1245" s="1" t="str">
        <f t="shared" ref="O1245:P1245" si="1249">IF(ISBLANK(K1245),M1245,K1245)</f>
        <v>Outreach</v>
      </c>
      <c r="P1245" s="1" t="str">
        <f t="shared" si="1249"/>
        <v>Events/Meetups</v>
      </c>
      <c r="Q1245" s="61" t="str">
        <f t="shared" si="3"/>
        <v>2023</v>
      </c>
      <c r="R1245" s="62">
        <f t="shared" si="4"/>
        <v>3</v>
      </c>
      <c r="S1245" s="61" t="str">
        <f t="shared" si="5"/>
        <v>2023-Q1</v>
      </c>
      <c r="T1245" s="63" t="str">
        <f t="shared" si="6"/>
        <v>2023-03</v>
      </c>
      <c r="U1245" s="64" t="str">
        <f t="shared" si="7"/>
        <v>2023-H1</v>
      </c>
      <c r="V1245" s="9" t="str">
        <f>VLOOKUP(B1245,Bounties!A:E,2,FALSE)</f>
        <v>Events Bounty</v>
      </c>
    </row>
    <row r="1246" hidden="1">
      <c r="A1246" s="67">
        <f>HYPERLINK("https://polkadot.subsquare.io/treasury/child-bounties/148", 148)</f>
        <v>148</v>
      </c>
      <c r="B1246" s="1">
        <v>17.0</v>
      </c>
      <c r="C1246" s="1" t="s">
        <v>2414</v>
      </c>
      <c r="D1246" s="1" t="s">
        <v>1452</v>
      </c>
      <c r="E1246" s="5">
        <v>24.3</v>
      </c>
      <c r="F1246" s="4">
        <v>130.7516384124756</v>
      </c>
      <c r="G1246" s="1" t="s">
        <v>2737</v>
      </c>
      <c r="H1246" s="95">
        <v>44991.0</v>
      </c>
      <c r="I1246" s="95">
        <v>45009.0</v>
      </c>
      <c r="J1246" s="4">
        <v>142.72889728546144</v>
      </c>
      <c r="K1246" s="1"/>
      <c r="L1246" s="1"/>
      <c r="M1246" s="1" t="str">
        <f>VLOOKUP(B1246,Bounties!A:D,3,FALSE)</f>
        <v>Outreach</v>
      </c>
      <c r="N1246" s="1" t="str">
        <f>VLOOKUP(B1246,Bounties!A:D,4,FALSE)</f>
        <v>Events/Meetups</v>
      </c>
      <c r="O1246" s="1" t="str">
        <f t="shared" ref="O1246:P1246" si="1250">IF(ISBLANK(K1246),M1246,K1246)</f>
        <v>Outreach</v>
      </c>
      <c r="P1246" s="1" t="str">
        <f t="shared" si="1250"/>
        <v>Events/Meetups</v>
      </c>
      <c r="Q1246" s="61" t="str">
        <f t="shared" si="3"/>
        <v>2023</v>
      </c>
      <c r="R1246" s="62">
        <f t="shared" si="4"/>
        <v>3</v>
      </c>
      <c r="S1246" s="61" t="str">
        <f t="shared" si="5"/>
        <v>2023-Q1</v>
      </c>
      <c r="T1246" s="63" t="str">
        <f t="shared" si="6"/>
        <v>2023-03</v>
      </c>
      <c r="U1246" s="64" t="str">
        <f t="shared" si="7"/>
        <v>2023-H1</v>
      </c>
      <c r="V1246" s="9" t="str">
        <f>VLOOKUP(B1246,Bounties!A:E,2,FALSE)</f>
        <v>Events Bounty</v>
      </c>
    </row>
    <row r="1247" hidden="1">
      <c r="A1247" s="67">
        <f>HYPERLINK("https://polkadot.subsquare.io/treasury/child-bounties/147", 147)</f>
        <v>147</v>
      </c>
      <c r="B1247" s="1">
        <v>17.0</v>
      </c>
      <c r="C1247" s="1" t="s">
        <v>2414</v>
      </c>
      <c r="D1247" s="1" t="s">
        <v>1451</v>
      </c>
      <c r="E1247" s="5">
        <v>32.4</v>
      </c>
      <c r="F1247" s="4">
        <v>174.33551788330078</v>
      </c>
      <c r="G1247" s="1" t="s">
        <v>2709</v>
      </c>
      <c r="H1247" s="95">
        <v>44991.0</v>
      </c>
      <c r="I1247" s="95">
        <v>45004.0</v>
      </c>
      <c r="J1247" s="4">
        <v>196.45677967071532</v>
      </c>
      <c r="K1247" s="1"/>
      <c r="L1247" s="1"/>
      <c r="M1247" s="1" t="str">
        <f>VLOOKUP(B1247,Bounties!A:D,3,FALSE)</f>
        <v>Outreach</v>
      </c>
      <c r="N1247" s="1" t="str">
        <f>VLOOKUP(B1247,Bounties!A:D,4,FALSE)</f>
        <v>Events/Meetups</v>
      </c>
      <c r="O1247" s="1" t="str">
        <f t="shared" ref="O1247:P1247" si="1251">IF(ISBLANK(K1247),M1247,K1247)</f>
        <v>Outreach</v>
      </c>
      <c r="P1247" s="1" t="str">
        <f t="shared" si="1251"/>
        <v>Events/Meetups</v>
      </c>
      <c r="Q1247" s="61" t="str">
        <f t="shared" si="3"/>
        <v>2023</v>
      </c>
      <c r="R1247" s="62">
        <f t="shared" si="4"/>
        <v>3</v>
      </c>
      <c r="S1247" s="61" t="str">
        <f t="shared" si="5"/>
        <v>2023-Q1</v>
      </c>
      <c r="T1247" s="63" t="str">
        <f t="shared" si="6"/>
        <v>2023-03</v>
      </c>
      <c r="U1247" s="64" t="str">
        <f t="shared" si="7"/>
        <v>2023-H1</v>
      </c>
      <c r="V1247" s="9" t="str">
        <f>VLOOKUP(B1247,Bounties!A:E,2,FALSE)</f>
        <v>Events Bounty</v>
      </c>
    </row>
    <row r="1248" hidden="1">
      <c r="A1248" s="67">
        <f>HYPERLINK("https://polkadot.subsquare.io/treasury/child-bounties/146", 146)</f>
        <v>146</v>
      </c>
      <c r="B1248" s="1">
        <v>17.0</v>
      </c>
      <c r="C1248" s="1" t="s">
        <v>2414</v>
      </c>
      <c r="D1248" s="1" t="s">
        <v>1450</v>
      </c>
      <c r="E1248" s="5">
        <v>24.3</v>
      </c>
      <c r="F1248" s="4">
        <v>130.7516384124756</v>
      </c>
      <c r="G1248" s="1" t="s">
        <v>2754</v>
      </c>
      <c r="H1248" s="95">
        <v>44991.0</v>
      </c>
      <c r="I1248" s="95">
        <v>45002.0</v>
      </c>
      <c r="J1248" s="4">
        <v>148.1217969417572</v>
      </c>
      <c r="K1248" s="1"/>
      <c r="L1248" s="1"/>
      <c r="M1248" s="1" t="str">
        <f>VLOOKUP(B1248,Bounties!A:D,3,FALSE)</f>
        <v>Outreach</v>
      </c>
      <c r="N1248" s="1" t="str">
        <f>VLOOKUP(B1248,Bounties!A:D,4,FALSE)</f>
        <v>Events/Meetups</v>
      </c>
      <c r="O1248" s="1" t="str">
        <f t="shared" ref="O1248:P1248" si="1252">IF(ISBLANK(K1248),M1248,K1248)</f>
        <v>Outreach</v>
      </c>
      <c r="P1248" s="1" t="str">
        <f t="shared" si="1252"/>
        <v>Events/Meetups</v>
      </c>
      <c r="Q1248" s="61" t="str">
        <f t="shared" si="3"/>
        <v>2023</v>
      </c>
      <c r="R1248" s="62">
        <f t="shared" si="4"/>
        <v>3</v>
      </c>
      <c r="S1248" s="61" t="str">
        <f t="shared" si="5"/>
        <v>2023-Q1</v>
      </c>
      <c r="T1248" s="63" t="str">
        <f t="shared" si="6"/>
        <v>2023-03</v>
      </c>
      <c r="U1248" s="64" t="str">
        <f t="shared" si="7"/>
        <v>2023-H1</v>
      </c>
      <c r="V1248" s="9" t="str">
        <f>VLOOKUP(B1248,Bounties!A:E,2,FALSE)</f>
        <v>Events Bounty</v>
      </c>
    </row>
    <row r="1249" hidden="1">
      <c r="A1249" s="67">
        <f>HYPERLINK("https://polkadot.subsquare.io/treasury/child-bounties/145", 145)</f>
        <v>145</v>
      </c>
      <c r="B1249" s="1">
        <v>17.0</v>
      </c>
      <c r="C1249" s="1" t="s">
        <v>2414</v>
      </c>
      <c r="D1249" s="1" t="s">
        <v>1449</v>
      </c>
      <c r="E1249" s="5">
        <v>48.6</v>
      </c>
      <c r="F1249" s="4">
        <v>261.5032768249512</v>
      </c>
      <c r="G1249" s="1" t="s">
        <v>2659</v>
      </c>
      <c r="H1249" s="95">
        <v>44991.0</v>
      </c>
      <c r="I1249" s="95">
        <v>45002.0</v>
      </c>
      <c r="J1249" s="4">
        <v>296.2435938835144</v>
      </c>
      <c r="K1249" s="1"/>
      <c r="L1249" s="1"/>
      <c r="M1249" s="1" t="str">
        <f>VLOOKUP(B1249,Bounties!A:D,3,FALSE)</f>
        <v>Outreach</v>
      </c>
      <c r="N1249" s="1" t="str">
        <f>VLOOKUP(B1249,Bounties!A:D,4,FALSE)</f>
        <v>Events/Meetups</v>
      </c>
      <c r="O1249" s="1" t="str">
        <f t="shared" ref="O1249:P1249" si="1253">IF(ISBLANK(K1249),M1249,K1249)</f>
        <v>Outreach</v>
      </c>
      <c r="P1249" s="1" t="str">
        <f t="shared" si="1253"/>
        <v>Events/Meetups</v>
      </c>
      <c r="Q1249" s="61" t="str">
        <f t="shared" si="3"/>
        <v>2023</v>
      </c>
      <c r="R1249" s="62">
        <f t="shared" si="4"/>
        <v>3</v>
      </c>
      <c r="S1249" s="61" t="str">
        <f t="shared" si="5"/>
        <v>2023-Q1</v>
      </c>
      <c r="T1249" s="63" t="str">
        <f t="shared" si="6"/>
        <v>2023-03</v>
      </c>
      <c r="U1249" s="64" t="str">
        <f t="shared" si="7"/>
        <v>2023-H1</v>
      </c>
      <c r="V1249" s="9" t="str">
        <f>VLOOKUP(B1249,Bounties!A:E,2,FALSE)</f>
        <v>Events Bounty</v>
      </c>
    </row>
    <row r="1250" hidden="1">
      <c r="A1250" s="67">
        <f>HYPERLINK("https://polkadot.subsquare.io/treasury/child-bounties/144", 144)</f>
        <v>144</v>
      </c>
      <c r="B1250" s="1">
        <v>17.0</v>
      </c>
      <c r="C1250" s="1" t="s">
        <v>2414</v>
      </c>
      <c r="D1250" s="1" t="s">
        <v>1448</v>
      </c>
      <c r="E1250" s="5">
        <v>24.3</v>
      </c>
      <c r="F1250" s="4">
        <v>130.7516384124756</v>
      </c>
      <c r="G1250" s="1" t="s">
        <v>2737</v>
      </c>
      <c r="H1250" s="95">
        <v>44991.0</v>
      </c>
      <c r="I1250" s="95">
        <v>45009.0</v>
      </c>
      <c r="J1250" s="4">
        <v>142.72889728546144</v>
      </c>
      <c r="K1250" s="1"/>
      <c r="L1250" s="1"/>
      <c r="M1250" s="1" t="str">
        <f>VLOOKUP(B1250,Bounties!A:D,3,FALSE)</f>
        <v>Outreach</v>
      </c>
      <c r="N1250" s="1" t="str">
        <f>VLOOKUP(B1250,Bounties!A:D,4,FALSE)</f>
        <v>Events/Meetups</v>
      </c>
      <c r="O1250" s="1" t="str">
        <f t="shared" ref="O1250:P1250" si="1254">IF(ISBLANK(K1250),M1250,K1250)</f>
        <v>Outreach</v>
      </c>
      <c r="P1250" s="1" t="str">
        <f t="shared" si="1254"/>
        <v>Events/Meetups</v>
      </c>
      <c r="Q1250" s="61" t="str">
        <f t="shared" si="3"/>
        <v>2023</v>
      </c>
      <c r="R1250" s="62">
        <f t="shared" si="4"/>
        <v>3</v>
      </c>
      <c r="S1250" s="61" t="str">
        <f t="shared" si="5"/>
        <v>2023-Q1</v>
      </c>
      <c r="T1250" s="63" t="str">
        <f t="shared" si="6"/>
        <v>2023-03</v>
      </c>
      <c r="U1250" s="64" t="str">
        <f t="shared" si="7"/>
        <v>2023-H1</v>
      </c>
      <c r="V1250" s="9" t="str">
        <f>VLOOKUP(B1250,Bounties!A:E,2,FALSE)</f>
        <v>Events Bounty</v>
      </c>
    </row>
    <row r="1251" hidden="1">
      <c r="A1251" s="67">
        <f>HYPERLINK("https://polkadot.subsquare.io/treasury/child-bounties/143", 143)</f>
        <v>143</v>
      </c>
      <c r="B1251" s="1">
        <v>17.0</v>
      </c>
      <c r="C1251" s="1" t="s">
        <v>2414</v>
      </c>
      <c r="D1251" s="1" t="s">
        <v>1447</v>
      </c>
      <c r="E1251" s="5">
        <v>32.4</v>
      </c>
      <c r="F1251" s="4">
        <v>174.33551788330078</v>
      </c>
      <c r="G1251" s="1" t="s">
        <v>2632</v>
      </c>
      <c r="H1251" s="95">
        <v>44991.0</v>
      </c>
      <c r="I1251" s="95">
        <v>45002.0</v>
      </c>
      <c r="J1251" s="4">
        <v>197.49572925567625</v>
      </c>
      <c r="K1251" s="1"/>
      <c r="L1251" s="1"/>
      <c r="M1251" s="1" t="str">
        <f>VLOOKUP(B1251,Bounties!A:D,3,FALSE)</f>
        <v>Outreach</v>
      </c>
      <c r="N1251" s="1" t="str">
        <f>VLOOKUP(B1251,Bounties!A:D,4,FALSE)</f>
        <v>Events/Meetups</v>
      </c>
      <c r="O1251" s="1" t="str">
        <f t="shared" ref="O1251:P1251" si="1255">IF(ISBLANK(K1251),M1251,K1251)</f>
        <v>Outreach</v>
      </c>
      <c r="P1251" s="1" t="str">
        <f t="shared" si="1255"/>
        <v>Events/Meetups</v>
      </c>
      <c r="Q1251" s="61" t="str">
        <f t="shared" si="3"/>
        <v>2023</v>
      </c>
      <c r="R1251" s="62">
        <f t="shared" si="4"/>
        <v>3</v>
      </c>
      <c r="S1251" s="61" t="str">
        <f t="shared" si="5"/>
        <v>2023-Q1</v>
      </c>
      <c r="T1251" s="63" t="str">
        <f t="shared" si="6"/>
        <v>2023-03</v>
      </c>
      <c r="U1251" s="64" t="str">
        <f t="shared" si="7"/>
        <v>2023-H1</v>
      </c>
      <c r="V1251" s="9" t="str">
        <f>VLOOKUP(B1251,Bounties!A:E,2,FALSE)</f>
        <v>Events Bounty</v>
      </c>
    </row>
    <row r="1252" hidden="1">
      <c r="A1252" s="67">
        <f>HYPERLINK("https://polkadot.subsquare.io/treasury/child-bounties/142", 142)</f>
        <v>142</v>
      </c>
      <c r="B1252" s="1">
        <v>17.0</v>
      </c>
      <c r="C1252" s="1" t="s">
        <v>2414</v>
      </c>
      <c r="D1252" s="1" t="s">
        <v>1446</v>
      </c>
      <c r="E1252" s="5">
        <v>97.1</v>
      </c>
      <c r="F1252" s="4">
        <v>522.4684810638428</v>
      </c>
      <c r="G1252" s="1" t="s">
        <v>2566</v>
      </c>
      <c r="H1252" s="95">
        <v>44991.0</v>
      </c>
      <c r="I1252" s="95">
        <v>45002.0</v>
      </c>
      <c r="J1252" s="4">
        <v>628.2520274162292</v>
      </c>
      <c r="K1252" s="1"/>
      <c r="L1252" s="1"/>
      <c r="M1252" s="1" t="str">
        <f>VLOOKUP(B1252,Bounties!A:D,3,FALSE)</f>
        <v>Outreach</v>
      </c>
      <c r="N1252" s="1" t="str">
        <f>VLOOKUP(B1252,Bounties!A:D,4,FALSE)</f>
        <v>Events/Meetups</v>
      </c>
      <c r="O1252" s="1" t="str">
        <f t="shared" ref="O1252:P1252" si="1256">IF(ISBLANK(K1252),M1252,K1252)</f>
        <v>Outreach</v>
      </c>
      <c r="P1252" s="1" t="str">
        <f t="shared" si="1256"/>
        <v>Events/Meetups</v>
      </c>
      <c r="Q1252" s="61" t="str">
        <f t="shared" si="3"/>
        <v>2023</v>
      </c>
      <c r="R1252" s="62">
        <f t="shared" si="4"/>
        <v>3</v>
      </c>
      <c r="S1252" s="61" t="str">
        <f t="shared" si="5"/>
        <v>2023-Q1</v>
      </c>
      <c r="T1252" s="63" t="str">
        <f t="shared" si="6"/>
        <v>2023-03</v>
      </c>
      <c r="U1252" s="64" t="str">
        <f t="shared" si="7"/>
        <v>2023-H1</v>
      </c>
      <c r="V1252" s="9" t="str">
        <f>VLOOKUP(B1252,Bounties!A:E,2,FALSE)</f>
        <v>Events Bounty</v>
      </c>
    </row>
    <row r="1253" hidden="1">
      <c r="A1253" s="67">
        <f>HYPERLINK("https://polkadot.subsquare.io/treasury/child-bounties/141", 141)</f>
        <v>141</v>
      </c>
      <c r="B1253" s="1">
        <v>11.0</v>
      </c>
      <c r="C1253" s="1" t="s">
        <v>2414</v>
      </c>
      <c r="D1253" s="1" t="s">
        <v>1445</v>
      </c>
      <c r="E1253" s="5">
        <v>1078.7</v>
      </c>
      <c r="F1253" s="4">
        <v>5804.188985824585</v>
      </c>
      <c r="G1253" s="1" t="s">
        <v>2437</v>
      </c>
      <c r="H1253" s="95">
        <v>44991.0</v>
      </c>
      <c r="I1253" s="95">
        <v>45001.0</v>
      </c>
      <c r="J1253" s="4">
        <v>6826.646856451035</v>
      </c>
      <c r="K1253" s="1"/>
      <c r="L1253" s="1"/>
      <c r="M1253" s="1" t="str">
        <f>VLOOKUP(B1253,Bounties!A:D,3,FALSE)</f>
        <v>Research</v>
      </c>
      <c r="N1253" s="1" t="str">
        <f>VLOOKUP(B1253,Bounties!A:D,4,FALSE)</f>
        <v>Anti-Scam</v>
      </c>
      <c r="O1253" s="1" t="str">
        <f t="shared" ref="O1253:P1253" si="1257">IF(ISBLANK(K1253),M1253,K1253)</f>
        <v>Research</v>
      </c>
      <c r="P1253" s="1" t="str">
        <f t="shared" si="1257"/>
        <v>Anti-Scam</v>
      </c>
      <c r="Q1253" s="61" t="str">
        <f t="shared" si="3"/>
        <v>2023</v>
      </c>
      <c r="R1253" s="62">
        <f t="shared" si="4"/>
        <v>3</v>
      </c>
      <c r="S1253" s="61" t="str">
        <f t="shared" si="5"/>
        <v>2023-Q1</v>
      </c>
      <c r="T1253" s="63" t="str">
        <f t="shared" si="6"/>
        <v>2023-03</v>
      </c>
      <c r="U1253" s="64" t="str">
        <f t="shared" si="7"/>
        <v>2023-H1</v>
      </c>
      <c r="V1253" s="9" t="str">
        <f>VLOOKUP(B1253,Bounties!A:E,2,FALSE)</f>
        <v>Anti-Scam Bounty</v>
      </c>
    </row>
    <row r="1254" hidden="1">
      <c r="A1254" s="67">
        <f>HYPERLINK("https://polkadot.subsquare.io/treasury/child-bounties/140", 140)</f>
        <v>140</v>
      </c>
      <c r="B1254" s="1">
        <v>11.0</v>
      </c>
      <c r="C1254" s="1" t="s">
        <v>2414</v>
      </c>
      <c r="D1254" s="1" t="s">
        <v>1444</v>
      </c>
      <c r="E1254" s="5">
        <v>1964.0</v>
      </c>
      <c r="F1254" s="4">
        <v>10567.745590209961</v>
      </c>
      <c r="G1254" s="1" t="s">
        <v>2438</v>
      </c>
      <c r="H1254" s="95">
        <v>44991.0</v>
      </c>
      <c r="I1254" s="95">
        <v>45001.0</v>
      </c>
      <c r="J1254" s="4">
        <v>12707.383953094482</v>
      </c>
      <c r="K1254" s="1"/>
      <c r="L1254" s="1"/>
      <c r="M1254" s="1" t="str">
        <f>VLOOKUP(B1254,Bounties!A:D,3,FALSE)</f>
        <v>Research</v>
      </c>
      <c r="N1254" s="1" t="str">
        <f>VLOOKUP(B1254,Bounties!A:D,4,FALSE)</f>
        <v>Anti-Scam</v>
      </c>
      <c r="O1254" s="1" t="str">
        <f t="shared" ref="O1254:P1254" si="1258">IF(ISBLANK(K1254),M1254,K1254)</f>
        <v>Research</v>
      </c>
      <c r="P1254" s="1" t="str">
        <f t="shared" si="1258"/>
        <v>Anti-Scam</v>
      </c>
      <c r="Q1254" s="61" t="str">
        <f t="shared" si="3"/>
        <v>2023</v>
      </c>
      <c r="R1254" s="62">
        <f t="shared" si="4"/>
        <v>3</v>
      </c>
      <c r="S1254" s="61" t="str">
        <f t="shared" si="5"/>
        <v>2023-Q1</v>
      </c>
      <c r="T1254" s="63" t="str">
        <f t="shared" si="6"/>
        <v>2023-03</v>
      </c>
      <c r="U1254" s="64" t="str">
        <f t="shared" si="7"/>
        <v>2023-H1</v>
      </c>
      <c r="V1254" s="9" t="str">
        <f>VLOOKUP(B1254,Bounties!A:E,2,FALSE)</f>
        <v>Anti-Scam Bounty</v>
      </c>
    </row>
    <row r="1255" hidden="1">
      <c r="A1255" s="67">
        <f>HYPERLINK("https://polkadot.subsquare.io/treasury/child-bounties/139", 139)</f>
        <v>139</v>
      </c>
      <c r="B1255" s="1">
        <v>11.0</v>
      </c>
      <c r="C1255" s="1" t="s">
        <v>2414</v>
      </c>
      <c r="D1255" s="1" t="s">
        <v>1443</v>
      </c>
      <c r="E1255" s="5">
        <v>628.75</v>
      </c>
      <c r="F1255" s="4">
        <v>3383.1313848495483</v>
      </c>
      <c r="G1255" s="1" t="s">
        <v>2463</v>
      </c>
      <c r="H1255" s="95">
        <v>44991.0</v>
      </c>
      <c r="I1255" s="95">
        <v>45001.0</v>
      </c>
      <c r="J1255" s="4">
        <v>3979.0991109609604</v>
      </c>
      <c r="K1255" s="1"/>
      <c r="L1255" s="1"/>
      <c r="M1255" s="1" t="str">
        <f>VLOOKUP(B1255,Bounties!A:D,3,FALSE)</f>
        <v>Research</v>
      </c>
      <c r="N1255" s="1" t="str">
        <f>VLOOKUP(B1255,Bounties!A:D,4,FALSE)</f>
        <v>Anti-Scam</v>
      </c>
      <c r="O1255" s="1" t="str">
        <f t="shared" ref="O1255:P1255" si="1259">IF(ISBLANK(K1255),M1255,K1255)</f>
        <v>Research</v>
      </c>
      <c r="P1255" s="1" t="str">
        <f t="shared" si="1259"/>
        <v>Anti-Scam</v>
      </c>
      <c r="Q1255" s="61" t="str">
        <f t="shared" si="3"/>
        <v>2023</v>
      </c>
      <c r="R1255" s="62">
        <f t="shared" si="4"/>
        <v>3</v>
      </c>
      <c r="S1255" s="61" t="str">
        <f t="shared" si="5"/>
        <v>2023-Q1</v>
      </c>
      <c r="T1255" s="63" t="str">
        <f t="shared" si="6"/>
        <v>2023-03</v>
      </c>
      <c r="U1255" s="64" t="str">
        <f t="shared" si="7"/>
        <v>2023-H1</v>
      </c>
      <c r="V1255" s="9" t="str">
        <f>VLOOKUP(B1255,Bounties!A:E,2,FALSE)</f>
        <v>Anti-Scam Bounty</v>
      </c>
    </row>
    <row r="1256" hidden="1">
      <c r="A1256" s="67">
        <f>HYPERLINK("https://polkadot.subsquare.io/treasury/child-bounties/138", 138)</f>
        <v>138</v>
      </c>
      <c r="B1256" s="1">
        <v>17.0</v>
      </c>
      <c r="C1256" s="1" t="s">
        <v>2414</v>
      </c>
      <c r="D1256" s="1" t="s">
        <v>1442</v>
      </c>
      <c r="E1256" s="5">
        <v>3793.0</v>
      </c>
      <c r="F1256" s="4">
        <v>24808.428208827972</v>
      </c>
      <c r="G1256" s="1" t="s">
        <v>2744</v>
      </c>
      <c r="H1256" s="95">
        <v>44979.0</v>
      </c>
      <c r="I1256" s="95">
        <v>45020.0</v>
      </c>
      <c r="J1256" s="4">
        <v>23458.87099838257</v>
      </c>
      <c r="K1256" s="1"/>
      <c r="L1256" s="1" t="s">
        <v>86</v>
      </c>
      <c r="M1256" s="1" t="str">
        <f>VLOOKUP(B1256,Bounties!A:D,3,FALSE)</f>
        <v>Outreach</v>
      </c>
      <c r="N1256" s="1" t="str">
        <f>VLOOKUP(B1256,Bounties!A:D,4,FALSE)</f>
        <v>Events/Meetups</v>
      </c>
      <c r="O1256" s="1" t="str">
        <f t="shared" ref="O1256:P1256" si="1260">IF(ISBLANK(K1256),M1256,K1256)</f>
        <v>Outreach</v>
      </c>
      <c r="P1256" s="1" t="str">
        <f t="shared" si="1260"/>
        <v>Events/Conference Attendance &amp; Side Events</v>
      </c>
      <c r="Q1256" s="61" t="str">
        <f t="shared" si="3"/>
        <v>2023</v>
      </c>
      <c r="R1256" s="62">
        <f t="shared" si="4"/>
        <v>4</v>
      </c>
      <c r="S1256" s="61" t="str">
        <f t="shared" si="5"/>
        <v>2023-Q2</v>
      </c>
      <c r="T1256" s="63" t="str">
        <f t="shared" si="6"/>
        <v>2023-04</v>
      </c>
      <c r="U1256" s="64" t="str">
        <f t="shared" si="7"/>
        <v>2023-H1</v>
      </c>
      <c r="V1256" s="9" t="str">
        <f>VLOOKUP(B1256,Bounties!A:E,2,FALSE)</f>
        <v>Events Bounty</v>
      </c>
    </row>
    <row r="1257" hidden="1">
      <c r="A1257" s="67">
        <f>HYPERLINK("https://polkadot.subsquare.io/treasury/child-bounties/137", 137)</f>
        <v>137</v>
      </c>
      <c r="B1257" s="1">
        <v>17.0</v>
      </c>
      <c r="C1257" s="1" t="s">
        <v>2414</v>
      </c>
      <c r="D1257" s="1" t="s">
        <v>1441</v>
      </c>
      <c r="E1257" s="5">
        <v>7307.3</v>
      </c>
      <c r="F1257" s="4">
        <v>47793.99616408348</v>
      </c>
      <c r="G1257" s="1" t="s">
        <v>2755</v>
      </c>
      <c r="H1257" s="95">
        <v>44979.0</v>
      </c>
      <c r="I1257" s="95">
        <v>45004.0</v>
      </c>
      <c r="J1257" s="4">
        <v>46643.1014316082</v>
      </c>
      <c r="K1257" s="1"/>
      <c r="L1257" s="1" t="s">
        <v>86</v>
      </c>
      <c r="M1257" s="1" t="str">
        <f>VLOOKUP(B1257,Bounties!A:D,3,FALSE)</f>
        <v>Outreach</v>
      </c>
      <c r="N1257" s="1" t="str">
        <f>VLOOKUP(B1257,Bounties!A:D,4,FALSE)</f>
        <v>Events/Meetups</v>
      </c>
      <c r="O1257" s="1" t="str">
        <f t="shared" ref="O1257:P1257" si="1261">IF(ISBLANK(K1257),M1257,K1257)</f>
        <v>Outreach</v>
      </c>
      <c r="P1257" s="1" t="str">
        <f t="shared" si="1261"/>
        <v>Events/Conference Attendance &amp; Side Events</v>
      </c>
      <c r="Q1257" s="61" t="str">
        <f t="shared" si="3"/>
        <v>2023</v>
      </c>
      <c r="R1257" s="62">
        <f t="shared" si="4"/>
        <v>3</v>
      </c>
      <c r="S1257" s="61" t="str">
        <f t="shared" si="5"/>
        <v>2023-Q1</v>
      </c>
      <c r="T1257" s="63" t="str">
        <f t="shared" si="6"/>
        <v>2023-03</v>
      </c>
      <c r="U1257" s="64" t="str">
        <f t="shared" si="7"/>
        <v>2023-H1</v>
      </c>
      <c r="V1257" s="9" t="str">
        <f>VLOOKUP(B1257,Bounties!A:E,2,FALSE)</f>
        <v>Events Bounty</v>
      </c>
    </row>
    <row r="1258" hidden="1">
      <c r="A1258" s="67">
        <f>HYPERLINK("https://polkadot.subsquare.io/treasury/child-bounties/136", 136)</f>
        <v>136</v>
      </c>
      <c r="B1258" s="1">
        <v>17.0</v>
      </c>
      <c r="C1258" s="1" t="s">
        <v>2414</v>
      </c>
      <c r="D1258" s="1" t="s">
        <v>1440</v>
      </c>
      <c r="E1258" s="5">
        <v>129.4</v>
      </c>
      <c r="F1258" s="4">
        <v>929.5085329055787</v>
      </c>
      <c r="G1258" s="1" t="s">
        <v>2709</v>
      </c>
      <c r="H1258" s="95">
        <v>44977.0</v>
      </c>
      <c r="I1258" s="95">
        <v>44990.0</v>
      </c>
      <c r="J1258" s="4">
        <v>724.0579458236695</v>
      </c>
      <c r="K1258" s="1"/>
      <c r="L1258" s="1"/>
      <c r="M1258" s="1" t="str">
        <f>VLOOKUP(B1258,Bounties!A:D,3,FALSE)</f>
        <v>Outreach</v>
      </c>
      <c r="N1258" s="1" t="str">
        <f>VLOOKUP(B1258,Bounties!A:D,4,FALSE)</f>
        <v>Events/Meetups</v>
      </c>
      <c r="O1258" s="1" t="str">
        <f t="shared" ref="O1258:P1258" si="1262">IF(ISBLANK(K1258),M1258,K1258)</f>
        <v>Outreach</v>
      </c>
      <c r="P1258" s="1" t="str">
        <f t="shared" si="1262"/>
        <v>Events/Meetups</v>
      </c>
      <c r="Q1258" s="61" t="str">
        <f t="shared" si="3"/>
        <v>2023</v>
      </c>
      <c r="R1258" s="62">
        <f t="shared" si="4"/>
        <v>3</v>
      </c>
      <c r="S1258" s="61" t="str">
        <f t="shared" si="5"/>
        <v>2023-Q1</v>
      </c>
      <c r="T1258" s="63" t="str">
        <f t="shared" si="6"/>
        <v>2023-03</v>
      </c>
      <c r="U1258" s="64" t="str">
        <f t="shared" si="7"/>
        <v>2023-H1</v>
      </c>
      <c r="V1258" s="9" t="str">
        <f>VLOOKUP(B1258,Bounties!A:E,2,FALSE)</f>
        <v>Events Bounty</v>
      </c>
    </row>
    <row r="1259" hidden="1">
      <c r="A1259" s="67">
        <f>HYPERLINK("https://polkadot.subsquare.io/treasury/child-bounties/135", 135)</f>
        <v>135</v>
      </c>
      <c r="B1259" s="1">
        <v>17.0</v>
      </c>
      <c r="C1259" s="1" t="s">
        <v>2414</v>
      </c>
      <c r="D1259" s="1" t="s">
        <v>1439</v>
      </c>
      <c r="E1259" s="5">
        <v>3074.6</v>
      </c>
      <c r="F1259" s="4">
        <v>22085.525002098082</v>
      </c>
      <c r="G1259" s="1" t="s">
        <v>2742</v>
      </c>
      <c r="H1259" s="95">
        <v>44977.0</v>
      </c>
      <c r="I1259" s="95">
        <v>44988.0</v>
      </c>
      <c r="J1259" s="4">
        <v>18386.317708587645</v>
      </c>
      <c r="K1259" s="1"/>
      <c r="L1259" s="1" t="s">
        <v>86</v>
      </c>
      <c r="M1259" s="1" t="str">
        <f>VLOOKUP(B1259,Bounties!A:D,3,FALSE)</f>
        <v>Outreach</v>
      </c>
      <c r="N1259" s="1" t="str">
        <f>VLOOKUP(B1259,Bounties!A:D,4,FALSE)</f>
        <v>Events/Meetups</v>
      </c>
      <c r="O1259" s="1" t="str">
        <f t="shared" ref="O1259:P1259" si="1263">IF(ISBLANK(K1259),M1259,K1259)</f>
        <v>Outreach</v>
      </c>
      <c r="P1259" s="1" t="str">
        <f t="shared" si="1263"/>
        <v>Events/Conference Attendance &amp; Side Events</v>
      </c>
      <c r="Q1259" s="61" t="str">
        <f t="shared" si="3"/>
        <v>2023</v>
      </c>
      <c r="R1259" s="62">
        <f t="shared" si="4"/>
        <v>3</v>
      </c>
      <c r="S1259" s="61" t="str">
        <f t="shared" si="5"/>
        <v>2023-Q1</v>
      </c>
      <c r="T1259" s="63" t="str">
        <f t="shared" si="6"/>
        <v>2023-03</v>
      </c>
      <c r="U1259" s="64" t="str">
        <f t="shared" si="7"/>
        <v>2023-H1</v>
      </c>
      <c r="V1259" s="9" t="str">
        <f>VLOOKUP(B1259,Bounties!A:E,2,FALSE)</f>
        <v>Events Bounty</v>
      </c>
    </row>
    <row r="1260" hidden="1">
      <c r="A1260" s="67">
        <f>HYPERLINK("https://polkadot.subsquare.io/treasury/child-bounties/134", 134)</f>
        <v>134</v>
      </c>
      <c r="B1260" s="1">
        <v>17.0</v>
      </c>
      <c r="C1260" s="1" t="s">
        <v>2414</v>
      </c>
      <c r="D1260" s="1" t="s">
        <v>1438</v>
      </c>
      <c r="E1260" s="5">
        <v>844.8</v>
      </c>
      <c r="F1260" s="4">
        <v>5350.857751464843</v>
      </c>
      <c r="G1260" s="1" t="s">
        <v>2756</v>
      </c>
      <c r="H1260" s="95">
        <v>44970.0</v>
      </c>
      <c r="I1260" s="95">
        <v>44978.0</v>
      </c>
      <c r="J1260" s="4">
        <v>5587.86357421875</v>
      </c>
      <c r="K1260" s="1"/>
      <c r="L1260" s="1"/>
      <c r="M1260" s="1" t="str">
        <f>VLOOKUP(B1260,Bounties!A:D,3,FALSE)</f>
        <v>Outreach</v>
      </c>
      <c r="N1260" s="1" t="str">
        <f>VLOOKUP(B1260,Bounties!A:D,4,FALSE)</f>
        <v>Events/Meetups</v>
      </c>
      <c r="O1260" s="1" t="str">
        <f t="shared" ref="O1260:P1260" si="1264">IF(ISBLANK(K1260),M1260,K1260)</f>
        <v>Outreach</v>
      </c>
      <c r="P1260" s="1" t="str">
        <f t="shared" si="1264"/>
        <v>Events/Meetups</v>
      </c>
      <c r="Q1260" s="61" t="str">
        <f t="shared" si="3"/>
        <v>2023</v>
      </c>
      <c r="R1260" s="62">
        <f t="shared" si="4"/>
        <v>2</v>
      </c>
      <c r="S1260" s="61" t="str">
        <f t="shared" si="5"/>
        <v>2023-Q1</v>
      </c>
      <c r="T1260" s="63" t="str">
        <f t="shared" si="6"/>
        <v>2023-02</v>
      </c>
      <c r="U1260" s="64" t="str">
        <f t="shared" si="7"/>
        <v>2023-H1</v>
      </c>
      <c r="V1260" s="9" t="str">
        <f>VLOOKUP(B1260,Bounties!A:E,2,FALSE)</f>
        <v>Events Bounty</v>
      </c>
    </row>
    <row r="1261" hidden="1">
      <c r="A1261" s="67">
        <f>HYPERLINK("https://polkadot.subsquare.io/treasury/child-bounties/133", 133)</f>
        <v>133</v>
      </c>
      <c r="B1261" s="1">
        <v>17.0</v>
      </c>
      <c r="C1261" s="1" t="s">
        <v>2414</v>
      </c>
      <c r="D1261" s="1" t="s">
        <v>1437</v>
      </c>
      <c r="E1261" s="5">
        <v>579.3</v>
      </c>
      <c r="F1261" s="4">
        <v>3669.213891363144</v>
      </c>
      <c r="G1261" s="1" t="s">
        <v>2701</v>
      </c>
      <c r="H1261" s="95">
        <v>44970.0</v>
      </c>
      <c r="I1261" s="95">
        <v>44983.0</v>
      </c>
      <c r="J1261" s="4">
        <v>3675.6213634014125</v>
      </c>
      <c r="K1261" s="1"/>
      <c r="L1261" s="1"/>
      <c r="M1261" s="1" t="str">
        <f>VLOOKUP(B1261,Bounties!A:D,3,FALSE)</f>
        <v>Outreach</v>
      </c>
      <c r="N1261" s="1" t="str">
        <f>VLOOKUP(B1261,Bounties!A:D,4,FALSE)</f>
        <v>Events/Meetups</v>
      </c>
      <c r="O1261" s="1" t="str">
        <f t="shared" ref="O1261:P1261" si="1265">IF(ISBLANK(K1261),M1261,K1261)</f>
        <v>Outreach</v>
      </c>
      <c r="P1261" s="1" t="str">
        <f t="shared" si="1265"/>
        <v>Events/Meetups</v>
      </c>
      <c r="Q1261" s="61" t="str">
        <f t="shared" si="3"/>
        <v>2023</v>
      </c>
      <c r="R1261" s="62">
        <f t="shared" si="4"/>
        <v>2</v>
      </c>
      <c r="S1261" s="61" t="str">
        <f t="shared" si="5"/>
        <v>2023-Q1</v>
      </c>
      <c r="T1261" s="63" t="str">
        <f t="shared" si="6"/>
        <v>2023-02</v>
      </c>
      <c r="U1261" s="64" t="str">
        <f t="shared" si="7"/>
        <v>2023-H1</v>
      </c>
      <c r="V1261" s="9" t="str">
        <f>VLOOKUP(B1261,Bounties!A:E,2,FALSE)</f>
        <v>Events Bounty</v>
      </c>
    </row>
    <row r="1262" hidden="1">
      <c r="A1262" s="67">
        <f>HYPERLINK("https://polkadot.subsquare.io/treasury/child-bounties/132", 132)</f>
        <v>132</v>
      </c>
      <c r="B1262" s="1">
        <v>17.0</v>
      </c>
      <c r="C1262" s="1" t="s">
        <v>2414</v>
      </c>
      <c r="D1262" s="1" t="s">
        <v>1436</v>
      </c>
      <c r="E1262" s="5">
        <v>579.3</v>
      </c>
      <c r="F1262" s="4">
        <v>3669.213891363144</v>
      </c>
      <c r="G1262" s="1" t="s">
        <v>2503</v>
      </c>
      <c r="H1262" s="95">
        <v>44970.0</v>
      </c>
      <c r="I1262" s="95">
        <v>44997.0</v>
      </c>
      <c r="J1262" s="4">
        <v>3409.737792062759</v>
      </c>
      <c r="K1262" s="1"/>
      <c r="L1262" s="1"/>
      <c r="M1262" s="1" t="str">
        <f>VLOOKUP(B1262,Bounties!A:D,3,FALSE)</f>
        <v>Outreach</v>
      </c>
      <c r="N1262" s="1" t="str">
        <f>VLOOKUP(B1262,Bounties!A:D,4,FALSE)</f>
        <v>Events/Meetups</v>
      </c>
      <c r="O1262" s="1" t="str">
        <f t="shared" ref="O1262:P1262" si="1266">IF(ISBLANK(K1262),M1262,K1262)</f>
        <v>Outreach</v>
      </c>
      <c r="P1262" s="1" t="str">
        <f t="shared" si="1266"/>
        <v>Events/Meetups</v>
      </c>
      <c r="Q1262" s="61" t="str">
        <f t="shared" si="3"/>
        <v>2023</v>
      </c>
      <c r="R1262" s="62">
        <f t="shared" si="4"/>
        <v>3</v>
      </c>
      <c r="S1262" s="61" t="str">
        <f t="shared" si="5"/>
        <v>2023-Q1</v>
      </c>
      <c r="T1262" s="63" t="str">
        <f t="shared" si="6"/>
        <v>2023-03</v>
      </c>
      <c r="U1262" s="64" t="str">
        <f t="shared" si="7"/>
        <v>2023-H1</v>
      </c>
      <c r="V1262" s="9" t="str">
        <f>VLOOKUP(B1262,Bounties!A:E,2,FALSE)</f>
        <v>Events Bounty</v>
      </c>
    </row>
    <row r="1263" hidden="1">
      <c r="A1263" s="67">
        <f>HYPERLINK("https://polkadot.subsquare.io/treasury/child-bounties/131", 131)</f>
        <v>131</v>
      </c>
      <c r="B1263" s="1">
        <v>17.0</v>
      </c>
      <c r="C1263" s="1" t="s">
        <v>2414</v>
      </c>
      <c r="D1263" s="1" t="s">
        <v>1435</v>
      </c>
      <c r="E1263" s="5">
        <v>44.38</v>
      </c>
      <c r="F1263" s="4">
        <v>299.53277022361755</v>
      </c>
      <c r="G1263" s="1" t="s">
        <v>2757</v>
      </c>
      <c r="H1263" s="95">
        <v>44962.0</v>
      </c>
      <c r="I1263" s="95">
        <v>44972.0</v>
      </c>
      <c r="J1263" s="4">
        <v>321.43039557456973</v>
      </c>
      <c r="K1263" s="1"/>
      <c r="L1263" s="1"/>
      <c r="M1263" s="1" t="str">
        <f>VLOOKUP(B1263,Bounties!A:D,3,FALSE)</f>
        <v>Outreach</v>
      </c>
      <c r="N1263" s="1" t="str">
        <f>VLOOKUP(B1263,Bounties!A:D,4,FALSE)</f>
        <v>Events/Meetups</v>
      </c>
      <c r="O1263" s="1" t="str">
        <f t="shared" ref="O1263:P1263" si="1267">IF(ISBLANK(K1263),M1263,K1263)</f>
        <v>Outreach</v>
      </c>
      <c r="P1263" s="1" t="str">
        <f t="shared" si="1267"/>
        <v>Events/Meetups</v>
      </c>
      <c r="Q1263" s="61" t="str">
        <f t="shared" si="3"/>
        <v>2023</v>
      </c>
      <c r="R1263" s="62">
        <f t="shared" si="4"/>
        <v>2</v>
      </c>
      <c r="S1263" s="61" t="str">
        <f t="shared" si="5"/>
        <v>2023-Q1</v>
      </c>
      <c r="T1263" s="63" t="str">
        <f t="shared" si="6"/>
        <v>2023-02</v>
      </c>
      <c r="U1263" s="64" t="str">
        <f t="shared" si="7"/>
        <v>2023-H1</v>
      </c>
      <c r="V1263" s="9" t="str">
        <f>VLOOKUP(B1263,Bounties!A:E,2,FALSE)</f>
        <v>Events Bounty</v>
      </c>
    </row>
    <row r="1264" hidden="1">
      <c r="A1264" s="67">
        <f>HYPERLINK("https://polkadot.subsquare.io/treasury/child-bounties/130", 130)</f>
        <v>130</v>
      </c>
      <c r="B1264" s="1">
        <v>17.0</v>
      </c>
      <c r="C1264" s="1" t="s">
        <v>2414</v>
      </c>
      <c r="D1264" s="1" t="s">
        <v>1434</v>
      </c>
      <c r="E1264" s="5">
        <v>6303.0</v>
      </c>
      <c r="F1264" s="4">
        <v>43384.21857833862</v>
      </c>
      <c r="G1264" s="1" t="s">
        <v>2758</v>
      </c>
      <c r="H1264" s="95">
        <v>44958.0</v>
      </c>
      <c r="I1264" s="95">
        <v>44968.0</v>
      </c>
      <c r="J1264" s="4">
        <v>39252.398112773895</v>
      </c>
      <c r="K1264" s="1"/>
      <c r="L1264" s="1"/>
      <c r="M1264" s="1" t="str">
        <f>VLOOKUP(B1264,Bounties!A:D,3,FALSE)</f>
        <v>Outreach</v>
      </c>
      <c r="N1264" s="1" t="str">
        <f>VLOOKUP(B1264,Bounties!A:D,4,FALSE)</f>
        <v>Events/Meetups</v>
      </c>
      <c r="O1264" s="1" t="str">
        <f t="shared" ref="O1264:P1264" si="1268">IF(ISBLANK(K1264),M1264,K1264)</f>
        <v>Outreach</v>
      </c>
      <c r="P1264" s="1" t="str">
        <f t="shared" si="1268"/>
        <v>Events/Meetups</v>
      </c>
      <c r="Q1264" s="61" t="str">
        <f t="shared" si="3"/>
        <v>2023</v>
      </c>
      <c r="R1264" s="62">
        <f t="shared" si="4"/>
        <v>2</v>
      </c>
      <c r="S1264" s="61" t="str">
        <f t="shared" si="5"/>
        <v>2023-Q1</v>
      </c>
      <c r="T1264" s="63" t="str">
        <f t="shared" si="6"/>
        <v>2023-02</v>
      </c>
      <c r="U1264" s="64" t="str">
        <f t="shared" si="7"/>
        <v>2023-H1</v>
      </c>
      <c r="V1264" s="9" t="str">
        <f>VLOOKUP(B1264,Bounties!A:E,2,FALSE)</f>
        <v>Events Bounty</v>
      </c>
    </row>
    <row r="1265" hidden="1">
      <c r="A1265" s="67">
        <f>HYPERLINK("https://polkadot.subsquare.io/treasury/child-bounties/129", 129)</f>
        <v>129</v>
      </c>
      <c r="B1265" s="1">
        <v>17.0</v>
      </c>
      <c r="C1265" s="1" t="s">
        <v>2414</v>
      </c>
      <c r="D1265" s="1" t="s">
        <v>1433</v>
      </c>
      <c r="E1265" s="5">
        <v>49.2</v>
      </c>
      <c r="F1265" s="4">
        <v>308.20695533752445</v>
      </c>
      <c r="G1265" s="1" t="s">
        <v>2759</v>
      </c>
      <c r="H1265" s="95">
        <v>44954.0</v>
      </c>
      <c r="I1265" s="95">
        <v>44964.0</v>
      </c>
      <c r="J1265" s="4">
        <v>304.53275356292727</v>
      </c>
      <c r="K1265" s="1"/>
      <c r="L1265" s="1"/>
      <c r="M1265" s="1" t="str">
        <f>VLOOKUP(B1265,Bounties!A:D,3,FALSE)</f>
        <v>Outreach</v>
      </c>
      <c r="N1265" s="1" t="str">
        <f>VLOOKUP(B1265,Bounties!A:D,4,FALSE)</f>
        <v>Events/Meetups</v>
      </c>
      <c r="O1265" s="1" t="str">
        <f t="shared" ref="O1265:P1265" si="1269">IF(ISBLANK(K1265),M1265,K1265)</f>
        <v>Outreach</v>
      </c>
      <c r="P1265" s="1" t="str">
        <f t="shared" si="1269"/>
        <v>Events/Meetups</v>
      </c>
      <c r="Q1265" s="61" t="str">
        <f t="shared" si="3"/>
        <v>2023</v>
      </c>
      <c r="R1265" s="62">
        <f t="shared" si="4"/>
        <v>2</v>
      </c>
      <c r="S1265" s="61" t="str">
        <f t="shared" si="5"/>
        <v>2023-Q1</v>
      </c>
      <c r="T1265" s="63" t="str">
        <f t="shared" si="6"/>
        <v>2023-02</v>
      </c>
      <c r="U1265" s="64" t="str">
        <f t="shared" si="7"/>
        <v>2023-H1</v>
      </c>
      <c r="V1265" s="9" t="str">
        <f>VLOOKUP(B1265,Bounties!A:E,2,FALSE)</f>
        <v>Events Bounty</v>
      </c>
    </row>
    <row r="1266" hidden="1">
      <c r="A1266" s="67">
        <f>HYPERLINK("https://polkadot.subsquare.io/treasury/child-bounties/128", 128)</f>
        <v>128</v>
      </c>
      <c r="B1266" s="1">
        <v>17.0</v>
      </c>
      <c r="C1266" s="1" t="s">
        <v>2414</v>
      </c>
      <c r="D1266" s="1" t="s">
        <v>1432</v>
      </c>
      <c r="E1266" s="5">
        <v>10821.0</v>
      </c>
      <c r="F1266" s="4">
        <v>69320.03954601288</v>
      </c>
      <c r="G1266" s="1" t="s">
        <v>2733</v>
      </c>
      <c r="H1266" s="95">
        <v>44949.0</v>
      </c>
      <c r="I1266" s="95">
        <v>44960.0</v>
      </c>
      <c r="J1266" s="4">
        <v>70280.2214627266</v>
      </c>
      <c r="K1266" s="1"/>
      <c r="L1266" s="1"/>
      <c r="M1266" s="1" t="str">
        <f>VLOOKUP(B1266,Bounties!A:D,3,FALSE)</f>
        <v>Outreach</v>
      </c>
      <c r="N1266" s="1" t="str">
        <f>VLOOKUP(B1266,Bounties!A:D,4,FALSE)</f>
        <v>Events/Meetups</v>
      </c>
      <c r="O1266" s="1" t="str">
        <f t="shared" ref="O1266:P1266" si="1270">IF(ISBLANK(K1266),M1266,K1266)</f>
        <v>Outreach</v>
      </c>
      <c r="P1266" s="1" t="str">
        <f t="shared" si="1270"/>
        <v>Events/Meetups</v>
      </c>
      <c r="Q1266" s="61" t="str">
        <f t="shared" si="3"/>
        <v>2023</v>
      </c>
      <c r="R1266" s="62">
        <f t="shared" si="4"/>
        <v>2</v>
      </c>
      <c r="S1266" s="61" t="str">
        <f t="shared" si="5"/>
        <v>2023-Q1</v>
      </c>
      <c r="T1266" s="63" t="str">
        <f t="shared" si="6"/>
        <v>2023-02</v>
      </c>
      <c r="U1266" s="64" t="str">
        <f t="shared" si="7"/>
        <v>2023-H1</v>
      </c>
      <c r="V1266" s="9" t="str">
        <f>VLOOKUP(B1266,Bounties!A:E,2,FALSE)</f>
        <v>Events Bounty</v>
      </c>
    </row>
    <row r="1267" hidden="1">
      <c r="A1267" s="67">
        <f>HYPERLINK("https://polkadot.subsquare.io/treasury/child-bounties/127", 127)</f>
        <v>127</v>
      </c>
      <c r="B1267" s="1">
        <v>17.0</v>
      </c>
      <c r="C1267" s="1" t="s">
        <v>2414</v>
      </c>
      <c r="D1267" s="1" t="s">
        <v>1431</v>
      </c>
      <c r="E1267" s="5">
        <v>229.6</v>
      </c>
      <c r="F1267" s="4">
        <v>1470.832740020752</v>
      </c>
      <c r="G1267" s="1" t="s">
        <v>2623</v>
      </c>
      <c r="H1267" s="95">
        <v>44948.0</v>
      </c>
      <c r="I1267" s="95">
        <v>44963.0</v>
      </c>
      <c r="J1267" s="4">
        <v>1430.708094024658</v>
      </c>
      <c r="K1267" s="1"/>
      <c r="L1267" s="1"/>
      <c r="M1267" s="1" t="str">
        <f>VLOOKUP(B1267,Bounties!A:D,3,FALSE)</f>
        <v>Outreach</v>
      </c>
      <c r="N1267" s="1" t="str">
        <f>VLOOKUP(B1267,Bounties!A:D,4,FALSE)</f>
        <v>Events/Meetups</v>
      </c>
      <c r="O1267" s="1" t="str">
        <f t="shared" ref="O1267:P1267" si="1271">IF(ISBLANK(K1267),M1267,K1267)</f>
        <v>Outreach</v>
      </c>
      <c r="P1267" s="1" t="str">
        <f t="shared" si="1271"/>
        <v>Events/Meetups</v>
      </c>
      <c r="Q1267" s="61" t="str">
        <f t="shared" si="3"/>
        <v>2023</v>
      </c>
      <c r="R1267" s="62">
        <f t="shared" si="4"/>
        <v>2</v>
      </c>
      <c r="S1267" s="61" t="str">
        <f t="shared" si="5"/>
        <v>2023-Q1</v>
      </c>
      <c r="T1267" s="63" t="str">
        <f t="shared" si="6"/>
        <v>2023-02</v>
      </c>
      <c r="U1267" s="64" t="str">
        <f t="shared" si="7"/>
        <v>2023-H1</v>
      </c>
      <c r="V1267" s="9" t="str">
        <f>VLOOKUP(B1267,Bounties!A:E,2,FALSE)</f>
        <v>Events Bounty</v>
      </c>
    </row>
    <row r="1268" hidden="1">
      <c r="A1268" s="67">
        <f>HYPERLINK("https://polkadot.subsquare.io/treasury/child-bounties/126", 126)</f>
        <v>126</v>
      </c>
      <c r="B1268" s="1">
        <v>17.0</v>
      </c>
      <c r="C1268" s="1" t="s">
        <v>2414</v>
      </c>
      <c r="D1268" s="1" t="s">
        <v>1430</v>
      </c>
      <c r="E1268" s="5">
        <v>106.6</v>
      </c>
      <c r="F1268" s="4">
        <v>682.886629295349</v>
      </c>
      <c r="G1268" s="1" t="s">
        <v>2760</v>
      </c>
      <c r="H1268" s="95">
        <v>44948.0</v>
      </c>
      <c r="I1268" s="95">
        <v>44962.0</v>
      </c>
      <c r="J1268" s="4">
        <v>719.4725846290588</v>
      </c>
      <c r="K1268" s="1"/>
      <c r="L1268" s="1"/>
      <c r="M1268" s="1" t="str">
        <f>VLOOKUP(B1268,Bounties!A:D,3,FALSE)</f>
        <v>Outreach</v>
      </c>
      <c r="N1268" s="1" t="str">
        <f>VLOOKUP(B1268,Bounties!A:D,4,FALSE)</f>
        <v>Events/Meetups</v>
      </c>
      <c r="O1268" s="1" t="str">
        <f t="shared" ref="O1268:P1268" si="1272">IF(ISBLANK(K1268),M1268,K1268)</f>
        <v>Outreach</v>
      </c>
      <c r="P1268" s="1" t="str">
        <f t="shared" si="1272"/>
        <v>Events/Meetups</v>
      </c>
      <c r="Q1268" s="61" t="str">
        <f t="shared" si="3"/>
        <v>2023</v>
      </c>
      <c r="R1268" s="62">
        <f t="shared" si="4"/>
        <v>2</v>
      </c>
      <c r="S1268" s="61" t="str">
        <f t="shared" si="5"/>
        <v>2023-Q1</v>
      </c>
      <c r="T1268" s="63" t="str">
        <f t="shared" si="6"/>
        <v>2023-02</v>
      </c>
      <c r="U1268" s="64" t="str">
        <f t="shared" si="7"/>
        <v>2023-H1</v>
      </c>
      <c r="V1268" s="9" t="str">
        <f>VLOOKUP(B1268,Bounties!A:E,2,FALSE)</f>
        <v>Events Bounty</v>
      </c>
    </row>
    <row r="1269" hidden="1">
      <c r="A1269" s="67">
        <f>HYPERLINK("https://polkadot.subsquare.io/treasury/child-bounties/125", 125)</f>
        <v>125</v>
      </c>
      <c r="B1269" s="1">
        <v>11.0</v>
      </c>
      <c r="C1269" s="1" t="s">
        <v>2414</v>
      </c>
      <c r="D1269" s="1" t="s">
        <v>1429</v>
      </c>
      <c r="E1269" s="5">
        <v>500.0</v>
      </c>
      <c r="F1269" s="4">
        <v>2824.0504264831543</v>
      </c>
      <c r="G1269" s="1" t="s">
        <v>2761</v>
      </c>
      <c r="H1269" s="95">
        <v>44941.0</v>
      </c>
      <c r="I1269" s="95">
        <v>44963.0</v>
      </c>
      <c r="J1269" s="4">
        <v>3374.6368885040283</v>
      </c>
      <c r="K1269" s="1"/>
      <c r="L1269" s="1"/>
      <c r="M1269" s="1" t="str">
        <f>VLOOKUP(B1269,Bounties!A:D,3,FALSE)</f>
        <v>Research</v>
      </c>
      <c r="N1269" s="1" t="str">
        <f>VLOOKUP(B1269,Bounties!A:D,4,FALSE)</f>
        <v>Anti-Scam</v>
      </c>
      <c r="O1269" s="1" t="str">
        <f t="shared" ref="O1269:P1269" si="1273">IF(ISBLANK(K1269),M1269,K1269)</f>
        <v>Research</v>
      </c>
      <c r="P1269" s="1" t="str">
        <f t="shared" si="1273"/>
        <v>Anti-Scam</v>
      </c>
      <c r="Q1269" s="61" t="str">
        <f t="shared" si="3"/>
        <v>2023</v>
      </c>
      <c r="R1269" s="62">
        <f t="shared" si="4"/>
        <v>2</v>
      </c>
      <c r="S1269" s="61" t="str">
        <f t="shared" si="5"/>
        <v>2023-Q1</v>
      </c>
      <c r="T1269" s="63" t="str">
        <f t="shared" si="6"/>
        <v>2023-02</v>
      </c>
      <c r="U1269" s="64" t="str">
        <f t="shared" si="7"/>
        <v>2023-H1</v>
      </c>
      <c r="V1269" s="9" t="str">
        <f>VLOOKUP(B1269,Bounties!A:E,2,FALSE)</f>
        <v>Anti-Scam Bounty</v>
      </c>
    </row>
    <row r="1270" hidden="1">
      <c r="A1270" s="67">
        <f>HYPERLINK("https://polkadot.subsquare.io/treasury/child-bounties/124", 124)</f>
        <v>124</v>
      </c>
      <c r="B1270" s="1">
        <v>11.0</v>
      </c>
      <c r="C1270" s="1" t="s">
        <v>2414</v>
      </c>
      <c r="D1270" s="1" t="s">
        <v>1428</v>
      </c>
      <c r="E1270" s="5">
        <v>203.645365</v>
      </c>
      <c r="F1270" s="4">
        <v>1212.953713295548</v>
      </c>
      <c r="G1270" s="1" t="s">
        <v>2437</v>
      </c>
      <c r="H1270" s="95">
        <v>44941.0</v>
      </c>
      <c r="I1270" s="95">
        <v>44949.0</v>
      </c>
      <c r="J1270" s="4">
        <v>1318.5671101135874</v>
      </c>
      <c r="K1270" s="1"/>
      <c r="L1270" s="1"/>
      <c r="M1270" s="1" t="str">
        <f>VLOOKUP(B1270,Bounties!A:D,3,FALSE)</f>
        <v>Research</v>
      </c>
      <c r="N1270" s="1" t="str">
        <f>VLOOKUP(B1270,Bounties!A:D,4,FALSE)</f>
        <v>Anti-Scam</v>
      </c>
      <c r="O1270" s="1" t="str">
        <f t="shared" ref="O1270:P1270" si="1274">IF(ISBLANK(K1270),M1270,K1270)</f>
        <v>Research</v>
      </c>
      <c r="P1270" s="1" t="str">
        <f t="shared" si="1274"/>
        <v>Anti-Scam</v>
      </c>
      <c r="Q1270" s="61" t="str">
        <f t="shared" si="3"/>
        <v>2023</v>
      </c>
      <c r="R1270" s="62">
        <f t="shared" si="4"/>
        <v>1</v>
      </c>
      <c r="S1270" s="61" t="str">
        <f t="shared" si="5"/>
        <v>2023-Q1</v>
      </c>
      <c r="T1270" s="63" t="str">
        <f t="shared" si="6"/>
        <v>2023-01</v>
      </c>
      <c r="U1270" s="64" t="str">
        <f t="shared" si="7"/>
        <v>2023-H1</v>
      </c>
      <c r="V1270" s="9" t="str">
        <f>VLOOKUP(B1270,Bounties!A:E,2,FALSE)</f>
        <v>Anti-Scam Bounty</v>
      </c>
    </row>
    <row r="1271" hidden="1">
      <c r="A1271" s="67">
        <f>HYPERLINK("https://polkadot.subsquare.io/treasury/child-bounties/123", 123)</f>
        <v>123</v>
      </c>
      <c r="B1271" s="1">
        <v>11.0</v>
      </c>
      <c r="C1271" s="1" t="s">
        <v>2414</v>
      </c>
      <c r="D1271" s="1" t="s">
        <v>1427</v>
      </c>
      <c r="E1271" s="5">
        <v>113.636364</v>
      </c>
      <c r="F1271" s="4">
        <v>676.8415754476147</v>
      </c>
      <c r="G1271" s="1" t="s">
        <v>2438</v>
      </c>
      <c r="H1271" s="95">
        <v>44941.0</v>
      </c>
      <c r="I1271" s="95">
        <v>44951.0</v>
      </c>
      <c r="J1271" s="4">
        <v>727.0816804570713</v>
      </c>
      <c r="K1271" s="1"/>
      <c r="L1271" s="1"/>
      <c r="M1271" s="1" t="str">
        <f>VLOOKUP(B1271,Bounties!A:D,3,FALSE)</f>
        <v>Research</v>
      </c>
      <c r="N1271" s="1" t="str">
        <f>VLOOKUP(B1271,Bounties!A:D,4,FALSE)</f>
        <v>Anti-Scam</v>
      </c>
      <c r="O1271" s="1" t="str">
        <f t="shared" ref="O1271:P1271" si="1275">IF(ISBLANK(K1271),M1271,K1271)</f>
        <v>Research</v>
      </c>
      <c r="P1271" s="1" t="str">
        <f t="shared" si="1275"/>
        <v>Anti-Scam</v>
      </c>
      <c r="Q1271" s="61" t="str">
        <f t="shared" si="3"/>
        <v>2023</v>
      </c>
      <c r="R1271" s="62">
        <f t="shared" si="4"/>
        <v>1</v>
      </c>
      <c r="S1271" s="61" t="str">
        <f t="shared" si="5"/>
        <v>2023-Q1</v>
      </c>
      <c r="T1271" s="63" t="str">
        <f t="shared" si="6"/>
        <v>2023-01</v>
      </c>
      <c r="U1271" s="64" t="str">
        <f t="shared" si="7"/>
        <v>2023-H1</v>
      </c>
      <c r="V1271" s="9" t="str">
        <f>VLOOKUP(B1271,Bounties!A:E,2,FALSE)</f>
        <v>Anti-Scam Bounty</v>
      </c>
    </row>
    <row r="1272" hidden="1">
      <c r="A1272" s="67">
        <f>HYPERLINK("https://polkadot.subsquare.io/treasury/child-bounties/122", 122)</f>
        <v>122</v>
      </c>
      <c r="B1272" s="1">
        <v>11.0</v>
      </c>
      <c r="C1272" s="1" t="s">
        <v>2508</v>
      </c>
      <c r="D1272" s="1" t="s">
        <v>1427</v>
      </c>
      <c r="E1272" s="5">
        <v>140.639063906</v>
      </c>
      <c r="F1272" s="4">
        <v>735.4688740957932</v>
      </c>
      <c r="G1272" s="1"/>
      <c r="H1272" s="95">
        <v>44935.0</v>
      </c>
      <c r="I1272" s="95">
        <v>44940.0</v>
      </c>
      <c r="J1272" s="4">
        <v>837.6752144552495</v>
      </c>
      <c r="K1272" s="1"/>
      <c r="L1272" s="1"/>
      <c r="M1272" s="1" t="str">
        <f>VLOOKUP(B1272,Bounties!A:D,3,FALSE)</f>
        <v>Research</v>
      </c>
      <c r="N1272" s="1" t="str">
        <f>VLOOKUP(B1272,Bounties!A:D,4,FALSE)</f>
        <v>Anti-Scam</v>
      </c>
      <c r="O1272" s="1" t="str">
        <f t="shared" ref="O1272:P1272" si="1276">IF(ISBLANK(K1272),M1272,K1272)</f>
        <v>Research</v>
      </c>
      <c r="P1272" s="1" t="str">
        <f t="shared" si="1276"/>
        <v>Anti-Scam</v>
      </c>
      <c r="Q1272" s="61" t="str">
        <f t="shared" si="3"/>
        <v>2023</v>
      </c>
      <c r="R1272" s="62">
        <f t="shared" si="4"/>
        <v>1</v>
      </c>
      <c r="S1272" s="61" t="str">
        <f t="shared" si="5"/>
        <v>2023-Q1</v>
      </c>
      <c r="T1272" s="63" t="str">
        <f t="shared" si="6"/>
        <v>2023-01</v>
      </c>
      <c r="U1272" s="64" t="str">
        <f t="shared" si="7"/>
        <v>2023-H1</v>
      </c>
      <c r="V1272" s="9" t="str">
        <f>VLOOKUP(B1272,Bounties!A:E,2,FALSE)</f>
        <v>Anti-Scam Bounty</v>
      </c>
    </row>
    <row r="1273" hidden="1">
      <c r="A1273" s="67">
        <f>HYPERLINK("https://polkadot.subsquare.io/treasury/child-bounties/121", 121)</f>
        <v>121</v>
      </c>
      <c r="B1273" s="1">
        <v>11.0</v>
      </c>
      <c r="C1273" s="1" t="s">
        <v>2508</v>
      </c>
      <c r="D1273" s="1" t="s">
        <v>1428</v>
      </c>
      <c r="E1273" s="5">
        <v>248.649864986</v>
      </c>
      <c r="F1273" s="4">
        <v>1300.3089694023665</v>
      </c>
      <c r="G1273" s="1"/>
      <c r="H1273" s="95">
        <v>44935.0</v>
      </c>
      <c r="I1273" s="95">
        <v>44940.0</v>
      </c>
      <c r="J1273" s="4">
        <v>1481.009779158025</v>
      </c>
      <c r="K1273" s="1"/>
      <c r="L1273" s="1"/>
      <c r="M1273" s="1" t="str">
        <f>VLOOKUP(B1273,Bounties!A:D,3,FALSE)</f>
        <v>Research</v>
      </c>
      <c r="N1273" s="1" t="str">
        <f>VLOOKUP(B1273,Bounties!A:D,4,FALSE)</f>
        <v>Anti-Scam</v>
      </c>
      <c r="O1273" s="1" t="str">
        <f t="shared" ref="O1273:P1273" si="1277">IF(ISBLANK(K1273),M1273,K1273)</f>
        <v>Research</v>
      </c>
      <c r="P1273" s="1" t="str">
        <f t="shared" si="1277"/>
        <v>Anti-Scam</v>
      </c>
      <c r="Q1273" s="61" t="str">
        <f t="shared" si="3"/>
        <v>2023</v>
      </c>
      <c r="R1273" s="62">
        <f t="shared" si="4"/>
        <v>1</v>
      </c>
      <c r="S1273" s="61" t="str">
        <f t="shared" si="5"/>
        <v>2023-Q1</v>
      </c>
      <c r="T1273" s="63" t="str">
        <f t="shared" si="6"/>
        <v>2023-01</v>
      </c>
      <c r="U1273" s="64" t="str">
        <f t="shared" si="7"/>
        <v>2023-H1</v>
      </c>
      <c r="V1273" s="9" t="str">
        <f>VLOOKUP(B1273,Bounties!A:E,2,FALSE)</f>
        <v>Anti-Scam Bounty</v>
      </c>
    </row>
    <row r="1274" hidden="1">
      <c r="A1274" s="67">
        <f>HYPERLINK("https://polkadot.subsquare.io/treasury/child-bounties/120", 120)</f>
        <v>120</v>
      </c>
      <c r="B1274" s="1">
        <v>11.0</v>
      </c>
      <c r="C1274" s="1" t="s">
        <v>2414</v>
      </c>
      <c r="D1274" s="1" t="s">
        <v>1426</v>
      </c>
      <c r="E1274" s="5">
        <v>376.6818873668</v>
      </c>
      <c r="F1274" s="4">
        <v>1704.2459686197158</v>
      </c>
      <c r="G1274" s="1" t="s">
        <v>2437</v>
      </c>
      <c r="H1274" s="95">
        <v>44926.0</v>
      </c>
      <c r="I1274" s="95">
        <v>44935.0</v>
      </c>
      <c r="J1274" s="4">
        <v>1932.3702221989936</v>
      </c>
      <c r="K1274" s="1"/>
      <c r="L1274" s="1"/>
      <c r="M1274" s="1" t="str">
        <f>VLOOKUP(B1274,Bounties!A:D,3,FALSE)</f>
        <v>Research</v>
      </c>
      <c r="N1274" s="1" t="str">
        <f>VLOOKUP(B1274,Bounties!A:D,4,FALSE)</f>
        <v>Anti-Scam</v>
      </c>
      <c r="O1274" s="1" t="str">
        <f t="shared" ref="O1274:P1274" si="1278">IF(ISBLANK(K1274),M1274,K1274)</f>
        <v>Research</v>
      </c>
      <c r="P1274" s="1" t="str">
        <f t="shared" si="1278"/>
        <v>Anti-Scam</v>
      </c>
      <c r="Q1274" s="61" t="str">
        <f t="shared" si="3"/>
        <v>2023</v>
      </c>
      <c r="R1274" s="62">
        <f t="shared" si="4"/>
        <v>1</v>
      </c>
      <c r="S1274" s="61" t="str">
        <f t="shared" si="5"/>
        <v>2023-Q1</v>
      </c>
      <c r="T1274" s="63" t="str">
        <f t="shared" si="6"/>
        <v>2023-01</v>
      </c>
      <c r="U1274" s="64" t="str">
        <f t="shared" si="7"/>
        <v>2023-H1</v>
      </c>
      <c r="V1274" s="9" t="str">
        <f>VLOOKUP(B1274,Bounties!A:E,2,FALSE)</f>
        <v>Anti-Scam Bounty</v>
      </c>
    </row>
    <row r="1275" hidden="1">
      <c r="A1275" s="67">
        <f>HYPERLINK("https://polkadot.subsquare.io/treasury/child-bounties/119", 119)</f>
        <v>119</v>
      </c>
      <c r="B1275" s="1">
        <v>11.0</v>
      </c>
      <c r="C1275" s="1" t="s">
        <v>2414</v>
      </c>
      <c r="D1275" s="1" t="s">
        <v>1425</v>
      </c>
      <c r="E1275" s="5">
        <v>866.8645357686</v>
      </c>
      <c r="F1275" s="4">
        <v>3922.010693825701</v>
      </c>
      <c r="G1275" s="1" t="s">
        <v>2438</v>
      </c>
      <c r="H1275" s="95">
        <v>44926.0</v>
      </c>
      <c r="I1275" s="95">
        <v>44935.0</v>
      </c>
      <c r="J1275" s="4">
        <v>4446.996980155933</v>
      </c>
      <c r="K1275" s="1"/>
      <c r="L1275" s="1"/>
      <c r="M1275" s="1" t="str">
        <f>VLOOKUP(B1275,Bounties!A:D,3,FALSE)</f>
        <v>Research</v>
      </c>
      <c r="N1275" s="1" t="str">
        <f>VLOOKUP(B1275,Bounties!A:D,4,FALSE)</f>
        <v>Anti-Scam</v>
      </c>
      <c r="O1275" s="1" t="str">
        <f t="shared" ref="O1275:P1275" si="1279">IF(ISBLANK(K1275),M1275,K1275)</f>
        <v>Research</v>
      </c>
      <c r="P1275" s="1" t="str">
        <f t="shared" si="1279"/>
        <v>Anti-Scam</v>
      </c>
      <c r="Q1275" s="61" t="str">
        <f t="shared" si="3"/>
        <v>2023</v>
      </c>
      <c r="R1275" s="62">
        <f t="shared" si="4"/>
        <v>1</v>
      </c>
      <c r="S1275" s="61" t="str">
        <f t="shared" si="5"/>
        <v>2023-Q1</v>
      </c>
      <c r="T1275" s="63" t="str">
        <f t="shared" si="6"/>
        <v>2023-01</v>
      </c>
      <c r="U1275" s="64" t="str">
        <f t="shared" si="7"/>
        <v>2023-H1</v>
      </c>
      <c r="V1275" s="9" t="str">
        <f>VLOOKUP(B1275,Bounties!A:E,2,FALSE)</f>
        <v>Anti-Scam Bounty</v>
      </c>
    </row>
    <row r="1276" hidden="1">
      <c r="A1276" s="67">
        <f>HYPERLINK("https://polkadot.subsquare.io/treasury/child-bounties/118", 118)</f>
        <v>118</v>
      </c>
      <c r="B1276" s="1">
        <v>11.0</v>
      </c>
      <c r="C1276" s="1" t="s">
        <v>2414</v>
      </c>
      <c r="D1276" s="1" t="s">
        <v>1424</v>
      </c>
      <c r="E1276" s="5">
        <v>201.2480974125</v>
      </c>
      <c r="F1276" s="4">
        <v>910.5196459145441</v>
      </c>
      <c r="G1276" s="1" t="s">
        <v>2463</v>
      </c>
      <c r="H1276" s="95">
        <v>44926.0</v>
      </c>
      <c r="I1276" s="95">
        <v>44935.0</v>
      </c>
      <c r="J1276" s="4">
        <v>1052.4224742907818</v>
      </c>
      <c r="K1276" s="1"/>
      <c r="L1276" s="1"/>
      <c r="M1276" s="1" t="str">
        <f>VLOOKUP(B1276,Bounties!A:D,3,FALSE)</f>
        <v>Research</v>
      </c>
      <c r="N1276" s="1" t="str">
        <f>VLOOKUP(B1276,Bounties!A:D,4,FALSE)</f>
        <v>Anti-Scam</v>
      </c>
      <c r="O1276" s="1" t="str">
        <f t="shared" ref="O1276:P1276" si="1280">IF(ISBLANK(K1276),M1276,K1276)</f>
        <v>Research</v>
      </c>
      <c r="P1276" s="1" t="str">
        <f t="shared" si="1280"/>
        <v>Anti-Scam</v>
      </c>
      <c r="Q1276" s="61" t="str">
        <f t="shared" si="3"/>
        <v>2023</v>
      </c>
      <c r="R1276" s="62">
        <f t="shared" si="4"/>
        <v>1</v>
      </c>
      <c r="S1276" s="61" t="str">
        <f t="shared" si="5"/>
        <v>2023-Q1</v>
      </c>
      <c r="T1276" s="63" t="str">
        <f t="shared" si="6"/>
        <v>2023-01</v>
      </c>
      <c r="U1276" s="64" t="str">
        <f t="shared" si="7"/>
        <v>2023-H1</v>
      </c>
      <c r="V1276" s="9" t="str">
        <f>VLOOKUP(B1276,Bounties!A:E,2,FALSE)</f>
        <v>Anti-Scam Bounty</v>
      </c>
    </row>
    <row r="1277" hidden="1">
      <c r="A1277" s="67">
        <f>HYPERLINK("https://polkadot.subsquare.io/treasury/child-bounties/117", 117)</f>
        <v>117</v>
      </c>
      <c r="B1277" s="1">
        <v>11.0</v>
      </c>
      <c r="C1277" s="1" t="s">
        <v>2414</v>
      </c>
      <c r="D1277" s="1" t="s">
        <v>1423</v>
      </c>
      <c r="E1277" s="5">
        <v>91.4494742</v>
      </c>
      <c r="F1277" s="4">
        <v>413.7507083954343</v>
      </c>
      <c r="G1277" s="1" t="s">
        <v>2437</v>
      </c>
      <c r="H1277" s="95">
        <v>44926.0</v>
      </c>
      <c r="I1277" s="95">
        <v>44934.0</v>
      </c>
      <c r="J1277" s="4">
        <v>469.1338944252363</v>
      </c>
      <c r="K1277" s="1"/>
      <c r="L1277" s="1"/>
      <c r="M1277" s="1" t="str">
        <f>VLOOKUP(B1277,Bounties!A:D,3,FALSE)</f>
        <v>Research</v>
      </c>
      <c r="N1277" s="1" t="str">
        <f>VLOOKUP(B1277,Bounties!A:D,4,FALSE)</f>
        <v>Anti-Scam</v>
      </c>
      <c r="O1277" s="1" t="str">
        <f t="shared" ref="O1277:P1277" si="1281">IF(ISBLANK(K1277),M1277,K1277)</f>
        <v>Research</v>
      </c>
      <c r="P1277" s="1" t="str">
        <f t="shared" si="1281"/>
        <v>Anti-Scam</v>
      </c>
      <c r="Q1277" s="61" t="str">
        <f t="shared" si="3"/>
        <v>2023</v>
      </c>
      <c r="R1277" s="62">
        <f t="shared" si="4"/>
        <v>1</v>
      </c>
      <c r="S1277" s="61" t="str">
        <f t="shared" si="5"/>
        <v>2023-Q1</v>
      </c>
      <c r="T1277" s="63" t="str">
        <f t="shared" si="6"/>
        <v>2023-01</v>
      </c>
      <c r="U1277" s="64" t="str">
        <f t="shared" si="7"/>
        <v>2023-H1</v>
      </c>
      <c r="V1277" s="9" t="str">
        <f>VLOOKUP(B1277,Bounties!A:E,2,FALSE)</f>
        <v>Anti-Scam Bounty</v>
      </c>
    </row>
    <row r="1278" hidden="1">
      <c r="A1278" s="67">
        <f>HYPERLINK("https://polkadot.subsquare.io/treasury/child-bounties/116", 116)</f>
        <v>116</v>
      </c>
      <c r="B1278" s="1">
        <v>11.0</v>
      </c>
      <c r="C1278" s="1" t="s">
        <v>2414</v>
      </c>
      <c r="D1278" s="1" t="s">
        <v>1422</v>
      </c>
      <c r="E1278" s="5">
        <v>91.4494742</v>
      </c>
      <c r="F1278" s="4">
        <v>413.7507083954343</v>
      </c>
      <c r="G1278" s="1" t="s">
        <v>2463</v>
      </c>
      <c r="H1278" s="95">
        <v>44926.0</v>
      </c>
      <c r="I1278" s="95">
        <v>44941.0</v>
      </c>
      <c r="J1278" s="4">
        <v>544.691892741165</v>
      </c>
      <c r="K1278" s="1"/>
      <c r="L1278" s="1"/>
      <c r="M1278" s="1" t="str">
        <f>VLOOKUP(B1278,Bounties!A:D,3,FALSE)</f>
        <v>Research</v>
      </c>
      <c r="N1278" s="1" t="str">
        <f>VLOOKUP(B1278,Bounties!A:D,4,FALSE)</f>
        <v>Anti-Scam</v>
      </c>
      <c r="O1278" s="1" t="str">
        <f t="shared" ref="O1278:P1278" si="1282">IF(ISBLANK(K1278),M1278,K1278)</f>
        <v>Research</v>
      </c>
      <c r="P1278" s="1" t="str">
        <f t="shared" si="1282"/>
        <v>Anti-Scam</v>
      </c>
      <c r="Q1278" s="61" t="str">
        <f t="shared" si="3"/>
        <v>2023</v>
      </c>
      <c r="R1278" s="62">
        <f t="shared" si="4"/>
        <v>1</v>
      </c>
      <c r="S1278" s="61" t="str">
        <f t="shared" si="5"/>
        <v>2023-Q1</v>
      </c>
      <c r="T1278" s="63" t="str">
        <f t="shared" si="6"/>
        <v>2023-01</v>
      </c>
      <c r="U1278" s="64" t="str">
        <f t="shared" si="7"/>
        <v>2023-H1</v>
      </c>
      <c r="V1278" s="9" t="str">
        <f>VLOOKUP(B1278,Bounties!A:E,2,FALSE)</f>
        <v>Anti-Scam Bounty</v>
      </c>
    </row>
    <row r="1279" hidden="1">
      <c r="A1279" s="67">
        <f>HYPERLINK("https://polkadot.subsquare.io/treasury/child-bounties/115", 115)</f>
        <v>115</v>
      </c>
      <c r="B1279" s="1">
        <v>11.0</v>
      </c>
      <c r="C1279" s="1" t="s">
        <v>2414</v>
      </c>
      <c r="D1279" s="1" t="s">
        <v>1421</v>
      </c>
      <c r="E1279" s="5">
        <v>91.4494742</v>
      </c>
      <c r="F1279" s="4">
        <v>413.7507083954343</v>
      </c>
      <c r="G1279" s="1" t="s">
        <v>2438</v>
      </c>
      <c r="H1279" s="95">
        <v>44926.0</v>
      </c>
      <c r="I1279" s="95">
        <v>44934.0</v>
      </c>
      <c r="J1279" s="4">
        <v>469.1338944252363</v>
      </c>
      <c r="K1279" s="1"/>
      <c r="L1279" s="1"/>
      <c r="M1279" s="1" t="str">
        <f>VLOOKUP(B1279,Bounties!A:D,3,FALSE)</f>
        <v>Research</v>
      </c>
      <c r="N1279" s="1" t="str">
        <f>VLOOKUP(B1279,Bounties!A:D,4,FALSE)</f>
        <v>Anti-Scam</v>
      </c>
      <c r="O1279" s="1" t="str">
        <f t="shared" ref="O1279:P1279" si="1283">IF(ISBLANK(K1279),M1279,K1279)</f>
        <v>Research</v>
      </c>
      <c r="P1279" s="1" t="str">
        <f t="shared" si="1283"/>
        <v>Anti-Scam</v>
      </c>
      <c r="Q1279" s="61" t="str">
        <f t="shared" si="3"/>
        <v>2023</v>
      </c>
      <c r="R1279" s="62">
        <f t="shared" si="4"/>
        <v>1</v>
      </c>
      <c r="S1279" s="61" t="str">
        <f t="shared" si="5"/>
        <v>2023-Q1</v>
      </c>
      <c r="T1279" s="63" t="str">
        <f t="shared" si="6"/>
        <v>2023-01</v>
      </c>
      <c r="U1279" s="64" t="str">
        <f t="shared" si="7"/>
        <v>2023-H1</v>
      </c>
      <c r="V1279" s="9" t="str">
        <f>VLOOKUP(B1279,Bounties!A:E,2,FALSE)</f>
        <v>Anti-Scam Bounty</v>
      </c>
    </row>
    <row r="1280" hidden="1">
      <c r="A1280" s="67">
        <f>HYPERLINK("https://polkadot.subsquare.io/treasury/child-bounties/114", 114)</f>
        <v>114</v>
      </c>
      <c r="B1280" s="1">
        <v>11.0</v>
      </c>
      <c r="C1280" s="1" t="s">
        <v>2414</v>
      </c>
      <c r="D1280" s="1" t="s">
        <v>1420</v>
      </c>
      <c r="E1280" s="5">
        <v>114.7614761476</v>
      </c>
      <c r="F1280" s="4">
        <v>501.60132261350486</v>
      </c>
      <c r="G1280" s="1" t="s">
        <v>2437</v>
      </c>
      <c r="H1280" s="95">
        <v>44924.0</v>
      </c>
      <c r="I1280" s="95">
        <v>44933.0</v>
      </c>
      <c r="J1280" s="4">
        <v>564.4894461712596</v>
      </c>
      <c r="K1280" s="1"/>
      <c r="L1280" s="1"/>
      <c r="M1280" s="1" t="str">
        <f>VLOOKUP(B1280,Bounties!A:D,3,FALSE)</f>
        <v>Research</v>
      </c>
      <c r="N1280" s="1" t="str">
        <f>VLOOKUP(B1280,Bounties!A:D,4,FALSE)</f>
        <v>Anti-Scam</v>
      </c>
      <c r="O1280" s="1" t="str">
        <f t="shared" ref="O1280:P1280" si="1284">IF(ISBLANK(K1280),M1280,K1280)</f>
        <v>Research</v>
      </c>
      <c r="P1280" s="1" t="str">
        <f t="shared" si="1284"/>
        <v>Anti-Scam</v>
      </c>
      <c r="Q1280" s="61" t="str">
        <f t="shared" si="3"/>
        <v>2023</v>
      </c>
      <c r="R1280" s="62">
        <f t="shared" si="4"/>
        <v>1</v>
      </c>
      <c r="S1280" s="61" t="str">
        <f t="shared" si="5"/>
        <v>2023-Q1</v>
      </c>
      <c r="T1280" s="63" t="str">
        <f t="shared" si="6"/>
        <v>2023-01</v>
      </c>
      <c r="U1280" s="64" t="str">
        <f t="shared" si="7"/>
        <v>2023-H1</v>
      </c>
      <c r="V1280" s="9" t="str">
        <f>VLOOKUP(B1280,Bounties!A:E,2,FALSE)</f>
        <v>Anti-Scam Bounty</v>
      </c>
    </row>
    <row r="1281" hidden="1">
      <c r="A1281" s="67">
        <f>HYPERLINK("https://polkadot.subsquare.io/treasury/child-bounties/113", 113)</f>
        <v>113</v>
      </c>
      <c r="B1281" s="1">
        <v>17.0</v>
      </c>
      <c r="C1281" s="1" t="s">
        <v>2414</v>
      </c>
      <c r="D1281" s="1" t="s">
        <v>1419</v>
      </c>
      <c r="E1281" s="5">
        <v>4750.9</v>
      </c>
      <c r="F1281" s="4">
        <v>21246.4195605278</v>
      </c>
      <c r="G1281" s="1" t="s">
        <v>2762</v>
      </c>
      <c r="H1281" s="95">
        <v>44915.0</v>
      </c>
      <c r="I1281" s="95">
        <v>44926.0</v>
      </c>
      <c r="J1281" s="4">
        <v>21494.800901937484</v>
      </c>
      <c r="K1281" s="1"/>
      <c r="L1281" s="1"/>
      <c r="M1281" s="1" t="str">
        <f>VLOOKUP(B1281,Bounties!A:D,3,FALSE)</f>
        <v>Outreach</v>
      </c>
      <c r="N1281" s="1" t="str">
        <f>VLOOKUP(B1281,Bounties!A:D,4,FALSE)</f>
        <v>Events/Meetups</v>
      </c>
      <c r="O1281" s="1" t="str">
        <f t="shared" ref="O1281:P1281" si="1285">IF(ISBLANK(K1281),M1281,K1281)</f>
        <v>Outreach</v>
      </c>
      <c r="P1281" s="1" t="str">
        <f t="shared" si="1285"/>
        <v>Events/Meetups</v>
      </c>
      <c r="Q1281" s="61" t="str">
        <f t="shared" si="3"/>
        <v>2022</v>
      </c>
      <c r="R1281" s="62">
        <f t="shared" si="4"/>
        <v>12</v>
      </c>
      <c r="S1281" s="61" t="str">
        <f t="shared" si="5"/>
        <v>2022-Q4</v>
      </c>
      <c r="T1281" s="63" t="str">
        <f t="shared" si="6"/>
        <v>2022-12</v>
      </c>
      <c r="U1281" s="64" t="str">
        <f t="shared" si="7"/>
        <v>2022-H2</v>
      </c>
      <c r="V1281" s="9" t="str">
        <f>VLOOKUP(B1281,Bounties!A:E,2,FALSE)</f>
        <v>Events Bounty</v>
      </c>
    </row>
    <row r="1282" hidden="1">
      <c r="A1282" s="67">
        <f>HYPERLINK("https://polkadot.subsquare.io/treasury/child-bounties/112", 112)</f>
        <v>112</v>
      </c>
      <c r="B1282" s="1">
        <v>17.0</v>
      </c>
      <c r="C1282" s="1" t="s">
        <v>2414</v>
      </c>
      <c r="D1282" s="1" t="s">
        <v>1418</v>
      </c>
      <c r="E1282" s="5">
        <v>17624.6</v>
      </c>
      <c r="F1282" s="4">
        <v>78818.67565860748</v>
      </c>
      <c r="G1282" s="1" t="s">
        <v>2763</v>
      </c>
      <c r="H1282" s="95">
        <v>44915.0</v>
      </c>
      <c r="I1282" s="95">
        <v>44927.0</v>
      </c>
      <c r="J1282" s="4">
        <v>81605.26164264679</v>
      </c>
      <c r="K1282" s="1"/>
      <c r="L1282" s="1"/>
      <c r="M1282" s="1" t="str">
        <f>VLOOKUP(B1282,Bounties!A:D,3,FALSE)</f>
        <v>Outreach</v>
      </c>
      <c r="N1282" s="1" t="str">
        <f>VLOOKUP(B1282,Bounties!A:D,4,FALSE)</f>
        <v>Events/Meetups</v>
      </c>
      <c r="O1282" s="1" t="str">
        <f t="shared" ref="O1282:P1282" si="1286">IF(ISBLANK(K1282),M1282,K1282)</f>
        <v>Outreach</v>
      </c>
      <c r="P1282" s="1" t="str">
        <f t="shared" si="1286"/>
        <v>Events/Meetups</v>
      </c>
      <c r="Q1282" s="61" t="str">
        <f t="shared" si="3"/>
        <v>2023</v>
      </c>
      <c r="R1282" s="62">
        <f t="shared" si="4"/>
        <v>1</v>
      </c>
      <c r="S1282" s="61" t="str">
        <f t="shared" si="5"/>
        <v>2023-Q1</v>
      </c>
      <c r="T1282" s="63" t="str">
        <f t="shared" si="6"/>
        <v>2023-01</v>
      </c>
      <c r="U1282" s="64" t="str">
        <f t="shared" si="7"/>
        <v>2023-H1</v>
      </c>
      <c r="V1282" s="9" t="str">
        <f>VLOOKUP(B1282,Bounties!A:E,2,FALSE)</f>
        <v>Events Bounty</v>
      </c>
    </row>
    <row r="1283" hidden="1">
      <c r="A1283" s="67">
        <f>HYPERLINK("https://polkadot.subsquare.io/treasury/child-bounties/111", 111)</f>
        <v>111</v>
      </c>
      <c r="B1283" s="1">
        <v>17.0</v>
      </c>
      <c r="C1283" s="1" t="s">
        <v>2414</v>
      </c>
      <c r="D1283" s="1" t="s">
        <v>1417</v>
      </c>
      <c r="E1283" s="5">
        <v>14602.0</v>
      </c>
      <c r="F1283" s="4">
        <v>65419.104813575745</v>
      </c>
      <c r="G1283" s="1" t="s">
        <v>2730</v>
      </c>
      <c r="H1283" s="95">
        <v>44913.0</v>
      </c>
      <c r="I1283" s="95">
        <v>44927.0</v>
      </c>
      <c r="J1283" s="4">
        <v>67610.04678153992</v>
      </c>
      <c r="K1283" s="1"/>
      <c r="L1283" s="1" t="s">
        <v>86</v>
      </c>
      <c r="M1283" s="1" t="str">
        <f>VLOOKUP(B1283,Bounties!A:D,3,FALSE)</f>
        <v>Outreach</v>
      </c>
      <c r="N1283" s="1" t="str">
        <f>VLOOKUP(B1283,Bounties!A:D,4,FALSE)</f>
        <v>Events/Meetups</v>
      </c>
      <c r="O1283" s="1" t="str">
        <f t="shared" ref="O1283:P1283" si="1287">IF(ISBLANK(K1283),M1283,K1283)</f>
        <v>Outreach</v>
      </c>
      <c r="P1283" s="1" t="str">
        <f t="shared" si="1287"/>
        <v>Events/Conference Attendance &amp; Side Events</v>
      </c>
      <c r="Q1283" s="61" t="str">
        <f t="shared" si="3"/>
        <v>2023</v>
      </c>
      <c r="R1283" s="62">
        <f t="shared" si="4"/>
        <v>1</v>
      </c>
      <c r="S1283" s="61" t="str">
        <f t="shared" si="5"/>
        <v>2023-Q1</v>
      </c>
      <c r="T1283" s="63" t="str">
        <f t="shared" si="6"/>
        <v>2023-01</v>
      </c>
      <c r="U1283" s="64" t="str">
        <f t="shared" si="7"/>
        <v>2023-H1</v>
      </c>
      <c r="V1283" s="9" t="str">
        <f>VLOOKUP(B1283,Bounties!A:E,2,FALSE)</f>
        <v>Events Bounty</v>
      </c>
    </row>
    <row r="1284" hidden="1">
      <c r="A1284" s="67">
        <f>HYPERLINK("https://polkadot.subsquare.io/treasury/child-bounties/110", 110)</f>
        <v>110</v>
      </c>
      <c r="B1284" s="1">
        <v>11.0</v>
      </c>
      <c r="C1284" s="1" t="s">
        <v>2414</v>
      </c>
      <c r="D1284" s="1" t="s">
        <v>1416</v>
      </c>
      <c r="E1284" s="5">
        <v>76.8386388</v>
      </c>
      <c r="F1284" s="4">
        <v>397.0724243094223</v>
      </c>
      <c r="G1284" s="1" t="s">
        <v>2437</v>
      </c>
      <c r="H1284" s="95">
        <v>44903.0</v>
      </c>
      <c r="I1284" s="95">
        <v>44912.0</v>
      </c>
      <c r="J1284" s="4">
        <v>354.3573778811342</v>
      </c>
      <c r="K1284" s="1"/>
      <c r="L1284" s="1"/>
      <c r="M1284" s="1" t="str">
        <f>VLOOKUP(B1284,Bounties!A:D,3,FALSE)</f>
        <v>Research</v>
      </c>
      <c r="N1284" s="1" t="str">
        <f>VLOOKUP(B1284,Bounties!A:D,4,FALSE)</f>
        <v>Anti-Scam</v>
      </c>
      <c r="O1284" s="1" t="str">
        <f t="shared" ref="O1284:P1284" si="1288">IF(ISBLANK(K1284),M1284,K1284)</f>
        <v>Research</v>
      </c>
      <c r="P1284" s="1" t="str">
        <f t="shared" si="1288"/>
        <v>Anti-Scam</v>
      </c>
      <c r="Q1284" s="61" t="str">
        <f t="shared" si="3"/>
        <v>2022</v>
      </c>
      <c r="R1284" s="62">
        <f t="shared" si="4"/>
        <v>12</v>
      </c>
      <c r="S1284" s="61" t="str">
        <f t="shared" si="5"/>
        <v>2022-Q4</v>
      </c>
      <c r="T1284" s="63" t="str">
        <f t="shared" si="6"/>
        <v>2022-12</v>
      </c>
      <c r="U1284" s="64" t="str">
        <f t="shared" si="7"/>
        <v>2022-H2</v>
      </c>
      <c r="V1284" s="9" t="str">
        <f>VLOOKUP(B1284,Bounties!A:E,2,FALSE)</f>
        <v>Anti-Scam Bounty</v>
      </c>
    </row>
    <row r="1285" hidden="1">
      <c r="A1285" s="67">
        <f>HYPERLINK("https://polkadot.subsquare.io/treasury/child-bounties/109", 109)</f>
        <v>109</v>
      </c>
      <c r="B1285" s="1">
        <v>11.0</v>
      </c>
      <c r="C1285" s="1" t="s">
        <v>2414</v>
      </c>
      <c r="D1285" s="1" t="s">
        <v>1415</v>
      </c>
      <c r="E1285" s="5">
        <v>90.8595312</v>
      </c>
      <c r="F1285" s="4">
        <v>493.403675312677</v>
      </c>
      <c r="G1285" s="1" t="s">
        <v>2534</v>
      </c>
      <c r="H1285" s="95">
        <v>44901.0</v>
      </c>
      <c r="I1285" s="95">
        <v>44909.0</v>
      </c>
      <c r="J1285" s="4">
        <v>427.97880970887456</v>
      </c>
      <c r="K1285" s="1"/>
      <c r="L1285" s="1"/>
      <c r="M1285" s="1" t="str">
        <f>VLOOKUP(B1285,Bounties!A:D,3,FALSE)</f>
        <v>Research</v>
      </c>
      <c r="N1285" s="1" t="str">
        <f>VLOOKUP(B1285,Bounties!A:D,4,FALSE)</f>
        <v>Anti-Scam</v>
      </c>
      <c r="O1285" s="1" t="str">
        <f t="shared" ref="O1285:P1285" si="1289">IF(ISBLANK(K1285),M1285,K1285)</f>
        <v>Research</v>
      </c>
      <c r="P1285" s="1" t="str">
        <f t="shared" si="1289"/>
        <v>Anti-Scam</v>
      </c>
      <c r="Q1285" s="61" t="str">
        <f t="shared" si="3"/>
        <v>2022</v>
      </c>
      <c r="R1285" s="62">
        <f t="shared" si="4"/>
        <v>12</v>
      </c>
      <c r="S1285" s="61" t="str">
        <f t="shared" si="5"/>
        <v>2022-Q4</v>
      </c>
      <c r="T1285" s="63" t="str">
        <f t="shared" si="6"/>
        <v>2022-12</v>
      </c>
      <c r="U1285" s="64" t="str">
        <f t="shared" si="7"/>
        <v>2022-H2</v>
      </c>
      <c r="V1285" s="9" t="str">
        <f>VLOOKUP(B1285,Bounties!A:E,2,FALSE)</f>
        <v>Anti-Scam Bounty</v>
      </c>
    </row>
    <row r="1286" hidden="1">
      <c r="A1286" s="67">
        <f>HYPERLINK("https://polkadot.subsquare.io/treasury/child-bounties/108", 108)</f>
        <v>108</v>
      </c>
      <c r="B1286" s="1">
        <v>11.0</v>
      </c>
      <c r="C1286" s="1" t="s">
        <v>2414</v>
      </c>
      <c r="D1286" s="1" t="s">
        <v>1414</v>
      </c>
      <c r="E1286" s="5">
        <v>145.1642170205</v>
      </c>
      <c r="F1286" s="4">
        <v>788.2998872638004</v>
      </c>
      <c r="G1286" s="1" t="s">
        <v>2745</v>
      </c>
      <c r="H1286" s="95">
        <v>44900.0</v>
      </c>
      <c r="I1286" s="95">
        <v>44909.0</v>
      </c>
      <c r="J1286" s="4">
        <v>683.7720599284175</v>
      </c>
      <c r="K1286" s="1"/>
      <c r="L1286" s="1"/>
      <c r="M1286" s="1" t="str">
        <f>VLOOKUP(B1286,Bounties!A:D,3,FALSE)</f>
        <v>Research</v>
      </c>
      <c r="N1286" s="1" t="str">
        <f>VLOOKUP(B1286,Bounties!A:D,4,FALSE)</f>
        <v>Anti-Scam</v>
      </c>
      <c r="O1286" s="1" t="str">
        <f t="shared" ref="O1286:P1286" si="1290">IF(ISBLANK(K1286),M1286,K1286)</f>
        <v>Research</v>
      </c>
      <c r="P1286" s="1" t="str">
        <f t="shared" si="1290"/>
        <v>Anti-Scam</v>
      </c>
      <c r="Q1286" s="61" t="str">
        <f t="shared" si="3"/>
        <v>2022</v>
      </c>
      <c r="R1286" s="62">
        <f t="shared" si="4"/>
        <v>12</v>
      </c>
      <c r="S1286" s="61" t="str">
        <f t="shared" si="5"/>
        <v>2022-Q4</v>
      </c>
      <c r="T1286" s="63" t="str">
        <f t="shared" si="6"/>
        <v>2022-12</v>
      </c>
      <c r="U1286" s="64" t="str">
        <f t="shared" si="7"/>
        <v>2022-H2</v>
      </c>
      <c r="V1286" s="9" t="str">
        <f>VLOOKUP(B1286,Bounties!A:E,2,FALSE)</f>
        <v>Anti-Scam Bounty</v>
      </c>
    </row>
    <row r="1287" hidden="1">
      <c r="A1287" s="67">
        <f>HYPERLINK("https://polkadot.subsquare.io/treasury/child-bounties/107", 107)</f>
        <v>107</v>
      </c>
      <c r="B1287" s="1">
        <v>11.0</v>
      </c>
      <c r="C1287" s="1" t="s">
        <v>2414</v>
      </c>
      <c r="D1287" s="1" t="s">
        <v>1413</v>
      </c>
      <c r="E1287" s="5">
        <v>90.8595312</v>
      </c>
      <c r="F1287" s="4">
        <v>493.403675312677</v>
      </c>
      <c r="G1287" s="1" t="s">
        <v>2526</v>
      </c>
      <c r="H1287" s="95">
        <v>44900.0</v>
      </c>
      <c r="I1287" s="95">
        <v>44909.0</v>
      </c>
      <c r="J1287" s="4">
        <v>423.0289921846619</v>
      </c>
      <c r="K1287" s="1"/>
      <c r="L1287" s="1"/>
      <c r="M1287" s="1" t="str">
        <f>VLOOKUP(B1287,Bounties!A:D,3,FALSE)</f>
        <v>Research</v>
      </c>
      <c r="N1287" s="1" t="str">
        <f>VLOOKUP(B1287,Bounties!A:D,4,FALSE)</f>
        <v>Anti-Scam</v>
      </c>
      <c r="O1287" s="1" t="str">
        <f t="shared" ref="O1287:P1287" si="1291">IF(ISBLANK(K1287),M1287,K1287)</f>
        <v>Research</v>
      </c>
      <c r="P1287" s="1" t="str">
        <f t="shared" si="1291"/>
        <v>Anti-Scam</v>
      </c>
      <c r="Q1287" s="61" t="str">
        <f t="shared" si="3"/>
        <v>2022</v>
      </c>
      <c r="R1287" s="62">
        <f t="shared" si="4"/>
        <v>12</v>
      </c>
      <c r="S1287" s="61" t="str">
        <f t="shared" si="5"/>
        <v>2022-Q4</v>
      </c>
      <c r="T1287" s="63" t="str">
        <f t="shared" si="6"/>
        <v>2022-12</v>
      </c>
      <c r="U1287" s="64" t="str">
        <f t="shared" si="7"/>
        <v>2022-H2</v>
      </c>
      <c r="V1287" s="9" t="str">
        <f>VLOOKUP(B1287,Bounties!A:E,2,FALSE)</f>
        <v>Anti-Scam Bounty</v>
      </c>
    </row>
    <row r="1288" hidden="1">
      <c r="A1288" s="67">
        <f>HYPERLINK("https://polkadot.subsquare.io/treasury/child-bounties/106", 106)</f>
        <v>106</v>
      </c>
      <c r="B1288" s="1">
        <v>17.0</v>
      </c>
      <c r="C1288" s="1" t="s">
        <v>2414</v>
      </c>
      <c r="D1288" s="1" t="s">
        <v>1412</v>
      </c>
      <c r="E1288" s="5">
        <v>3672.0</v>
      </c>
      <c r="F1288" s="4">
        <v>19940.431915283203</v>
      </c>
      <c r="G1288" s="1" t="s">
        <v>2764</v>
      </c>
      <c r="H1288" s="95">
        <v>44900.0</v>
      </c>
      <c r="I1288" s="95">
        <v>44914.0</v>
      </c>
      <c r="J1288" s="4">
        <v>16625.386779785156</v>
      </c>
      <c r="K1288" s="1"/>
      <c r="L1288" s="1"/>
      <c r="M1288" s="1" t="str">
        <f>VLOOKUP(B1288,Bounties!A:D,3,FALSE)</f>
        <v>Outreach</v>
      </c>
      <c r="N1288" s="1" t="str">
        <f>VLOOKUP(B1288,Bounties!A:D,4,FALSE)</f>
        <v>Events/Meetups</v>
      </c>
      <c r="O1288" s="1" t="str">
        <f t="shared" ref="O1288:P1288" si="1292">IF(ISBLANK(K1288),M1288,K1288)</f>
        <v>Outreach</v>
      </c>
      <c r="P1288" s="1" t="str">
        <f t="shared" si="1292"/>
        <v>Events/Meetups</v>
      </c>
      <c r="Q1288" s="61" t="str">
        <f t="shared" si="3"/>
        <v>2022</v>
      </c>
      <c r="R1288" s="62">
        <f t="shared" si="4"/>
        <v>12</v>
      </c>
      <c r="S1288" s="61" t="str">
        <f t="shared" si="5"/>
        <v>2022-Q4</v>
      </c>
      <c r="T1288" s="63" t="str">
        <f t="shared" si="6"/>
        <v>2022-12</v>
      </c>
      <c r="U1288" s="64" t="str">
        <f t="shared" si="7"/>
        <v>2022-H2</v>
      </c>
      <c r="V1288" s="9" t="str">
        <f>VLOOKUP(B1288,Bounties!A:E,2,FALSE)</f>
        <v>Events Bounty</v>
      </c>
    </row>
    <row r="1289" hidden="1">
      <c r="A1289" s="67">
        <f>HYPERLINK("https://polkadot.subsquare.io/treasury/child-bounties/105", 105)</f>
        <v>105</v>
      </c>
      <c r="B1289" s="1">
        <v>11.0</v>
      </c>
      <c r="C1289" s="1" t="s">
        <v>2414</v>
      </c>
      <c r="D1289" s="1" t="s">
        <v>1369</v>
      </c>
      <c r="E1289" s="5">
        <v>72.5821085103</v>
      </c>
      <c r="F1289" s="4">
        <v>394.14994363217176</v>
      </c>
      <c r="G1289" s="1" t="s">
        <v>2437</v>
      </c>
      <c r="H1289" s="95">
        <v>44900.0</v>
      </c>
      <c r="I1289" s="95">
        <v>44908.0</v>
      </c>
      <c r="J1289" s="4">
        <v>337.93192423768505</v>
      </c>
      <c r="K1289" s="1"/>
      <c r="L1289" s="1"/>
      <c r="M1289" s="1" t="str">
        <f>VLOOKUP(B1289,Bounties!A:D,3,FALSE)</f>
        <v>Research</v>
      </c>
      <c r="N1289" s="1" t="str">
        <f>VLOOKUP(B1289,Bounties!A:D,4,FALSE)</f>
        <v>Anti-Scam</v>
      </c>
      <c r="O1289" s="1" t="str">
        <f t="shared" ref="O1289:P1289" si="1293">IF(ISBLANK(K1289),M1289,K1289)</f>
        <v>Research</v>
      </c>
      <c r="P1289" s="1" t="str">
        <f t="shared" si="1293"/>
        <v>Anti-Scam</v>
      </c>
      <c r="Q1289" s="61" t="str">
        <f t="shared" si="3"/>
        <v>2022</v>
      </c>
      <c r="R1289" s="62">
        <f t="shared" si="4"/>
        <v>12</v>
      </c>
      <c r="S1289" s="61" t="str">
        <f t="shared" si="5"/>
        <v>2022-Q4</v>
      </c>
      <c r="T1289" s="63" t="str">
        <f t="shared" si="6"/>
        <v>2022-12</v>
      </c>
      <c r="U1289" s="64" t="str">
        <f t="shared" si="7"/>
        <v>2022-H2</v>
      </c>
      <c r="V1289" s="9" t="str">
        <f>VLOOKUP(B1289,Bounties!A:E,2,FALSE)</f>
        <v>Anti-Scam Bounty</v>
      </c>
    </row>
    <row r="1290" hidden="1">
      <c r="A1290" s="67">
        <f>HYPERLINK("https://polkadot.subsquare.io/treasury/child-bounties/104", 104)</f>
        <v>104</v>
      </c>
      <c r="B1290" s="1">
        <v>11.0</v>
      </c>
      <c r="C1290" s="1" t="s">
        <v>2414</v>
      </c>
      <c r="D1290" s="1" t="s">
        <v>1368</v>
      </c>
      <c r="E1290" s="5">
        <v>72.5821085103</v>
      </c>
      <c r="F1290" s="4">
        <v>394.14994363217176</v>
      </c>
      <c r="G1290" s="1" t="s">
        <v>2463</v>
      </c>
      <c r="H1290" s="95">
        <v>44900.0</v>
      </c>
      <c r="I1290" s="95">
        <v>44909.0</v>
      </c>
      <c r="J1290" s="4">
        <v>337.93192423768505</v>
      </c>
      <c r="K1290" s="1"/>
      <c r="L1290" s="1"/>
      <c r="M1290" s="1" t="str">
        <f>VLOOKUP(B1290,Bounties!A:D,3,FALSE)</f>
        <v>Research</v>
      </c>
      <c r="N1290" s="1" t="str">
        <f>VLOOKUP(B1290,Bounties!A:D,4,FALSE)</f>
        <v>Anti-Scam</v>
      </c>
      <c r="O1290" s="1" t="str">
        <f t="shared" ref="O1290:P1290" si="1294">IF(ISBLANK(K1290),M1290,K1290)</f>
        <v>Research</v>
      </c>
      <c r="P1290" s="1" t="str">
        <f t="shared" si="1294"/>
        <v>Anti-Scam</v>
      </c>
      <c r="Q1290" s="61" t="str">
        <f t="shared" si="3"/>
        <v>2022</v>
      </c>
      <c r="R1290" s="62">
        <f t="shared" si="4"/>
        <v>12</v>
      </c>
      <c r="S1290" s="61" t="str">
        <f t="shared" si="5"/>
        <v>2022-Q4</v>
      </c>
      <c r="T1290" s="63" t="str">
        <f t="shared" si="6"/>
        <v>2022-12</v>
      </c>
      <c r="U1290" s="64" t="str">
        <f t="shared" si="7"/>
        <v>2022-H2</v>
      </c>
      <c r="V1290" s="9" t="str">
        <f>VLOOKUP(B1290,Bounties!A:E,2,FALSE)</f>
        <v>Anti-Scam Bounty</v>
      </c>
    </row>
    <row r="1291" hidden="1">
      <c r="A1291" s="67">
        <f>HYPERLINK("https://polkadot.subsquare.io/treasury/child-bounties/103", 103)</f>
        <v>103</v>
      </c>
      <c r="B1291" s="1">
        <v>11.0</v>
      </c>
      <c r="C1291" s="1" t="s">
        <v>2414</v>
      </c>
      <c r="D1291" s="1" t="s">
        <v>1411</v>
      </c>
      <c r="E1291" s="5">
        <v>72.5821085103</v>
      </c>
      <c r="F1291" s="4">
        <v>394.14994363217176</v>
      </c>
      <c r="G1291" s="1" t="s">
        <v>2438</v>
      </c>
      <c r="H1291" s="95">
        <v>44900.0</v>
      </c>
      <c r="I1291" s="95">
        <v>44909.0</v>
      </c>
      <c r="J1291" s="4">
        <v>337.93192423768505</v>
      </c>
      <c r="K1291" s="1"/>
      <c r="L1291" s="1"/>
      <c r="M1291" s="1" t="str">
        <f>VLOOKUP(B1291,Bounties!A:D,3,FALSE)</f>
        <v>Research</v>
      </c>
      <c r="N1291" s="1" t="str">
        <f>VLOOKUP(B1291,Bounties!A:D,4,FALSE)</f>
        <v>Anti-Scam</v>
      </c>
      <c r="O1291" s="1" t="str">
        <f t="shared" ref="O1291:P1291" si="1295">IF(ISBLANK(K1291),M1291,K1291)</f>
        <v>Research</v>
      </c>
      <c r="P1291" s="1" t="str">
        <f t="shared" si="1295"/>
        <v>Anti-Scam</v>
      </c>
      <c r="Q1291" s="61" t="str">
        <f t="shared" si="3"/>
        <v>2022</v>
      </c>
      <c r="R1291" s="62">
        <f t="shared" si="4"/>
        <v>12</v>
      </c>
      <c r="S1291" s="61" t="str">
        <f t="shared" si="5"/>
        <v>2022-Q4</v>
      </c>
      <c r="T1291" s="63" t="str">
        <f t="shared" si="6"/>
        <v>2022-12</v>
      </c>
      <c r="U1291" s="64" t="str">
        <f t="shared" si="7"/>
        <v>2022-H2</v>
      </c>
      <c r="V1291" s="9" t="str">
        <f>VLOOKUP(B1291,Bounties!A:E,2,FALSE)</f>
        <v>Anti-Scam Bounty</v>
      </c>
    </row>
    <row r="1292" hidden="1">
      <c r="A1292" s="67">
        <f>HYPERLINK("https://polkadot.subsquare.io/treasury/child-bounties/102", 102)</f>
        <v>102</v>
      </c>
      <c r="B1292" s="1">
        <v>11.0</v>
      </c>
      <c r="C1292" s="1" t="s">
        <v>2414</v>
      </c>
      <c r="D1292" s="1" t="s">
        <v>1410</v>
      </c>
      <c r="E1292" s="5">
        <v>90.8595312</v>
      </c>
      <c r="F1292" s="4">
        <v>481.4771140768982</v>
      </c>
      <c r="G1292" s="1" t="s">
        <v>2745</v>
      </c>
      <c r="H1292" s="95">
        <v>44900.0</v>
      </c>
      <c r="I1292" s="95">
        <v>44908.0</v>
      </c>
      <c r="J1292" s="4">
        <v>423.0289921846619</v>
      </c>
      <c r="K1292" s="1"/>
      <c r="L1292" s="1"/>
      <c r="M1292" s="1" t="str">
        <f>VLOOKUP(B1292,Bounties!A:D,3,FALSE)</f>
        <v>Research</v>
      </c>
      <c r="N1292" s="1" t="str">
        <f>VLOOKUP(B1292,Bounties!A:D,4,FALSE)</f>
        <v>Anti-Scam</v>
      </c>
      <c r="O1292" s="1" t="str">
        <f t="shared" ref="O1292:P1292" si="1296">IF(ISBLANK(K1292),M1292,K1292)</f>
        <v>Research</v>
      </c>
      <c r="P1292" s="1" t="str">
        <f t="shared" si="1296"/>
        <v>Anti-Scam</v>
      </c>
      <c r="Q1292" s="61" t="str">
        <f t="shared" si="3"/>
        <v>2022</v>
      </c>
      <c r="R1292" s="62">
        <f t="shared" si="4"/>
        <v>12</v>
      </c>
      <c r="S1292" s="61" t="str">
        <f t="shared" si="5"/>
        <v>2022-Q4</v>
      </c>
      <c r="T1292" s="63" t="str">
        <f t="shared" si="6"/>
        <v>2022-12</v>
      </c>
      <c r="U1292" s="64" t="str">
        <f t="shared" si="7"/>
        <v>2022-H2</v>
      </c>
      <c r="V1292" s="9" t="str">
        <f>VLOOKUP(B1292,Bounties!A:E,2,FALSE)</f>
        <v>Anti-Scam Bounty</v>
      </c>
    </row>
    <row r="1293" hidden="1">
      <c r="A1293" s="67">
        <f>HYPERLINK("https://polkadot.subsquare.io/treasury/child-bounties/101", 101)</f>
        <v>101</v>
      </c>
      <c r="B1293" s="1">
        <v>11.0</v>
      </c>
      <c r="C1293" s="1" t="s">
        <v>2414</v>
      </c>
      <c r="D1293" s="1" t="s">
        <v>1409</v>
      </c>
      <c r="E1293" s="5">
        <v>683.493333</v>
      </c>
      <c r="F1293" s="4">
        <v>3621.9248890824165</v>
      </c>
      <c r="G1293" s="1" t="s">
        <v>2437</v>
      </c>
      <c r="H1293" s="95">
        <v>44899.0</v>
      </c>
      <c r="I1293" s="95">
        <v>44908.0</v>
      </c>
      <c r="J1293" s="4">
        <v>3182.2472778059578</v>
      </c>
      <c r="K1293" s="1"/>
      <c r="L1293" s="1"/>
      <c r="M1293" s="1" t="str">
        <f>VLOOKUP(B1293,Bounties!A:D,3,FALSE)</f>
        <v>Research</v>
      </c>
      <c r="N1293" s="1" t="str">
        <f>VLOOKUP(B1293,Bounties!A:D,4,FALSE)</f>
        <v>Anti-Scam</v>
      </c>
      <c r="O1293" s="1" t="str">
        <f t="shared" ref="O1293:P1293" si="1297">IF(ISBLANK(K1293),M1293,K1293)</f>
        <v>Research</v>
      </c>
      <c r="P1293" s="1" t="str">
        <f t="shared" si="1297"/>
        <v>Anti-Scam</v>
      </c>
      <c r="Q1293" s="61" t="str">
        <f t="shared" si="3"/>
        <v>2022</v>
      </c>
      <c r="R1293" s="62">
        <f t="shared" si="4"/>
        <v>12</v>
      </c>
      <c r="S1293" s="61" t="str">
        <f t="shared" si="5"/>
        <v>2022-Q4</v>
      </c>
      <c r="T1293" s="63" t="str">
        <f t="shared" si="6"/>
        <v>2022-12</v>
      </c>
      <c r="U1293" s="64" t="str">
        <f t="shared" si="7"/>
        <v>2022-H2</v>
      </c>
      <c r="V1293" s="9" t="str">
        <f>VLOOKUP(B1293,Bounties!A:E,2,FALSE)</f>
        <v>Anti-Scam Bounty</v>
      </c>
    </row>
    <row r="1294" hidden="1">
      <c r="A1294" s="67">
        <f>HYPERLINK("https://polkadot.subsquare.io/treasury/child-bounties/100", 100)</f>
        <v>100</v>
      </c>
      <c r="B1294" s="1">
        <v>11.0</v>
      </c>
      <c r="C1294" s="1" t="s">
        <v>2414</v>
      </c>
      <c r="D1294" s="1" t="s">
        <v>1408</v>
      </c>
      <c r="E1294" s="5">
        <v>1055.843333</v>
      </c>
      <c r="F1294" s="4">
        <v>5595.058594030842</v>
      </c>
      <c r="G1294" s="1" t="s">
        <v>2438</v>
      </c>
      <c r="H1294" s="95">
        <v>44899.0</v>
      </c>
      <c r="I1294" s="95">
        <v>44909.0</v>
      </c>
      <c r="J1294" s="4">
        <v>4915.855663845692</v>
      </c>
      <c r="K1294" s="1"/>
      <c r="L1294" s="1"/>
      <c r="M1294" s="1" t="str">
        <f>VLOOKUP(B1294,Bounties!A:D,3,FALSE)</f>
        <v>Research</v>
      </c>
      <c r="N1294" s="1" t="str">
        <f>VLOOKUP(B1294,Bounties!A:D,4,FALSE)</f>
        <v>Anti-Scam</v>
      </c>
      <c r="O1294" s="1" t="str">
        <f t="shared" ref="O1294:P1294" si="1298">IF(ISBLANK(K1294),M1294,K1294)</f>
        <v>Research</v>
      </c>
      <c r="P1294" s="1" t="str">
        <f t="shared" si="1298"/>
        <v>Anti-Scam</v>
      </c>
      <c r="Q1294" s="61" t="str">
        <f t="shared" si="3"/>
        <v>2022</v>
      </c>
      <c r="R1294" s="62">
        <f t="shared" si="4"/>
        <v>12</v>
      </c>
      <c r="S1294" s="61" t="str">
        <f t="shared" si="5"/>
        <v>2022-Q4</v>
      </c>
      <c r="T1294" s="63" t="str">
        <f t="shared" si="6"/>
        <v>2022-12</v>
      </c>
      <c r="U1294" s="64" t="str">
        <f t="shared" si="7"/>
        <v>2022-H2</v>
      </c>
      <c r="V1294" s="9" t="str">
        <f>VLOOKUP(B1294,Bounties!A:E,2,FALSE)</f>
        <v>Anti-Scam Bounty</v>
      </c>
    </row>
    <row r="1295" hidden="1">
      <c r="A1295" s="67">
        <f>HYPERLINK("https://polkadot.subsquare.io/treasury/child-bounties/99", 99)</f>
        <v>99</v>
      </c>
      <c r="B1295" s="1">
        <v>11.0</v>
      </c>
      <c r="C1295" s="1" t="s">
        <v>2414</v>
      </c>
      <c r="D1295" s="1" t="s">
        <v>1407</v>
      </c>
      <c r="E1295" s="5">
        <v>382.943333</v>
      </c>
      <c r="F1295" s="4">
        <v>2029.2692290253487</v>
      </c>
      <c r="G1295" s="1" t="s">
        <v>2463</v>
      </c>
      <c r="H1295" s="95">
        <v>44899.0</v>
      </c>
      <c r="I1295" s="95">
        <v>44909.0</v>
      </c>
      <c r="J1295" s="4">
        <v>1782.9294305540657</v>
      </c>
      <c r="K1295" s="1"/>
      <c r="L1295" s="1"/>
      <c r="M1295" s="1" t="str">
        <f>VLOOKUP(B1295,Bounties!A:D,3,FALSE)</f>
        <v>Research</v>
      </c>
      <c r="N1295" s="1" t="str">
        <f>VLOOKUP(B1295,Bounties!A:D,4,FALSE)</f>
        <v>Anti-Scam</v>
      </c>
      <c r="O1295" s="1" t="str">
        <f t="shared" ref="O1295:P1295" si="1299">IF(ISBLANK(K1295),M1295,K1295)</f>
        <v>Research</v>
      </c>
      <c r="P1295" s="1" t="str">
        <f t="shared" si="1299"/>
        <v>Anti-Scam</v>
      </c>
      <c r="Q1295" s="61" t="str">
        <f t="shared" si="3"/>
        <v>2022</v>
      </c>
      <c r="R1295" s="62">
        <f t="shared" si="4"/>
        <v>12</v>
      </c>
      <c r="S1295" s="61" t="str">
        <f t="shared" si="5"/>
        <v>2022-Q4</v>
      </c>
      <c r="T1295" s="63" t="str">
        <f t="shared" si="6"/>
        <v>2022-12</v>
      </c>
      <c r="U1295" s="64" t="str">
        <f t="shared" si="7"/>
        <v>2022-H2</v>
      </c>
      <c r="V1295" s="9" t="str">
        <f>VLOOKUP(B1295,Bounties!A:E,2,FALSE)</f>
        <v>Anti-Scam Bounty</v>
      </c>
    </row>
    <row r="1296" hidden="1">
      <c r="A1296" s="67">
        <f>HYPERLINK("https://polkadot.subsquare.io/treasury/child-bounties/98", 98)</f>
        <v>98</v>
      </c>
      <c r="B1296" s="1">
        <v>11.0</v>
      </c>
      <c r="C1296" s="1" t="s">
        <v>2414</v>
      </c>
      <c r="D1296" s="1" t="s">
        <v>1406</v>
      </c>
      <c r="E1296" s="5">
        <v>69.0</v>
      </c>
      <c r="F1296" s="4">
        <v>379.57162714004517</v>
      </c>
      <c r="G1296" s="1" t="s">
        <v>2438</v>
      </c>
      <c r="H1296" s="95">
        <v>44896.0</v>
      </c>
      <c r="I1296" s="95">
        <v>44905.0</v>
      </c>
      <c r="J1296" s="4">
        <v>364.10990381240845</v>
      </c>
      <c r="K1296" s="1"/>
      <c r="L1296" s="1"/>
      <c r="M1296" s="1" t="str">
        <f>VLOOKUP(B1296,Bounties!A:D,3,FALSE)</f>
        <v>Research</v>
      </c>
      <c r="N1296" s="1" t="str">
        <f>VLOOKUP(B1296,Bounties!A:D,4,FALSE)</f>
        <v>Anti-Scam</v>
      </c>
      <c r="O1296" s="1" t="str">
        <f t="shared" ref="O1296:P1296" si="1300">IF(ISBLANK(K1296),M1296,K1296)</f>
        <v>Research</v>
      </c>
      <c r="P1296" s="1" t="str">
        <f t="shared" si="1300"/>
        <v>Anti-Scam</v>
      </c>
      <c r="Q1296" s="61" t="str">
        <f t="shared" si="3"/>
        <v>2022</v>
      </c>
      <c r="R1296" s="62">
        <f t="shared" si="4"/>
        <v>12</v>
      </c>
      <c r="S1296" s="61" t="str">
        <f t="shared" si="5"/>
        <v>2022-Q4</v>
      </c>
      <c r="T1296" s="63" t="str">
        <f t="shared" si="6"/>
        <v>2022-12</v>
      </c>
      <c r="U1296" s="64" t="str">
        <f t="shared" si="7"/>
        <v>2022-H2</v>
      </c>
      <c r="V1296" s="9" t="str">
        <f>VLOOKUP(B1296,Bounties!A:E,2,FALSE)</f>
        <v>Anti-Scam Bounty</v>
      </c>
    </row>
    <row r="1297" hidden="1">
      <c r="A1297" s="67">
        <f>HYPERLINK("https://polkadot.subsquare.io/treasury/child-bounties/97", 97)</f>
        <v>97</v>
      </c>
      <c r="B1297" s="1">
        <v>17.0</v>
      </c>
      <c r="C1297" s="1" t="s">
        <v>2414</v>
      </c>
      <c r="D1297" s="1" t="s">
        <v>1405</v>
      </c>
      <c r="E1297" s="5">
        <v>65.42</v>
      </c>
      <c r="F1297" s="4">
        <v>359.8779108333588</v>
      </c>
      <c r="G1297" s="1" t="s">
        <v>2765</v>
      </c>
      <c r="H1297" s="95">
        <v>44895.0</v>
      </c>
      <c r="I1297" s="95">
        <v>44909.0</v>
      </c>
      <c r="J1297" s="4">
        <v>308.1501011657715</v>
      </c>
      <c r="K1297" s="1"/>
      <c r="L1297" s="1"/>
      <c r="M1297" s="1" t="str">
        <f>VLOOKUP(B1297,Bounties!A:D,3,FALSE)</f>
        <v>Outreach</v>
      </c>
      <c r="N1297" s="1" t="str">
        <f>VLOOKUP(B1297,Bounties!A:D,4,FALSE)</f>
        <v>Events/Meetups</v>
      </c>
      <c r="O1297" s="1" t="str">
        <f t="shared" ref="O1297:P1297" si="1301">IF(ISBLANK(K1297),M1297,K1297)</f>
        <v>Outreach</v>
      </c>
      <c r="P1297" s="1" t="str">
        <f t="shared" si="1301"/>
        <v>Events/Meetups</v>
      </c>
      <c r="Q1297" s="61" t="str">
        <f t="shared" si="3"/>
        <v>2022</v>
      </c>
      <c r="R1297" s="62">
        <f t="shared" si="4"/>
        <v>12</v>
      </c>
      <c r="S1297" s="61" t="str">
        <f t="shared" si="5"/>
        <v>2022-Q4</v>
      </c>
      <c r="T1297" s="63" t="str">
        <f t="shared" si="6"/>
        <v>2022-12</v>
      </c>
      <c r="U1297" s="64" t="str">
        <f t="shared" si="7"/>
        <v>2022-H2</v>
      </c>
      <c r="V1297" s="9" t="str">
        <f>VLOOKUP(B1297,Bounties!A:E,2,FALSE)</f>
        <v>Events Bounty</v>
      </c>
    </row>
    <row r="1298" hidden="1">
      <c r="A1298" s="67">
        <f>HYPERLINK("https://polkadot.subsquare.io/treasury/child-bounties/96", 96)</f>
        <v>96</v>
      </c>
      <c r="B1298" s="1">
        <v>17.0</v>
      </c>
      <c r="C1298" s="1" t="s">
        <v>2414</v>
      </c>
      <c r="D1298" s="1" t="s">
        <v>1404</v>
      </c>
      <c r="E1298" s="5">
        <v>808.2</v>
      </c>
      <c r="F1298" s="4">
        <v>4285.077207756042</v>
      </c>
      <c r="G1298" s="1" t="s">
        <v>2759</v>
      </c>
      <c r="H1298" s="95">
        <v>44888.0</v>
      </c>
      <c r="I1298" s="95">
        <v>44897.0</v>
      </c>
      <c r="J1298" s="4">
        <v>4522.409883785248</v>
      </c>
      <c r="K1298" s="1"/>
      <c r="L1298" s="1"/>
      <c r="M1298" s="1" t="str">
        <f>VLOOKUP(B1298,Bounties!A:D,3,FALSE)</f>
        <v>Outreach</v>
      </c>
      <c r="N1298" s="1" t="str">
        <f>VLOOKUP(B1298,Bounties!A:D,4,FALSE)</f>
        <v>Events/Meetups</v>
      </c>
      <c r="O1298" s="1" t="str">
        <f t="shared" ref="O1298:P1298" si="1302">IF(ISBLANK(K1298),M1298,K1298)</f>
        <v>Outreach</v>
      </c>
      <c r="P1298" s="1" t="str">
        <f t="shared" si="1302"/>
        <v>Events/Meetups</v>
      </c>
      <c r="Q1298" s="61" t="str">
        <f t="shared" si="3"/>
        <v>2022</v>
      </c>
      <c r="R1298" s="62">
        <f t="shared" si="4"/>
        <v>12</v>
      </c>
      <c r="S1298" s="61" t="str">
        <f t="shared" si="5"/>
        <v>2022-Q4</v>
      </c>
      <c r="T1298" s="63" t="str">
        <f t="shared" si="6"/>
        <v>2022-12</v>
      </c>
      <c r="U1298" s="64" t="str">
        <f t="shared" si="7"/>
        <v>2022-H2</v>
      </c>
      <c r="V1298" s="9" t="str">
        <f>VLOOKUP(B1298,Bounties!A:E,2,FALSE)</f>
        <v>Events Bounty</v>
      </c>
    </row>
    <row r="1299" hidden="1">
      <c r="A1299" s="67">
        <f>HYPERLINK("https://polkadot.subsquare.io/treasury/child-bounties/95", 95)</f>
        <v>95</v>
      </c>
      <c r="B1299" s="1">
        <v>17.0</v>
      </c>
      <c r="C1299" s="1" t="s">
        <v>2414</v>
      </c>
      <c r="D1299" s="1" t="s">
        <v>1403</v>
      </c>
      <c r="E1299" s="5">
        <v>5325.9</v>
      </c>
      <c r="F1299" s="4">
        <v>28237.927122974394</v>
      </c>
      <c r="G1299" s="1" t="s">
        <v>2766</v>
      </c>
      <c r="H1299" s="95">
        <v>44888.0</v>
      </c>
      <c r="I1299" s="95">
        <v>44896.0</v>
      </c>
      <c r="J1299" s="4">
        <v>29801.908933496474</v>
      </c>
      <c r="K1299" s="1"/>
      <c r="L1299" s="1"/>
      <c r="M1299" s="1" t="str">
        <f>VLOOKUP(B1299,Bounties!A:D,3,FALSE)</f>
        <v>Outreach</v>
      </c>
      <c r="N1299" s="1" t="str">
        <f>VLOOKUP(B1299,Bounties!A:D,4,FALSE)</f>
        <v>Events/Meetups</v>
      </c>
      <c r="O1299" s="1" t="str">
        <f t="shared" ref="O1299:P1299" si="1303">IF(ISBLANK(K1299),M1299,K1299)</f>
        <v>Outreach</v>
      </c>
      <c r="P1299" s="1" t="str">
        <f t="shared" si="1303"/>
        <v>Events/Meetups</v>
      </c>
      <c r="Q1299" s="61" t="str">
        <f t="shared" si="3"/>
        <v>2022</v>
      </c>
      <c r="R1299" s="62">
        <f t="shared" si="4"/>
        <v>12</v>
      </c>
      <c r="S1299" s="61" t="str">
        <f t="shared" si="5"/>
        <v>2022-Q4</v>
      </c>
      <c r="T1299" s="63" t="str">
        <f t="shared" si="6"/>
        <v>2022-12</v>
      </c>
      <c r="U1299" s="64" t="str">
        <f t="shared" si="7"/>
        <v>2022-H2</v>
      </c>
      <c r="V1299" s="9" t="str">
        <f>VLOOKUP(B1299,Bounties!A:E,2,FALSE)</f>
        <v>Events Bounty</v>
      </c>
    </row>
    <row r="1300" hidden="1">
      <c r="A1300" s="67">
        <f>HYPERLINK("https://polkadot.subsquare.io/treasury/child-bounties/94", 94)</f>
        <v>94</v>
      </c>
      <c r="B1300" s="1">
        <v>17.0</v>
      </c>
      <c r="C1300" s="1" t="s">
        <v>2414</v>
      </c>
      <c r="D1300" s="1" t="s">
        <v>1402</v>
      </c>
      <c r="E1300" s="5">
        <v>3564.0</v>
      </c>
      <c r="F1300" s="4">
        <v>19216.617959976196</v>
      </c>
      <c r="G1300" s="1" t="s">
        <v>2767</v>
      </c>
      <c r="H1300" s="95">
        <v>44886.0</v>
      </c>
      <c r="I1300" s="95">
        <v>44894.0</v>
      </c>
      <c r="J1300" s="4">
        <v>20063.619260787964</v>
      </c>
      <c r="K1300" s="1"/>
      <c r="L1300" s="1"/>
      <c r="M1300" s="1" t="str">
        <f>VLOOKUP(B1300,Bounties!A:D,3,FALSE)</f>
        <v>Outreach</v>
      </c>
      <c r="N1300" s="1" t="str">
        <f>VLOOKUP(B1300,Bounties!A:D,4,FALSE)</f>
        <v>Events/Meetups</v>
      </c>
      <c r="O1300" s="1" t="str">
        <f t="shared" ref="O1300:P1300" si="1304">IF(ISBLANK(K1300),M1300,K1300)</f>
        <v>Outreach</v>
      </c>
      <c r="P1300" s="1" t="str">
        <f t="shared" si="1304"/>
        <v>Events/Meetups</v>
      </c>
      <c r="Q1300" s="61" t="str">
        <f t="shared" si="3"/>
        <v>2022</v>
      </c>
      <c r="R1300" s="62">
        <f t="shared" si="4"/>
        <v>11</v>
      </c>
      <c r="S1300" s="61" t="str">
        <f t="shared" si="5"/>
        <v>2022-Q4</v>
      </c>
      <c r="T1300" s="63" t="str">
        <f t="shared" si="6"/>
        <v>2022-11</v>
      </c>
      <c r="U1300" s="64" t="str">
        <f t="shared" si="7"/>
        <v>2022-H2</v>
      </c>
      <c r="V1300" s="9" t="str">
        <f>VLOOKUP(B1300,Bounties!A:E,2,FALSE)</f>
        <v>Events Bounty</v>
      </c>
    </row>
    <row r="1301" hidden="1">
      <c r="A1301" s="67">
        <f>HYPERLINK("https://polkadot.subsquare.io/treasury/child-bounties/93", 93)</f>
        <v>93</v>
      </c>
      <c r="B1301" s="1">
        <v>17.0</v>
      </c>
      <c r="C1301" s="1" t="s">
        <v>2414</v>
      </c>
      <c r="D1301" s="1" t="s">
        <v>1401</v>
      </c>
      <c r="E1301" s="5">
        <v>36.0</v>
      </c>
      <c r="F1301" s="4">
        <v>195.60231971740723</v>
      </c>
      <c r="G1301" s="1" t="s">
        <v>2767</v>
      </c>
      <c r="H1301" s="95">
        <v>44885.0</v>
      </c>
      <c r="I1301" s="95">
        <v>44894.0</v>
      </c>
      <c r="J1301" s="4">
        <v>194.47790336608887</v>
      </c>
      <c r="K1301" s="1"/>
      <c r="L1301" s="1"/>
      <c r="M1301" s="1" t="str">
        <f>VLOOKUP(B1301,Bounties!A:D,3,FALSE)</f>
        <v>Outreach</v>
      </c>
      <c r="N1301" s="1" t="str">
        <f>VLOOKUP(B1301,Bounties!A:D,4,FALSE)</f>
        <v>Events/Meetups</v>
      </c>
      <c r="O1301" s="1" t="str">
        <f t="shared" ref="O1301:P1301" si="1305">IF(ISBLANK(K1301),M1301,K1301)</f>
        <v>Outreach</v>
      </c>
      <c r="P1301" s="1" t="str">
        <f t="shared" si="1305"/>
        <v>Events/Meetups</v>
      </c>
      <c r="Q1301" s="61" t="str">
        <f t="shared" si="3"/>
        <v>2022</v>
      </c>
      <c r="R1301" s="62">
        <f t="shared" si="4"/>
        <v>11</v>
      </c>
      <c r="S1301" s="61" t="str">
        <f t="shared" si="5"/>
        <v>2022-Q4</v>
      </c>
      <c r="T1301" s="63" t="str">
        <f t="shared" si="6"/>
        <v>2022-11</v>
      </c>
      <c r="U1301" s="64" t="str">
        <f t="shared" si="7"/>
        <v>2022-H2</v>
      </c>
      <c r="V1301" s="9" t="str">
        <f>VLOOKUP(B1301,Bounties!A:E,2,FALSE)</f>
        <v>Events Bounty</v>
      </c>
    </row>
    <row r="1302" hidden="1">
      <c r="A1302" s="67">
        <f>HYPERLINK("https://polkadot.subsquare.io/treasury/child-bounties/92", 92)</f>
        <v>92</v>
      </c>
      <c r="B1302" s="1">
        <v>17.0</v>
      </c>
      <c r="C1302" s="1" t="s">
        <v>2414</v>
      </c>
      <c r="D1302" s="1" t="s">
        <v>1400</v>
      </c>
      <c r="E1302" s="5">
        <v>5075.4</v>
      </c>
      <c r="F1302" s="4">
        <v>27576.66704149246</v>
      </c>
      <c r="G1302" s="1" t="s">
        <v>2768</v>
      </c>
      <c r="H1302" s="95">
        <v>44885.0</v>
      </c>
      <c r="I1302" s="95">
        <v>44898.0</v>
      </c>
      <c r="J1302" s="4">
        <v>27857.804944896696</v>
      </c>
      <c r="K1302" s="1"/>
      <c r="L1302" s="1" t="s">
        <v>86</v>
      </c>
      <c r="M1302" s="1" t="str">
        <f>VLOOKUP(B1302,Bounties!A:D,3,FALSE)</f>
        <v>Outreach</v>
      </c>
      <c r="N1302" s="1" t="str">
        <f>VLOOKUP(B1302,Bounties!A:D,4,FALSE)</f>
        <v>Events/Meetups</v>
      </c>
      <c r="O1302" s="1" t="str">
        <f t="shared" ref="O1302:P1302" si="1306">IF(ISBLANK(K1302),M1302,K1302)</f>
        <v>Outreach</v>
      </c>
      <c r="P1302" s="1" t="str">
        <f t="shared" si="1306"/>
        <v>Events/Conference Attendance &amp; Side Events</v>
      </c>
      <c r="Q1302" s="61" t="str">
        <f t="shared" si="3"/>
        <v>2022</v>
      </c>
      <c r="R1302" s="62">
        <f t="shared" si="4"/>
        <v>12</v>
      </c>
      <c r="S1302" s="61" t="str">
        <f t="shared" si="5"/>
        <v>2022-Q4</v>
      </c>
      <c r="T1302" s="63" t="str">
        <f t="shared" si="6"/>
        <v>2022-12</v>
      </c>
      <c r="U1302" s="64" t="str">
        <f t="shared" si="7"/>
        <v>2022-H2</v>
      </c>
      <c r="V1302" s="9" t="str">
        <f>VLOOKUP(B1302,Bounties!A:E,2,FALSE)</f>
        <v>Events Bounty</v>
      </c>
    </row>
    <row r="1303" hidden="1">
      <c r="A1303" s="67">
        <f>HYPERLINK("https://polkadot.subsquare.io/treasury/child-bounties/91", 91)</f>
        <v>91</v>
      </c>
      <c r="B1303" s="1">
        <v>17.0</v>
      </c>
      <c r="C1303" s="1" t="s">
        <v>2414</v>
      </c>
      <c r="D1303" s="1" t="s">
        <v>1399</v>
      </c>
      <c r="E1303" s="5">
        <v>1636.0</v>
      </c>
      <c r="F1303" s="4">
        <v>8889.038751602173</v>
      </c>
      <c r="G1303" s="1" t="s">
        <v>2769</v>
      </c>
      <c r="H1303" s="95">
        <v>44885.0</v>
      </c>
      <c r="I1303" s="95">
        <v>44911.0</v>
      </c>
      <c r="J1303" s="4">
        <v>7629.792306900024</v>
      </c>
      <c r="K1303" s="1"/>
      <c r="L1303" s="1" t="s">
        <v>86</v>
      </c>
      <c r="M1303" s="1" t="str">
        <f>VLOOKUP(B1303,Bounties!A:D,3,FALSE)</f>
        <v>Outreach</v>
      </c>
      <c r="N1303" s="1" t="str">
        <f>VLOOKUP(B1303,Bounties!A:D,4,FALSE)</f>
        <v>Events/Meetups</v>
      </c>
      <c r="O1303" s="1" t="str">
        <f t="shared" ref="O1303:P1303" si="1307">IF(ISBLANK(K1303),M1303,K1303)</f>
        <v>Outreach</v>
      </c>
      <c r="P1303" s="1" t="str">
        <f t="shared" si="1307"/>
        <v>Events/Conference Attendance &amp; Side Events</v>
      </c>
      <c r="Q1303" s="61" t="str">
        <f t="shared" si="3"/>
        <v>2022</v>
      </c>
      <c r="R1303" s="62">
        <f t="shared" si="4"/>
        <v>12</v>
      </c>
      <c r="S1303" s="61" t="str">
        <f t="shared" si="5"/>
        <v>2022-Q4</v>
      </c>
      <c r="T1303" s="63" t="str">
        <f t="shared" si="6"/>
        <v>2022-12</v>
      </c>
      <c r="U1303" s="64" t="str">
        <f t="shared" si="7"/>
        <v>2022-H2</v>
      </c>
      <c r="V1303" s="9" t="str">
        <f>VLOOKUP(B1303,Bounties!A:E,2,FALSE)</f>
        <v>Events Bounty</v>
      </c>
    </row>
    <row r="1304" hidden="1">
      <c r="A1304" s="67">
        <f>HYPERLINK("https://polkadot.subsquare.io/treasury/child-bounties/90", 90)</f>
        <v>90</v>
      </c>
      <c r="B1304" s="1">
        <v>11.0</v>
      </c>
      <c r="C1304" s="1" t="s">
        <v>2414</v>
      </c>
      <c r="D1304" s="1" t="s">
        <v>1398</v>
      </c>
      <c r="E1304" s="5">
        <v>473.1182795699</v>
      </c>
      <c r="F1304" s="4">
        <v>2570.6398051272563</v>
      </c>
      <c r="G1304" s="1" t="s">
        <v>2770</v>
      </c>
      <c r="H1304" s="95">
        <v>44885.0</v>
      </c>
      <c r="I1304" s="95">
        <v>44934.0</v>
      </c>
      <c r="J1304" s="4">
        <v>2427.0869019211364</v>
      </c>
      <c r="K1304" s="1"/>
      <c r="L1304" s="1"/>
      <c r="M1304" s="1" t="str">
        <f>VLOOKUP(B1304,Bounties!A:D,3,FALSE)</f>
        <v>Research</v>
      </c>
      <c r="N1304" s="1" t="str">
        <f>VLOOKUP(B1304,Bounties!A:D,4,FALSE)</f>
        <v>Anti-Scam</v>
      </c>
      <c r="O1304" s="1" t="str">
        <f t="shared" ref="O1304:P1304" si="1308">IF(ISBLANK(K1304),M1304,K1304)</f>
        <v>Research</v>
      </c>
      <c r="P1304" s="1" t="str">
        <f t="shared" si="1308"/>
        <v>Anti-Scam</v>
      </c>
      <c r="Q1304" s="61" t="str">
        <f t="shared" si="3"/>
        <v>2023</v>
      </c>
      <c r="R1304" s="62">
        <f t="shared" si="4"/>
        <v>1</v>
      </c>
      <c r="S1304" s="61" t="str">
        <f t="shared" si="5"/>
        <v>2023-Q1</v>
      </c>
      <c r="T1304" s="63" t="str">
        <f t="shared" si="6"/>
        <v>2023-01</v>
      </c>
      <c r="U1304" s="64" t="str">
        <f t="shared" si="7"/>
        <v>2023-H1</v>
      </c>
      <c r="V1304" s="9" t="str">
        <f>VLOOKUP(B1304,Bounties!A:E,2,FALSE)</f>
        <v>Anti-Scam Bounty</v>
      </c>
    </row>
    <row r="1305" hidden="1">
      <c r="A1305" s="67">
        <f>HYPERLINK("https://polkadot.subsquare.io/treasury/child-bounties/89", 89)</f>
        <v>89</v>
      </c>
      <c r="B1305" s="1">
        <v>17.0</v>
      </c>
      <c r="C1305" s="1" t="s">
        <v>2508</v>
      </c>
      <c r="D1305" s="1" t="s">
        <v>2771</v>
      </c>
      <c r="E1305" s="5">
        <v>269.0</v>
      </c>
      <c r="F1305" s="4">
        <v>1461.5840001106262</v>
      </c>
      <c r="G1305" s="1"/>
      <c r="H1305" s="95">
        <v>44885.0</v>
      </c>
      <c r="I1305" s="95">
        <v>44888.0</v>
      </c>
      <c r="J1305" s="4">
        <v>1426.238268852234</v>
      </c>
      <c r="K1305" s="1"/>
      <c r="L1305" s="1"/>
      <c r="M1305" s="1" t="str">
        <f>VLOOKUP(B1305,Bounties!A:D,3,FALSE)</f>
        <v>Outreach</v>
      </c>
      <c r="N1305" s="1" t="str">
        <f>VLOOKUP(B1305,Bounties!A:D,4,FALSE)</f>
        <v>Events/Meetups</v>
      </c>
      <c r="O1305" s="1" t="str">
        <f t="shared" ref="O1305:P1305" si="1309">IF(ISBLANK(K1305),M1305,K1305)</f>
        <v>Outreach</v>
      </c>
      <c r="P1305" s="1" t="str">
        <f t="shared" si="1309"/>
        <v>Events/Meetups</v>
      </c>
      <c r="Q1305" s="61" t="str">
        <f t="shared" si="3"/>
        <v>2022</v>
      </c>
      <c r="R1305" s="62">
        <f t="shared" si="4"/>
        <v>11</v>
      </c>
      <c r="S1305" s="61" t="str">
        <f t="shared" si="5"/>
        <v>2022-Q4</v>
      </c>
      <c r="T1305" s="63" t="str">
        <f t="shared" si="6"/>
        <v>2022-11</v>
      </c>
      <c r="U1305" s="64" t="str">
        <f t="shared" si="7"/>
        <v>2022-H2</v>
      </c>
      <c r="V1305" s="9" t="str">
        <f>VLOOKUP(B1305,Bounties!A:E,2,FALSE)</f>
        <v>Events Bounty</v>
      </c>
    </row>
    <row r="1306" hidden="1">
      <c r="A1306" s="67">
        <f>HYPERLINK("https://polkadot.subsquare.io/treasury/child-bounties/88", 88)</f>
        <v>88</v>
      </c>
      <c r="B1306" s="1">
        <v>17.0</v>
      </c>
      <c r="C1306" s="1" t="s">
        <v>2414</v>
      </c>
      <c r="D1306" s="1" t="s">
        <v>1397</v>
      </c>
      <c r="E1306" s="5">
        <v>53.8</v>
      </c>
      <c r="F1306" s="4">
        <v>292.3168000221252</v>
      </c>
      <c r="G1306" s="1" t="s">
        <v>2524</v>
      </c>
      <c r="H1306" s="95">
        <v>44885.0</v>
      </c>
      <c r="I1306" s="95">
        <v>45157.0</v>
      </c>
      <c r="J1306" s="4">
        <v>238.52998609542846</v>
      </c>
      <c r="K1306" s="1"/>
      <c r="L1306" s="1"/>
      <c r="M1306" s="1" t="str">
        <f>VLOOKUP(B1306,Bounties!A:D,3,FALSE)</f>
        <v>Outreach</v>
      </c>
      <c r="N1306" s="1" t="str">
        <f>VLOOKUP(B1306,Bounties!A:D,4,FALSE)</f>
        <v>Events/Meetups</v>
      </c>
      <c r="O1306" s="1" t="str">
        <f t="shared" ref="O1306:P1306" si="1310">IF(ISBLANK(K1306),M1306,K1306)</f>
        <v>Outreach</v>
      </c>
      <c r="P1306" s="1" t="str">
        <f t="shared" si="1310"/>
        <v>Events/Meetups</v>
      </c>
      <c r="Q1306" s="61" t="str">
        <f t="shared" si="3"/>
        <v>2023</v>
      </c>
      <c r="R1306" s="62">
        <f t="shared" si="4"/>
        <v>8</v>
      </c>
      <c r="S1306" s="61" t="str">
        <f t="shared" si="5"/>
        <v>2023-Q3</v>
      </c>
      <c r="T1306" s="63" t="str">
        <f t="shared" si="6"/>
        <v>2023-08</v>
      </c>
      <c r="U1306" s="64" t="str">
        <f t="shared" si="7"/>
        <v>2023-H2</v>
      </c>
      <c r="V1306" s="9" t="str">
        <f>VLOOKUP(B1306,Bounties!A:E,2,FALSE)</f>
        <v>Events Bounty</v>
      </c>
    </row>
    <row r="1307" hidden="1">
      <c r="A1307" s="67">
        <f>HYPERLINK("https://polkadot.subsquare.io/treasury/child-bounties/87", 87)</f>
        <v>87</v>
      </c>
      <c r="B1307" s="1">
        <v>17.0</v>
      </c>
      <c r="C1307" s="1" t="s">
        <v>2414</v>
      </c>
      <c r="D1307" s="1" t="s">
        <v>1396</v>
      </c>
      <c r="E1307" s="5">
        <v>206.0</v>
      </c>
      <c r="F1307" s="4">
        <v>1119.2799406051636</v>
      </c>
      <c r="G1307" s="1" t="s">
        <v>2632</v>
      </c>
      <c r="H1307" s="95">
        <v>44885.0</v>
      </c>
      <c r="I1307" s="95">
        <v>44896.0</v>
      </c>
      <c r="J1307" s="4">
        <v>1152.7053155899048</v>
      </c>
      <c r="K1307" s="1"/>
      <c r="L1307" s="1"/>
      <c r="M1307" s="1" t="str">
        <f>VLOOKUP(B1307,Bounties!A:D,3,FALSE)</f>
        <v>Outreach</v>
      </c>
      <c r="N1307" s="1" t="str">
        <f>VLOOKUP(B1307,Bounties!A:D,4,FALSE)</f>
        <v>Events/Meetups</v>
      </c>
      <c r="O1307" s="1" t="str">
        <f t="shared" ref="O1307:P1307" si="1311">IF(ISBLANK(K1307),M1307,K1307)</f>
        <v>Outreach</v>
      </c>
      <c r="P1307" s="1" t="str">
        <f t="shared" si="1311"/>
        <v>Events/Meetups</v>
      </c>
      <c r="Q1307" s="61" t="str">
        <f t="shared" si="3"/>
        <v>2022</v>
      </c>
      <c r="R1307" s="62">
        <f t="shared" si="4"/>
        <v>12</v>
      </c>
      <c r="S1307" s="61" t="str">
        <f t="shared" si="5"/>
        <v>2022-Q4</v>
      </c>
      <c r="T1307" s="63" t="str">
        <f t="shared" si="6"/>
        <v>2022-12</v>
      </c>
      <c r="U1307" s="64" t="str">
        <f t="shared" si="7"/>
        <v>2022-H2</v>
      </c>
      <c r="V1307" s="9" t="str">
        <f>VLOOKUP(B1307,Bounties!A:E,2,FALSE)</f>
        <v>Events Bounty</v>
      </c>
    </row>
    <row r="1308" hidden="1">
      <c r="A1308" s="67">
        <f>HYPERLINK("https://polkadot.subsquare.io/treasury/child-bounties/86", 86)</f>
        <v>86</v>
      </c>
      <c r="B1308" s="1">
        <v>17.0</v>
      </c>
      <c r="C1308" s="1" t="s">
        <v>2414</v>
      </c>
      <c r="D1308" s="1" t="s">
        <v>1395</v>
      </c>
      <c r="E1308" s="5">
        <v>26.9</v>
      </c>
      <c r="F1308" s="4">
        <v>146.1584000110626</v>
      </c>
      <c r="G1308" s="1" t="s">
        <v>2772</v>
      </c>
      <c r="H1308" s="95">
        <v>44885.0</v>
      </c>
      <c r="I1308" s="95">
        <v>44930.0</v>
      </c>
      <c r="J1308" s="4">
        <v>125.51419129371642</v>
      </c>
      <c r="K1308" s="1"/>
      <c r="L1308" s="1"/>
      <c r="M1308" s="1" t="str">
        <f>VLOOKUP(B1308,Bounties!A:D,3,FALSE)</f>
        <v>Outreach</v>
      </c>
      <c r="N1308" s="1" t="str">
        <f>VLOOKUP(B1308,Bounties!A:D,4,FALSE)</f>
        <v>Events/Meetups</v>
      </c>
      <c r="O1308" s="1" t="str">
        <f t="shared" ref="O1308:P1308" si="1312">IF(ISBLANK(K1308),M1308,K1308)</f>
        <v>Outreach</v>
      </c>
      <c r="P1308" s="1" t="str">
        <f t="shared" si="1312"/>
        <v>Events/Meetups</v>
      </c>
      <c r="Q1308" s="61" t="str">
        <f t="shared" si="3"/>
        <v>2023</v>
      </c>
      <c r="R1308" s="62">
        <f t="shared" si="4"/>
        <v>1</v>
      </c>
      <c r="S1308" s="61" t="str">
        <f t="shared" si="5"/>
        <v>2023-Q1</v>
      </c>
      <c r="T1308" s="63" t="str">
        <f t="shared" si="6"/>
        <v>2023-01</v>
      </c>
      <c r="U1308" s="64" t="str">
        <f t="shared" si="7"/>
        <v>2023-H1</v>
      </c>
      <c r="V1308" s="9" t="str">
        <f>VLOOKUP(B1308,Bounties!A:E,2,FALSE)</f>
        <v>Events Bounty</v>
      </c>
    </row>
    <row r="1309" hidden="1">
      <c r="A1309" s="67">
        <f>HYPERLINK("https://polkadot.subsquare.io/treasury/child-bounties/85", 85)</f>
        <v>85</v>
      </c>
      <c r="B1309" s="1">
        <v>17.0</v>
      </c>
      <c r="C1309" s="1" t="s">
        <v>2414</v>
      </c>
      <c r="D1309" s="1" t="s">
        <v>1394</v>
      </c>
      <c r="E1309" s="5">
        <v>35.8</v>
      </c>
      <c r="F1309" s="4">
        <v>194.5156401634216</v>
      </c>
      <c r="G1309" s="1" t="s">
        <v>2773</v>
      </c>
      <c r="H1309" s="95">
        <v>44885.0</v>
      </c>
      <c r="I1309" s="95">
        <v>44907.0</v>
      </c>
      <c r="J1309" s="4">
        <v>186.7045166015625</v>
      </c>
      <c r="K1309" s="1"/>
      <c r="L1309" s="1"/>
      <c r="M1309" s="1" t="str">
        <f>VLOOKUP(B1309,Bounties!A:D,3,FALSE)</f>
        <v>Outreach</v>
      </c>
      <c r="N1309" s="1" t="str">
        <f>VLOOKUP(B1309,Bounties!A:D,4,FALSE)</f>
        <v>Events/Meetups</v>
      </c>
      <c r="O1309" s="1" t="str">
        <f t="shared" ref="O1309:P1309" si="1313">IF(ISBLANK(K1309),M1309,K1309)</f>
        <v>Outreach</v>
      </c>
      <c r="P1309" s="1" t="str">
        <f t="shared" si="1313"/>
        <v>Events/Meetups</v>
      </c>
      <c r="Q1309" s="61" t="str">
        <f t="shared" si="3"/>
        <v>2022</v>
      </c>
      <c r="R1309" s="62">
        <f t="shared" si="4"/>
        <v>12</v>
      </c>
      <c r="S1309" s="61" t="str">
        <f t="shared" si="5"/>
        <v>2022-Q4</v>
      </c>
      <c r="T1309" s="63" t="str">
        <f t="shared" si="6"/>
        <v>2022-12</v>
      </c>
      <c r="U1309" s="64" t="str">
        <f t="shared" si="7"/>
        <v>2022-H2</v>
      </c>
      <c r="V1309" s="9" t="str">
        <f>VLOOKUP(B1309,Bounties!A:E,2,FALSE)</f>
        <v>Events Bounty</v>
      </c>
    </row>
    <row r="1310" hidden="1">
      <c r="A1310" s="67">
        <f>HYPERLINK("https://polkadot.subsquare.io/treasury/child-bounties/84", 84)</f>
        <v>84</v>
      </c>
      <c r="B1310" s="1">
        <v>17.0</v>
      </c>
      <c r="C1310" s="1" t="s">
        <v>2508</v>
      </c>
      <c r="D1310" s="1" t="s">
        <v>2774</v>
      </c>
      <c r="E1310" s="5">
        <v>1083.18</v>
      </c>
      <c r="F1310" s="4">
        <v>6142.290253744126</v>
      </c>
      <c r="G1310" s="1"/>
      <c r="H1310" s="95">
        <v>44879.0</v>
      </c>
      <c r="I1310" s="95">
        <v>45081.0</v>
      </c>
      <c r="J1310" s="4">
        <v>5439.946712522507</v>
      </c>
      <c r="K1310" s="1"/>
      <c r="L1310" s="1"/>
      <c r="M1310" s="1" t="str">
        <f>VLOOKUP(B1310,Bounties!A:D,3,FALSE)</f>
        <v>Outreach</v>
      </c>
      <c r="N1310" s="1" t="str">
        <f>VLOOKUP(B1310,Bounties!A:D,4,FALSE)</f>
        <v>Events/Meetups</v>
      </c>
      <c r="O1310" s="1" t="str">
        <f t="shared" ref="O1310:P1310" si="1314">IF(ISBLANK(K1310),M1310,K1310)</f>
        <v>Outreach</v>
      </c>
      <c r="P1310" s="1" t="str">
        <f t="shared" si="1314"/>
        <v>Events/Meetups</v>
      </c>
      <c r="Q1310" s="61" t="str">
        <f t="shared" si="3"/>
        <v>2023</v>
      </c>
      <c r="R1310" s="62">
        <f t="shared" si="4"/>
        <v>6</v>
      </c>
      <c r="S1310" s="61" t="str">
        <f t="shared" si="5"/>
        <v>2023-Q2</v>
      </c>
      <c r="T1310" s="63" t="str">
        <f t="shared" si="6"/>
        <v>2023-06</v>
      </c>
      <c r="U1310" s="64" t="str">
        <f t="shared" si="7"/>
        <v>2023-H1</v>
      </c>
      <c r="V1310" s="9" t="str">
        <f>VLOOKUP(B1310,Bounties!A:E,2,FALSE)</f>
        <v>Events Bounty</v>
      </c>
    </row>
    <row r="1311" hidden="1">
      <c r="A1311" s="67">
        <f>HYPERLINK("https://polkadot.subsquare.io/treasury/child-bounties/83", 83)</f>
        <v>83</v>
      </c>
      <c r="B1311" s="1">
        <v>17.0</v>
      </c>
      <c r="C1311" s="1" t="s">
        <v>2414</v>
      </c>
      <c r="D1311" s="1" t="s">
        <v>1393</v>
      </c>
      <c r="E1311" s="5">
        <v>1547.92</v>
      </c>
      <c r="F1311" s="4">
        <v>8777.649079170227</v>
      </c>
      <c r="G1311" s="1" t="s">
        <v>2622</v>
      </c>
      <c r="H1311" s="95">
        <v>44879.0</v>
      </c>
      <c r="I1311" s="95">
        <v>44889.0</v>
      </c>
      <c r="J1311" s="4">
        <v>8202.318509674073</v>
      </c>
      <c r="K1311" s="1"/>
      <c r="L1311" s="1" t="s">
        <v>86</v>
      </c>
      <c r="M1311" s="1" t="str">
        <f>VLOOKUP(B1311,Bounties!A:D,3,FALSE)</f>
        <v>Outreach</v>
      </c>
      <c r="N1311" s="1" t="str">
        <f>VLOOKUP(B1311,Bounties!A:D,4,FALSE)</f>
        <v>Events/Meetups</v>
      </c>
      <c r="O1311" s="1" t="str">
        <f t="shared" ref="O1311:P1311" si="1315">IF(ISBLANK(K1311),M1311,K1311)</f>
        <v>Outreach</v>
      </c>
      <c r="P1311" s="1" t="str">
        <f t="shared" si="1315"/>
        <v>Events/Conference Attendance &amp; Side Events</v>
      </c>
      <c r="Q1311" s="61" t="str">
        <f t="shared" si="3"/>
        <v>2022</v>
      </c>
      <c r="R1311" s="62">
        <f t="shared" si="4"/>
        <v>11</v>
      </c>
      <c r="S1311" s="61" t="str">
        <f t="shared" si="5"/>
        <v>2022-Q4</v>
      </c>
      <c r="T1311" s="63" t="str">
        <f t="shared" si="6"/>
        <v>2022-11</v>
      </c>
      <c r="U1311" s="64" t="str">
        <f t="shared" si="7"/>
        <v>2022-H2</v>
      </c>
      <c r="V1311" s="9" t="str">
        <f>VLOOKUP(B1311,Bounties!A:E,2,FALSE)</f>
        <v>Events Bounty</v>
      </c>
    </row>
    <row r="1312" hidden="1">
      <c r="A1312" s="67">
        <f>HYPERLINK("https://polkadot.subsquare.io/treasury/child-bounties/82", 82)</f>
        <v>82</v>
      </c>
      <c r="B1312" s="1">
        <v>17.0</v>
      </c>
      <c r="C1312" s="1" t="s">
        <v>2414</v>
      </c>
      <c r="D1312" s="1" t="s">
        <v>1392</v>
      </c>
      <c r="E1312" s="5">
        <v>25.2</v>
      </c>
      <c r="F1312" s="4">
        <v>142.89934673309327</v>
      </c>
      <c r="G1312" s="1" t="s">
        <v>2738</v>
      </c>
      <c r="H1312" s="95">
        <v>44879.0</v>
      </c>
      <c r="I1312" s="95">
        <v>44902.0</v>
      </c>
      <c r="J1312" s="4">
        <v>133.41923389434814</v>
      </c>
      <c r="K1312" s="1"/>
      <c r="M1312" s="1" t="str">
        <f>VLOOKUP(B1312,Bounties!A:D,3,FALSE)</f>
        <v>Outreach</v>
      </c>
      <c r="N1312" s="1" t="str">
        <f>VLOOKUP(B1312,Bounties!A:D,4,FALSE)</f>
        <v>Events/Meetups</v>
      </c>
      <c r="O1312" s="1" t="str">
        <f t="shared" ref="O1312:P1312" si="1316">IF(ISBLANK(K1312),M1312,K1312)</f>
        <v>Outreach</v>
      </c>
      <c r="P1312" s="1" t="str">
        <f t="shared" si="1316"/>
        <v>Events/Meetups</v>
      </c>
      <c r="Q1312" s="61" t="str">
        <f t="shared" si="3"/>
        <v>2022</v>
      </c>
      <c r="R1312" s="62">
        <f t="shared" si="4"/>
        <v>12</v>
      </c>
      <c r="S1312" s="61" t="str">
        <f t="shared" si="5"/>
        <v>2022-Q4</v>
      </c>
      <c r="T1312" s="63" t="str">
        <f t="shared" si="6"/>
        <v>2022-12</v>
      </c>
      <c r="U1312" s="64" t="str">
        <f t="shared" si="7"/>
        <v>2022-H2</v>
      </c>
      <c r="V1312" s="9" t="str">
        <f>VLOOKUP(B1312,Bounties!A:E,2,FALSE)</f>
        <v>Events Bounty</v>
      </c>
    </row>
    <row r="1313" hidden="1">
      <c r="A1313" s="67">
        <f>HYPERLINK("https://polkadot.subsquare.io/treasury/child-bounties/81", 81)</f>
        <v>81</v>
      </c>
      <c r="B1313" s="1">
        <v>17.0</v>
      </c>
      <c r="C1313" s="1" t="s">
        <v>2414</v>
      </c>
      <c r="D1313" s="1" t="s">
        <v>1391</v>
      </c>
      <c r="E1313" s="5">
        <v>134.4</v>
      </c>
      <c r="F1313" s="4">
        <v>762.1298492431641</v>
      </c>
      <c r="G1313" s="1" t="s">
        <v>2775</v>
      </c>
      <c r="H1313" s="95">
        <v>44879.0</v>
      </c>
      <c r="I1313" s="95">
        <v>44898.0</v>
      </c>
      <c r="J1313" s="4">
        <v>739.6236145019532</v>
      </c>
      <c r="K1313" s="1"/>
      <c r="L1313" s="1"/>
      <c r="M1313" s="1" t="str">
        <f>VLOOKUP(B1313,Bounties!A:D,3,FALSE)</f>
        <v>Outreach</v>
      </c>
      <c r="N1313" s="1" t="str">
        <f>VLOOKUP(B1313,Bounties!A:D,4,FALSE)</f>
        <v>Events/Meetups</v>
      </c>
      <c r="O1313" s="1" t="str">
        <f t="shared" ref="O1313:P1313" si="1317">IF(ISBLANK(K1313),M1313,K1313)</f>
        <v>Outreach</v>
      </c>
      <c r="P1313" s="1" t="str">
        <f t="shared" si="1317"/>
        <v>Events/Meetups</v>
      </c>
      <c r="Q1313" s="61" t="str">
        <f t="shared" si="3"/>
        <v>2022</v>
      </c>
      <c r="R1313" s="62">
        <f t="shared" si="4"/>
        <v>12</v>
      </c>
      <c r="S1313" s="61" t="str">
        <f t="shared" si="5"/>
        <v>2022-Q4</v>
      </c>
      <c r="T1313" s="63" t="str">
        <f t="shared" si="6"/>
        <v>2022-12</v>
      </c>
      <c r="U1313" s="64" t="str">
        <f t="shared" si="7"/>
        <v>2022-H2</v>
      </c>
      <c r="V1313" s="9" t="str">
        <f>VLOOKUP(B1313,Bounties!A:E,2,FALSE)</f>
        <v>Events Bounty</v>
      </c>
    </row>
    <row r="1314" hidden="1">
      <c r="A1314" s="67">
        <f>HYPERLINK("https://polkadot.subsquare.io/treasury/child-bounties/80", 80)</f>
        <v>80</v>
      </c>
      <c r="B1314" s="1">
        <v>17.0</v>
      </c>
      <c r="C1314" s="1" t="s">
        <v>2414</v>
      </c>
      <c r="D1314" s="1" t="s">
        <v>1390</v>
      </c>
      <c r="E1314" s="5">
        <v>47.0</v>
      </c>
      <c r="F1314" s="4">
        <v>271.1313934326172</v>
      </c>
      <c r="G1314" s="1" t="s">
        <v>2745</v>
      </c>
      <c r="H1314" s="95">
        <v>44874.0</v>
      </c>
      <c r="I1314" s="95">
        <v>44882.0</v>
      </c>
      <c r="J1314" s="4">
        <v>248.64673948287964</v>
      </c>
      <c r="K1314" s="1"/>
      <c r="L1314" s="1"/>
      <c r="M1314" s="1" t="str">
        <f>VLOOKUP(B1314,Bounties!A:D,3,FALSE)</f>
        <v>Outreach</v>
      </c>
      <c r="N1314" s="1" t="str">
        <f>VLOOKUP(B1314,Bounties!A:D,4,FALSE)</f>
        <v>Events/Meetups</v>
      </c>
      <c r="O1314" s="1" t="str">
        <f t="shared" ref="O1314:P1314" si="1318">IF(ISBLANK(K1314),M1314,K1314)</f>
        <v>Outreach</v>
      </c>
      <c r="P1314" s="1" t="str">
        <f t="shared" si="1318"/>
        <v>Events/Meetups</v>
      </c>
      <c r="Q1314" s="61" t="str">
        <f t="shared" si="3"/>
        <v>2022</v>
      </c>
      <c r="R1314" s="62">
        <f t="shared" si="4"/>
        <v>11</v>
      </c>
      <c r="S1314" s="61" t="str">
        <f t="shared" si="5"/>
        <v>2022-Q4</v>
      </c>
      <c r="T1314" s="63" t="str">
        <f t="shared" si="6"/>
        <v>2022-11</v>
      </c>
      <c r="U1314" s="64" t="str">
        <f t="shared" si="7"/>
        <v>2022-H2</v>
      </c>
      <c r="V1314" s="9" t="str">
        <f>VLOOKUP(B1314,Bounties!A:E,2,FALSE)</f>
        <v>Events Bounty</v>
      </c>
    </row>
    <row r="1315" hidden="1">
      <c r="A1315" s="67">
        <f>HYPERLINK("https://polkadot.subsquare.io/treasury/child-bounties/79", 79)</f>
        <v>79</v>
      </c>
      <c r="B1315" s="1">
        <v>11.0</v>
      </c>
      <c r="C1315" s="1" t="s">
        <v>2414</v>
      </c>
      <c r="D1315" s="1" t="s">
        <v>1389</v>
      </c>
      <c r="E1315" s="5">
        <v>274.20229817</v>
      </c>
      <c r="F1315" s="4">
        <v>1634.1105122138379</v>
      </c>
      <c r="G1315" s="1" t="s">
        <v>2524</v>
      </c>
      <c r="H1315" s="95">
        <v>44872.0</v>
      </c>
      <c r="I1315" s="95">
        <v>44880.0</v>
      </c>
      <c r="J1315" s="4">
        <v>1547.5103138694037</v>
      </c>
      <c r="K1315" s="1"/>
      <c r="L1315" s="1"/>
      <c r="M1315" s="1" t="str">
        <f>VLOOKUP(B1315,Bounties!A:D,3,FALSE)</f>
        <v>Research</v>
      </c>
      <c r="N1315" s="1" t="str">
        <f>VLOOKUP(B1315,Bounties!A:D,4,FALSE)</f>
        <v>Anti-Scam</v>
      </c>
      <c r="O1315" s="1" t="str">
        <f t="shared" ref="O1315:P1315" si="1319">IF(ISBLANK(K1315),M1315,K1315)</f>
        <v>Research</v>
      </c>
      <c r="P1315" s="1" t="str">
        <f t="shared" si="1319"/>
        <v>Anti-Scam</v>
      </c>
      <c r="Q1315" s="61" t="str">
        <f t="shared" si="3"/>
        <v>2022</v>
      </c>
      <c r="R1315" s="62">
        <f t="shared" si="4"/>
        <v>11</v>
      </c>
      <c r="S1315" s="61" t="str">
        <f t="shared" si="5"/>
        <v>2022-Q4</v>
      </c>
      <c r="T1315" s="63" t="str">
        <f t="shared" si="6"/>
        <v>2022-11</v>
      </c>
      <c r="U1315" s="64" t="str">
        <f t="shared" si="7"/>
        <v>2022-H2</v>
      </c>
      <c r="V1315" s="9" t="str">
        <f>VLOOKUP(B1315,Bounties!A:E,2,FALSE)</f>
        <v>Anti-Scam Bounty</v>
      </c>
    </row>
    <row r="1316" hidden="1">
      <c r="A1316" s="67">
        <f>HYPERLINK("https://polkadot.subsquare.io/treasury/child-bounties/78", 78)</f>
        <v>78</v>
      </c>
      <c r="B1316" s="1">
        <v>11.0</v>
      </c>
      <c r="C1316" s="1" t="s">
        <v>2414</v>
      </c>
      <c r="D1316" s="1" t="s">
        <v>1388</v>
      </c>
      <c r="E1316" s="5">
        <v>99.620190033</v>
      </c>
      <c r="F1316" s="4">
        <v>593.687218699891</v>
      </c>
      <c r="G1316" s="1" t="s">
        <v>2437</v>
      </c>
      <c r="H1316" s="95">
        <v>44872.0</v>
      </c>
      <c r="I1316" s="95">
        <v>44880.0</v>
      </c>
      <c r="J1316" s="4">
        <v>562.2245786215814</v>
      </c>
      <c r="K1316" s="1"/>
      <c r="L1316" s="1"/>
      <c r="M1316" s="1" t="str">
        <f>VLOOKUP(B1316,Bounties!A:D,3,FALSE)</f>
        <v>Research</v>
      </c>
      <c r="N1316" s="1" t="str">
        <f>VLOOKUP(B1316,Bounties!A:D,4,FALSE)</f>
        <v>Anti-Scam</v>
      </c>
      <c r="O1316" s="1" t="str">
        <f t="shared" ref="O1316:P1316" si="1320">IF(ISBLANK(K1316),M1316,K1316)</f>
        <v>Research</v>
      </c>
      <c r="P1316" s="1" t="str">
        <f t="shared" si="1320"/>
        <v>Anti-Scam</v>
      </c>
      <c r="Q1316" s="61" t="str">
        <f t="shared" si="3"/>
        <v>2022</v>
      </c>
      <c r="R1316" s="62">
        <f t="shared" si="4"/>
        <v>11</v>
      </c>
      <c r="S1316" s="61" t="str">
        <f t="shared" si="5"/>
        <v>2022-Q4</v>
      </c>
      <c r="T1316" s="63" t="str">
        <f t="shared" si="6"/>
        <v>2022-11</v>
      </c>
      <c r="U1316" s="64" t="str">
        <f t="shared" si="7"/>
        <v>2022-H2</v>
      </c>
      <c r="V1316" s="9" t="str">
        <f>VLOOKUP(B1316,Bounties!A:E,2,FALSE)</f>
        <v>Anti-Scam Bounty</v>
      </c>
    </row>
    <row r="1317" hidden="1">
      <c r="A1317" s="67">
        <f>HYPERLINK("https://polkadot.subsquare.io/treasury/child-bounties/77", 77)</f>
        <v>77</v>
      </c>
      <c r="B1317" s="1">
        <v>11.0</v>
      </c>
      <c r="C1317" s="1" t="s">
        <v>2414</v>
      </c>
      <c r="D1317" s="1" t="s">
        <v>1387</v>
      </c>
      <c r="E1317" s="5">
        <v>93.7022241949</v>
      </c>
      <c r="F1317" s="4">
        <v>558.4190599298795</v>
      </c>
      <c r="G1317" s="1" t="s">
        <v>2533</v>
      </c>
      <c r="H1317" s="95">
        <v>44872.0</v>
      </c>
      <c r="I1317" s="95">
        <v>44881.0</v>
      </c>
      <c r="J1317" s="4">
        <v>528.8254669704139</v>
      </c>
      <c r="K1317" s="1"/>
      <c r="L1317" s="1"/>
      <c r="M1317" s="1" t="str">
        <f>VLOOKUP(B1317,Bounties!A:D,3,FALSE)</f>
        <v>Research</v>
      </c>
      <c r="N1317" s="1" t="str">
        <f>VLOOKUP(B1317,Bounties!A:D,4,FALSE)</f>
        <v>Anti-Scam</v>
      </c>
      <c r="O1317" s="1" t="str">
        <f t="shared" ref="O1317:P1317" si="1321">IF(ISBLANK(K1317),M1317,K1317)</f>
        <v>Research</v>
      </c>
      <c r="P1317" s="1" t="str">
        <f t="shared" si="1321"/>
        <v>Anti-Scam</v>
      </c>
      <c r="Q1317" s="61" t="str">
        <f t="shared" si="3"/>
        <v>2022</v>
      </c>
      <c r="R1317" s="62">
        <f t="shared" si="4"/>
        <v>11</v>
      </c>
      <c r="S1317" s="61" t="str">
        <f t="shared" si="5"/>
        <v>2022-Q4</v>
      </c>
      <c r="T1317" s="63" t="str">
        <f t="shared" si="6"/>
        <v>2022-11</v>
      </c>
      <c r="U1317" s="64" t="str">
        <f t="shared" si="7"/>
        <v>2022-H2</v>
      </c>
      <c r="V1317" s="9" t="str">
        <f>VLOOKUP(B1317,Bounties!A:E,2,FALSE)</f>
        <v>Anti-Scam Bounty</v>
      </c>
    </row>
    <row r="1318" hidden="1">
      <c r="A1318" s="67">
        <f>HYPERLINK("https://polkadot.subsquare.io/treasury/child-bounties/76", 76)</f>
        <v>76</v>
      </c>
      <c r="B1318" s="1">
        <v>17.0</v>
      </c>
      <c r="C1318" s="1" t="s">
        <v>2414</v>
      </c>
      <c r="D1318" s="1" t="s">
        <v>1386</v>
      </c>
      <c r="E1318" s="5">
        <v>44.38</v>
      </c>
      <c r="F1318" s="4">
        <v>279.35682439804077</v>
      </c>
      <c r="G1318" s="1" t="s">
        <v>2659</v>
      </c>
      <c r="H1318" s="95">
        <v>44870.0</v>
      </c>
      <c r="I1318" s="95">
        <v>44879.0</v>
      </c>
      <c r="J1318" s="4">
        <v>251.66162730216982</v>
      </c>
      <c r="K1318" s="1"/>
      <c r="L1318" s="1"/>
      <c r="M1318" s="1" t="str">
        <f>VLOOKUP(B1318,Bounties!A:D,3,FALSE)</f>
        <v>Outreach</v>
      </c>
      <c r="N1318" s="1" t="str">
        <f>VLOOKUP(B1318,Bounties!A:D,4,FALSE)</f>
        <v>Events/Meetups</v>
      </c>
      <c r="O1318" s="1" t="str">
        <f t="shared" ref="O1318:P1318" si="1322">IF(ISBLANK(K1318),M1318,K1318)</f>
        <v>Outreach</v>
      </c>
      <c r="P1318" s="1" t="str">
        <f t="shared" si="1322"/>
        <v>Events/Meetups</v>
      </c>
      <c r="Q1318" s="61" t="str">
        <f t="shared" si="3"/>
        <v>2022</v>
      </c>
      <c r="R1318" s="62">
        <f t="shared" si="4"/>
        <v>11</v>
      </c>
      <c r="S1318" s="61" t="str">
        <f t="shared" si="5"/>
        <v>2022-Q4</v>
      </c>
      <c r="T1318" s="63" t="str">
        <f t="shared" si="6"/>
        <v>2022-11</v>
      </c>
      <c r="U1318" s="64" t="str">
        <f t="shared" si="7"/>
        <v>2022-H2</v>
      </c>
      <c r="V1318" s="9" t="str">
        <f>VLOOKUP(B1318,Bounties!A:E,2,FALSE)</f>
        <v>Events Bounty</v>
      </c>
    </row>
    <row r="1319" hidden="1">
      <c r="A1319" s="67">
        <f>HYPERLINK("https://polkadot.subsquare.io/treasury/child-bounties/75", 75)</f>
        <v>75</v>
      </c>
      <c r="B1319" s="1">
        <v>11.0</v>
      </c>
      <c r="C1319" s="1" t="s">
        <v>2414</v>
      </c>
      <c r="D1319" s="1" t="s">
        <v>1385</v>
      </c>
      <c r="E1319" s="5">
        <v>52.7240773287</v>
      </c>
      <c r="F1319" s="4">
        <v>370.0940847819602</v>
      </c>
      <c r="G1319" s="1" t="s">
        <v>2437</v>
      </c>
      <c r="H1319" s="95">
        <v>44867.0</v>
      </c>
      <c r="I1319" s="95">
        <v>44876.0</v>
      </c>
      <c r="J1319" s="4">
        <v>303.33470376419103</v>
      </c>
      <c r="K1319" s="1"/>
      <c r="L1319" s="1"/>
      <c r="M1319" s="1" t="str">
        <f>VLOOKUP(B1319,Bounties!A:D,3,FALSE)</f>
        <v>Research</v>
      </c>
      <c r="N1319" s="1" t="str">
        <f>VLOOKUP(B1319,Bounties!A:D,4,FALSE)</f>
        <v>Anti-Scam</v>
      </c>
      <c r="O1319" s="1" t="str">
        <f t="shared" ref="O1319:P1319" si="1323">IF(ISBLANK(K1319),M1319,K1319)</f>
        <v>Research</v>
      </c>
      <c r="P1319" s="1" t="str">
        <f t="shared" si="1323"/>
        <v>Anti-Scam</v>
      </c>
      <c r="Q1319" s="61" t="str">
        <f t="shared" si="3"/>
        <v>2022</v>
      </c>
      <c r="R1319" s="62">
        <f t="shared" si="4"/>
        <v>11</v>
      </c>
      <c r="S1319" s="61" t="str">
        <f t="shared" si="5"/>
        <v>2022-Q4</v>
      </c>
      <c r="T1319" s="63" t="str">
        <f t="shared" si="6"/>
        <v>2022-11</v>
      </c>
      <c r="U1319" s="64" t="str">
        <f t="shared" si="7"/>
        <v>2022-H2</v>
      </c>
      <c r="V1319" s="9" t="str">
        <f>VLOOKUP(B1319,Bounties!A:E,2,FALSE)</f>
        <v>Anti-Scam Bounty</v>
      </c>
    </row>
    <row r="1320" hidden="1">
      <c r="A1320" s="67">
        <f>HYPERLINK("https://polkadot.subsquare.io/treasury/child-bounties/74", 74)</f>
        <v>74</v>
      </c>
      <c r="B1320" s="1">
        <v>11.0</v>
      </c>
      <c r="C1320" s="1" t="s">
        <v>2414</v>
      </c>
      <c r="D1320" s="1" t="s">
        <v>1384</v>
      </c>
      <c r="E1320" s="5">
        <v>77.3036487322</v>
      </c>
      <c r="F1320" s="4">
        <v>542.6291853243346</v>
      </c>
      <c r="G1320" s="1" t="s">
        <v>2534</v>
      </c>
      <c r="H1320" s="95">
        <v>44867.0</v>
      </c>
      <c r="I1320" s="95">
        <v>44875.0</v>
      </c>
      <c r="J1320" s="4">
        <v>444.7470790600015</v>
      </c>
      <c r="K1320" s="1"/>
      <c r="L1320" s="1"/>
      <c r="M1320" s="1" t="str">
        <f>VLOOKUP(B1320,Bounties!A:D,3,FALSE)</f>
        <v>Research</v>
      </c>
      <c r="N1320" s="1" t="str">
        <f>VLOOKUP(B1320,Bounties!A:D,4,FALSE)</f>
        <v>Anti-Scam</v>
      </c>
      <c r="O1320" s="1" t="str">
        <f t="shared" ref="O1320:P1320" si="1324">IF(ISBLANK(K1320),M1320,K1320)</f>
        <v>Research</v>
      </c>
      <c r="P1320" s="1" t="str">
        <f t="shared" si="1324"/>
        <v>Anti-Scam</v>
      </c>
      <c r="Q1320" s="61" t="str">
        <f t="shared" si="3"/>
        <v>2022</v>
      </c>
      <c r="R1320" s="62">
        <f t="shared" si="4"/>
        <v>11</v>
      </c>
      <c r="S1320" s="61" t="str">
        <f t="shared" si="5"/>
        <v>2022-Q4</v>
      </c>
      <c r="T1320" s="63" t="str">
        <f t="shared" si="6"/>
        <v>2022-11</v>
      </c>
      <c r="U1320" s="64" t="str">
        <f t="shared" si="7"/>
        <v>2022-H2</v>
      </c>
      <c r="V1320" s="9" t="str">
        <f>VLOOKUP(B1320,Bounties!A:E,2,FALSE)</f>
        <v>Anti-Scam Bounty</v>
      </c>
    </row>
    <row r="1321" hidden="1">
      <c r="A1321" s="67">
        <f>HYPERLINK("https://polkadot.subsquare.io/treasury/child-bounties/73", 73)</f>
        <v>73</v>
      </c>
      <c r="B1321" s="1">
        <v>11.0</v>
      </c>
      <c r="C1321" s="1" t="s">
        <v>2414</v>
      </c>
      <c r="D1321" s="1" t="s">
        <v>1383</v>
      </c>
      <c r="E1321" s="5">
        <v>553.9642452344</v>
      </c>
      <c r="F1321" s="4">
        <v>3888.5249534818117</v>
      </c>
      <c r="G1321" s="1" t="s">
        <v>2437</v>
      </c>
      <c r="H1321" s="95">
        <v>44867.0</v>
      </c>
      <c r="I1321" s="95">
        <v>44876.0</v>
      </c>
      <c r="J1321" s="4">
        <v>3242.8296103040775</v>
      </c>
      <c r="K1321" s="1"/>
      <c r="L1321" s="1"/>
      <c r="M1321" s="1" t="str">
        <f>VLOOKUP(B1321,Bounties!A:D,3,FALSE)</f>
        <v>Research</v>
      </c>
      <c r="N1321" s="1" t="str">
        <f>VLOOKUP(B1321,Bounties!A:D,4,FALSE)</f>
        <v>Anti-Scam</v>
      </c>
      <c r="O1321" s="1" t="str">
        <f t="shared" ref="O1321:P1321" si="1325">IF(ISBLANK(K1321),M1321,K1321)</f>
        <v>Research</v>
      </c>
      <c r="P1321" s="1" t="str">
        <f t="shared" si="1325"/>
        <v>Anti-Scam</v>
      </c>
      <c r="Q1321" s="61" t="str">
        <f t="shared" si="3"/>
        <v>2022</v>
      </c>
      <c r="R1321" s="62">
        <f t="shared" si="4"/>
        <v>11</v>
      </c>
      <c r="S1321" s="61" t="str">
        <f t="shared" si="5"/>
        <v>2022-Q4</v>
      </c>
      <c r="T1321" s="63" t="str">
        <f t="shared" si="6"/>
        <v>2022-11</v>
      </c>
      <c r="U1321" s="64" t="str">
        <f t="shared" si="7"/>
        <v>2022-H2</v>
      </c>
      <c r="V1321" s="9" t="str">
        <f>VLOOKUP(B1321,Bounties!A:E,2,FALSE)</f>
        <v>Anti-Scam Bounty</v>
      </c>
    </row>
    <row r="1322" hidden="1">
      <c r="A1322" s="67">
        <f>HYPERLINK("https://polkadot.subsquare.io/treasury/child-bounties/72", 72)</f>
        <v>72</v>
      </c>
      <c r="B1322" s="1">
        <v>11.0</v>
      </c>
      <c r="C1322" s="1" t="s">
        <v>2414</v>
      </c>
      <c r="D1322" s="1" t="s">
        <v>1382</v>
      </c>
      <c r="E1322" s="5">
        <v>959.2192684183</v>
      </c>
      <c r="F1322" s="4">
        <v>6733.192788510867</v>
      </c>
      <c r="G1322" s="1" t="s">
        <v>2438</v>
      </c>
      <c r="H1322" s="95">
        <v>44867.0</v>
      </c>
      <c r="I1322" s="95">
        <v>44877.0</v>
      </c>
      <c r="J1322" s="4">
        <v>5615.136126853981</v>
      </c>
      <c r="K1322" s="1"/>
      <c r="L1322" s="1"/>
      <c r="M1322" s="1" t="str">
        <f>VLOOKUP(B1322,Bounties!A:D,3,FALSE)</f>
        <v>Research</v>
      </c>
      <c r="N1322" s="1" t="str">
        <f>VLOOKUP(B1322,Bounties!A:D,4,FALSE)</f>
        <v>Anti-Scam</v>
      </c>
      <c r="O1322" s="1" t="str">
        <f t="shared" ref="O1322:P1322" si="1326">IF(ISBLANK(K1322),M1322,K1322)</f>
        <v>Research</v>
      </c>
      <c r="P1322" s="1" t="str">
        <f t="shared" si="1326"/>
        <v>Anti-Scam</v>
      </c>
      <c r="Q1322" s="61" t="str">
        <f t="shared" si="3"/>
        <v>2022</v>
      </c>
      <c r="R1322" s="62">
        <f t="shared" si="4"/>
        <v>11</v>
      </c>
      <c r="S1322" s="61" t="str">
        <f t="shared" si="5"/>
        <v>2022-Q4</v>
      </c>
      <c r="T1322" s="63" t="str">
        <f t="shared" si="6"/>
        <v>2022-11</v>
      </c>
      <c r="U1322" s="64" t="str">
        <f t="shared" si="7"/>
        <v>2022-H2</v>
      </c>
      <c r="V1322" s="9" t="str">
        <f>VLOOKUP(B1322,Bounties!A:E,2,FALSE)</f>
        <v>Anti-Scam Bounty</v>
      </c>
    </row>
    <row r="1323" hidden="1">
      <c r="A1323" s="67">
        <f>HYPERLINK("https://polkadot.subsquare.io/treasury/child-bounties/71", 71)</f>
        <v>71</v>
      </c>
      <c r="B1323" s="1">
        <v>11.0</v>
      </c>
      <c r="C1323" s="1" t="s">
        <v>2414</v>
      </c>
      <c r="D1323" s="1" t="s">
        <v>1381</v>
      </c>
      <c r="E1323" s="5">
        <v>215.2316331787</v>
      </c>
      <c r="F1323" s="4">
        <v>1510.8079331724477</v>
      </c>
      <c r="G1323" s="1" t="s">
        <v>2463</v>
      </c>
      <c r="H1323" s="95">
        <v>44867.0</v>
      </c>
      <c r="I1323" s="95">
        <v>44880.0</v>
      </c>
      <c r="J1323" s="4">
        <v>1220.4944356163885</v>
      </c>
      <c r="K1323" s="1"/>
      <c r="L1323" s="1"/>
      <c r="M1323" s="1" t="str">
        <f>VLOOKUP(B1323,Bounties!A:D,3,FALSE)</f>
        <v>Research</v>
      </c>
      <c r="N1323" s="1" t="str">
        <f>VLOOKUP(B1323,Bounties!A:D,4,FALSE)</f>
        <v>Anti-Scam</v>
      </c>
      <c r="O1323" s="1" t="str">
        <f t="shared" ref="O1323:P1323" si="1327">IF(ISBLANK(K1323),M1323,K1323)</f>
        <v>Research</v>
      </c>
      <c r="P1323" s="1" t="str">
        <f t="shared" si="1327"/>
        <v>Anti-Scam</v>
      </c>
      <c r="Q1323" s="61" t="str">
        <f t="shared" si="3"/>
        <v>2022</v>
      </c>
      <c r="R1323" s="62">
        <f t="shared" si="4"/>
        <v>11</v>
      </c>
      <c r="S1323" s="61" t="str">
        <f t="shared" si="5"/>
        <v>2022-Q4</v>
      </c>
      <c r="T1323" s="63" t="str">
        <f t="shared" si="6"/>
        <v>2022-11</v>
      </c>
      <c r="U1323" s="64" t="str">
        <f t="shared" si="7"/>
        <v>2022-H2</v>
      </c>
      <c r="V1323" s="9" t="str">
        <f>VLOOKUP(B1323,Bounties!A:E,2,FALSE)</f>
        <v>Anti-Scam Bounty</v>
      </c>
    </row>
    <row r="1324" hidden="1">
      <c r="A1324" s="67">
        <f>HYPERLINK("https://polkadot.subsquare.io/treasury/child-bounties/70", 70)</f>
        <v>70</v>
      </c>
      <c r="B1324" s="1">
        <v>11.0</v>
      </c>
      <c r="C1324" s="1" t="s">
        <v>2414</v>
      </c>
      <c r="D1324" s="1" t="s">
        <v>1380</v>
      </c>
      <c r="E1324" s="5">
        <v>77.3036487322</v>
      </c>
      <c r="F1324" s="4">
        <v>546.1110992052758</v>
      </c>
      <c r="G1324" s="1" t="s">
        <v>2745</v>
      </c>
      <c r="H1324" s="95">
        <v>44866.0</v>
      </c>
      <c r="I1324" s="95">
        <v>44875.0</v>
      </c>
      <c r="J1324" s="4">
        <v>444.7470790600015</v>
      </c>
      <c r="K1324" s="1"/>
      <c r="L1324" s="1"/>
      <c r="M1324" s="1" t="str">
        <f>VLOOKUP(B1324,Bounties!A:D,3,FALSE)</f>
        <v>Research</v>
      </c>
      <c r="N1324" s="1" t="str">
        <f>VLOOKUP(B1324,Bounties!A:D,4,FALSE)</f>
        <v>Anti-Scam</v>
      </c>
      <c r="O1324" s="1" t="str">
        <f t="shared" ref="O1324:P1324" si="1328">IF(ISBLANK(K1324),M1324,K1324)</f>
        <v>Research</v>
      </c>
      <c r="P1324" s="1" t="str">
        <f t="shared" si="1328"/>
        <v>Anti-Scam</v>
      </c>
      <c r="Q1324" s="61" t="str">
        <f t="shared" si="3"/>
        <v>2022</v>
      </c>
      <c r="R1324" s="62">
        <f t="shared" si="4"/>
        <v>11</v>
      </c>
      <c r="S1324" s="61" t="str">
        <f t="shared" si="5"/>
        <v>2022-Q4</v>
      </c>
      <c r="T1324" s="63" t="str">
        <f t="shared" si="6"/>
        <v>2022-11</v>
      </c>
      <c r="U1324" s="64" t="str">
        <f t="shared" si="7"/>
        <v>2022-H2</v>
      </c>
      <c r="V1324" s="9" t="str">
        <f>VLOOKUP(B1324,Bounties!A:E,2,FALSE)</f>
        <v>Anti-Scam Bounty</v>
      </c>
    </row>
    <row r="1325" hidden="1">
      <c r="A1325" s="67">
        <f>HYPERLINK("https://polkadot.subsquare.io/treasury/child-bounties/69", 69)</f>
        <v>69</v>
      </c>
      <c r="B1325" s="1">
        <v>11.0</v>
      </c>
      <c r="C1325" s="1" t="s">
        <v>2414</v>
      </c>
      <c r="D1325" s="1" t="s">
        <v>1379</v>
      </c>
      <c r="E1325" s="5">
        <v>61.842919</v>
      </c>
      <c r="F1325" s="4">
        <v>436.88887946481896</v>
      </c>
      <c r="G1325" s="1" t="s">
        <v>2437</v>
      </c>
      <c r="H1325" s="95">
        <v>44866.0</v>
      </c>
      <c r="I1325" s="95">
        <v>44874.0</v>
      </c>
      <c r="J1325" s="4">
        <v>356.75652771086123</v>
      </c>
      <c r="K1325" s="1"/>
      <c r="L1325" s="1"/>
      <c r="M1325" s="1" t="str">
        <f>VLOOKUP(B1325,Bounties!A:D,3,FALSE)</f>
        <v>Research</v>
      </c>
      <c r="N1325" s="1" t="str">
        <f>VLOOKUP(B1325,Bounties!A:D,4,FALSE)</f>
        <v>Anti-Scam</v>
      </c>
      <c r="O1325" s="1" t="str">
        <f t="shared" ref="O1325:P1325" si="1329">IF(ISBLANK(K1325),M1325,K1325)</f>
        <v>Research</v>
      </c>
      <c r="P1325" s="1" t="str">
        <f t="shared" si="1329"/>
        <v>Anti-Scam</v>
      </c>
      <c r="Q1325" s="61" t="str">
        <f t="shared" si="3"/>
        <v>2022</v>
      </c>
      <c r="R1325" s="62">
        <f t="shared" si="4"/>
        <v>11</v>
      </c>
      <c r="S1325" s="61" t="str">
        <f t="shared" si="5"/>
        <v>2022-Q4</v>
      </c>
      <c r="T1325" s="63" t="str">
        <f t="shared" si="6"/>
        <v>2022-11</v>
      </c>
      <c r="U1325" s="64" t="str">
        <f t="shared" si="7"/>
        <v>2022-H2</v>
      </c>
      <c r="V1325" s="9" t="str">
        <f>VLOOKUP(B1325,Bounties!A:E,2,FALSE)</f>
        <v>Anti-Scam Bounty</v>
      </c>
    </row>
    <row r="1326" hidden="1">
      <c r="A1326" s="67">
        <f>HYPERLINK("https://polkadot.subsquare.io/treasury/child-bounties/68", 68)</f>
        <v>68</v>
      </c>
      <c r="B1326" s="1">
        <v>11.0</v>
      </c>
      <c r="C1326" s="1" t="s">
        <v>2414</v>
      </c>
      <c r="D1326" s="1" t="s">
        <v>1378</v>
      </c>
      <c r="E1326" s="5">
        <v>61.842919</v>
      </c>
      <c r="F1326" s="4">
        <v>436.88887946481896</v>
      </c>
      <c r="G1326" s="1" t="s">
        <v>2463</v>
      </c>
      <c r="H1326" s="95">
        <v>44866.0</v>
      </c>
      <c r="I1326" s="95">
        <v>44874.0</v>
      </c>
      <c r="J1326" s="4">
        <v>356.75652771086123</v>
      </c>
      <c r="K1326" s="1"/>
      <c r="L1326" s="1"/>
      <c r="M1326" s="1" t="str">
        <f>VLOOKUP(B1326,Bounties!A:D,3,FALSE)</f>
        <v>Research</v>
      </c>
      <c r="N1326" s="1" t="str">
        <f>VLOOKUP(B1326,Bounties!A:D,4,FALSE)</f>
        <v>Anti-Scam</v>
      </c>
      <c r="O1326" s="1" t="str">
        <f t="shared" ref="O1326:P1326" si="1330">IF(ISBLANK(K1326),M1326,K1326)</f>
        <v>Research</v>
      </c>
      <c r="P1326" s="1" t="str">
        <f t="shared" si="1330"/>
        <v>Anti-Scam</v>
      </c>
      <c r="Q1326" s="61" t="str">
        <f t="shared" si="3"/>
        <v>2022</v>
      </c>
      <c r="R1326" s="62">
        <f t="shared" si="4"/>
        <v>11</v>
      </c>
      <c r="S1326" s="61" t="str">
        <f t="shared" si="5"/>
        <v>2022-Q4</v>
      </c>
      <c r="T1326" s="63" t="str">
        <f t="shared" si="6"/>
        <v>2022-11</v>
      </c>
      <c r="U1326" s="64" t="str">
        <f t="shared" si="7"/>
        <v>2022-H2</v>
      </c>
      <c r="V1326" s="9" t="str">
        <f>VLOOKUP(B1326,Bounties!A:E,2,FALSE)</f>
        <v>Anti-Scam Bounty</v>
      </c>
    </row>
    <row r="1327" hidden="1">
      <c r="A1327" s="67">
        <f>HYPERLINK("https://polkadot.subsquare.io/treasury/child-bounties/67", 67)</f>
        <v>67</v>
      </c>
      <c r="B1327" s="1">
        <v>11.0</v>
      </c>
      <c r="C1327" s="1" t="s">
        <v>2414</v>
      </c>
      <c r="D1327" s="1" t="s">
        <v>1377</v>
      </c>
      <c r="E1327" s="5">
        <v>61.842919</v>
      </c>
      <c r="F1327" s="4">
        <v>436.88887946481896</v>
      </c>
      <c r="G1327" s="1" t="s">
        <v>2438</v>
      </c>
      <c r="H1327" s="95">
        <v>44866.0</v>
      </c>
      <c r="I1327" s="95">
        <v>44874.0</v>
      </c>
      <c r="J1327" s="4">
        <v>356.75652771086123</v>
      </c>
      <c r="K1327" s="1"/>
      <c r="L1327" s="1"/>
      <c r="M1327" s="1" t="str">
        <f>VLOOKUP(B1327,Bounties!A:D,3,FALSE)</f>
        <v>Research</v>
      </c>
      <c r="N1327" s="1" t="str">
        <f>VLOOKUP(B1327,Bounties!A:D,4,FALSE)</f>
        <v>Anti-Scam</v>
      </c>
      <c r="O1327" s="1" t="str">
        <f t="shared" ref="O1327:P1327" si="1331">IF(ISBLANK(K1327),M1327,K1327)</f>
        <v>Research</v>
      </c>
      <c r="P1327" s="1" t="str">
        <f t="shared" si="1331"/>
        <v>Anti-Scam</v>
      </c>
      <c r="Q1327" s="61" t="str">
        <f t="shared" si="3"/>
        <v>2022</v>
      </c>
      <c r="R1327" s="62">
        <f t="shared" si="4"/>
        <v>11</v>
      </c>
      <c r="S1327" s="61" t="str">
        <f t="shared" si="5"/>
        <v>2022-Q4</v>
      </c>
      <c r="T1327" s="63" t="str">
        <f t="shared" si="6"/>
        <v>2022-11</v>
      </c>
      <c r="U1327" s="64" t="str">
        <f t="shared" si="7"/>
        <v>2022-H2</v>
      </c>
      <c r="V1327" s="9" t="str">
        <f>VLOOKUP(B1327,Bounties!A:E,2,FALSE)</f>
        <v>Anti-Scam Bounty</v>
      </c>
    </row>
    <row r="1328" hidden="1">
      <c r="A1328" s="67">
        <f>HYPERLINK("https://polkadot.subsquare.io/treasury/child-bounties/66", 66)</f>
        <v>66</v>
      </c>
      <c r="B1328" s="1">
        <v>11.0</v>
      </c>
      <c r="C1328" s="1" t="s">
        <v>2414</v>
      </c>
      <c r="D1328" s="1" t="s">
        <v>1376</v>
      </c>
      <c r="E1328" s="5">
        <v>192.93100753</v>
      </c>
      <c r="F1328" s="4">
        <v>1239.6387981164023</v>
      </c>
      <c r="G1328" s="1" t="s">
        <v>2437</v>
      </c>
      <c r="H1328" s="95">
        <v>44866.0</v>
      </c>
      <c r="I1328" s="95">
        <v>44874.0</v>
      </c>
      <c r="J1328" s="4">
        <v>1112.971338467397</v>
      </c>
      <c r="K1328" s="1"/>
      <c r="L1328" s="1"/>
      <c r="M1328" s="1" t="str">
        <f>VLOOKUP(B1328,Bounties!A:D,3,FALSE)</f>
        <v>Research</v>
      </c>
      <c r="N1328" s="1" t="str">
        <f>VLOOKUP(B1328,Bounties!A:D,4,FALSE)</f>
        <v>Anti-Scam</v>
      </c>
      <c r="O1328" s="1" t="str">
        <f t="shared" ref="O1328:P1328" si="1332">IF(ISBLANK(K1328),M1328,K1328)</f>
        <v>Research</v>
      </c>
      <c r="P1328" s="1" t="str">
        <f t="shared" si="1332"/>
        <v>Anti-Scam</v>
      </c>
      <c r="Q1328" s="61" t="str">
        <f t="shared" si="3"/>
        <v>2022</v>
      </c>
      <c r="R1328" s="62">
        <f t="shared" si="4"/>
        <v>11</v>
      </c>
      <c r="S1328" s="61" t="str">
        <f t="shared" si="5"/>
        <v>2022-Q4</v>
      </c>
      <c r="T1328" s="63" t="str">
        <f t="shared" si="6"/>
        <v>2022-11</v>
      </c>
      <c r="U1328" s="64" t="str">
        <f t="shared" si="7"/>
        <v>2022-H2</v>
      </c>
      <c r="V1328" s="9" t="str">
        <f>VLOOKUP(B1328,Bounties!A:E,2,FALSE)</f>
        <v>Anti-Scam Bounty</v>
      </c>
    </row>
    <row r="1329" hidden="1">
      <c r="A1329" s="67">
        <f>HYPERLINK("https://polkadot.subsquare.io/treasury/child-bounties/65", 65)</f>
        <v>65</v>
      </c>
      <c r="B1329" s="1">
        <v>11.0</v>
      </c>
      <c r="C1329" s="1" t="s">
        <v>2414</v>
      </c>
      <c r="D1329" s="1" t="s">
        <v>1375</v>
      </c>
      <c r="E1329" s="5">
        <v>118.845500508</v>
      </c>
      <c r="F1329" s="4">
        <v>763.6174988013313</v>
      </c>
      <c r="G1329" s="1" t="s">
        <v>2438</v>
      </c>
      <c r="H1329" s="95">
        <v>44866.0</v>
      </c>
      <c r="I1329" s="95">
        <v>44874.0</v>
      </c>
      <c r="J1329" s="4">
        <v>685.5903437432097</v>
      </c>
      <c r="K1329" s="1"/>
      <c r="L1329" s="1"/>
      <c r="M1329" s="1" t="str">
        <f>VLOOKUP(B1329,Bounties!A:D,3,FALSE)</f>
        <v>Research</v>
      </c>
      <c r="N1329" s="1" t="str">
        <f>VLOOKUP(B1329,Bounties!A:D,4,FALSE)</f>
        <v>Anti-Scam</v>
      </c>
      <c r="O1329" s="1" t="str">
        <f t="shared" ref="O1329:P1329" si="1333">IF(ISBLANK(K1329),M1329,K1329)</f>
        <v>Research</v>
      </c>
      <c r="P1329" s="1" t="str">
        <f t="shared" si="1333"/>
        <v>Anti-Scam</v>
      </c>
      <c r="Q1329" s="61" t="str">
        <f t="shared" si="3"/>
        <v>2022</v>
      </c>
      <c r="R1329" s="62">
        <f t="shared" si="4"/>
        <v>11</v>
      </c>
      <c r="S1329" s="61" t="str">
        <f t="shared" si="5"/>
        <v>2022-Q4</v>
      </c>
      <c r="T1329" s="63" t="str">
        <f t="shared" si="6"/>
        <v>2022-11</v>
      </c>
      <c r="U1329" s="64" t="str">
        <f t="shared" si="7"/>
        <v>2022-H2</v>
      </c>
      <c r="V1329" s="9" t="str">
        <f>VLOOKUP(B1329,Bounties!A:E,2,FALSE)</f>
        <v>Anti-Scam Bounty</v>
      </c>
    </row>
    <row r="1330" hidden="1">
      <c r="A1330" s="67">
        <f>HYPERLINK("https://polkadot.subsquare.io/treasury/child-bounties/64", 64)</f>
        <v>64</v>
      </c>
      <c r="B1330" s="1">
        <v>17.0</v>
      </c>
      <c r="C1330" s="1" t="s">
        <v>2414</v>
      </c>
      <c r="D1330" s="1" t="s">
        <v>1374</v>
      </c>
      <c r="E1330" s="5">
        <v>1676.0</v>
      </c>
      <c r="F1330" s="4">
        <v>9801.825889587402</v>
      </c>
      <c r="G1330" s="1" t="s">
        <v>2764</v>
      </c>
      <c r="H1330" s="95">
        <v>44853.0</v>
      </c>
      <c r="I1330" s="95">
        <v>44886.0</v>
      </c>
      <c r="J1330" s="4">
        <v>9106.374662399292</v>
      </c>
      <c r="K1330" s="1"/>
      <c r="L1330" s="1" t="s">
        <v>86</v>
      </c>
      <c r="M1330" s="1" t="str">
        <f>VLOOKUP(B1330,Bounties!A:D,3,FALSE)</f>
        <v>Outreach</v>
      </c>
      <c r="N1330" s="1" t="str">
        <f>VLOOKUP(B1330,Bounties!A:D,4,FALSE)</f>
        <v>Events/Meetups</v>
      </c>
      <c r="O1330" s="1" t="str">
        <f t="shared" ref="O1330:P1330" si="1334">IF(ISBLANK(K1330),M1330,K1330)</f>
        <v>Outreach</v>
      </c>
      <c r="P1330" s="1" t="str">
        <f t="shared" si="1334"/>
        <v>Events/Conference Attendance &amp; Side Events</v>
      </c>
      <c r="Q1330" s="61" t="str">
        <f t="shared" si="3"/>
        <v>2022</v>
      </c>
      <c r="R1330" s="62">
        <f t="shared" si="4"/>
        <v>11</v>
      </c>
      <c r="S1330" s="61" t="str">
        <f t="shared" si="5"/>
        <v>2022-Q4</v>
      </c>
      <c r="T1330" s="63" t="str">
        <f t="shared" si="6"/>
        <v>2022-11</v>
      </c>
      <c r="U1330" s="64" t="str">
        <f t="shared" si="7"/>
        <v>2022-H2</v>
      </c>
      <c r="V1330" s="9" t="str">
        <f>VLOOKUP(B1330,Bounties!A:E,2,FALSE)</f>
        <v>Events Bounty</v>
      </c>
    </row>
    <row r="1331" hidden="1">
      <c r="A1331" s="67">
        <f>HYPERLINK("https://polkadot.subsquare.io/treasury/child-bounties/63", 63)</f>
        <v>63</v>
      </c>
      <c r="B1331" s="1">
        <v>17.0</v>
      </c>
      <c r="C1331" s="1" t="s">
        <v>2414</v>
      </c>
      <c r="D1331" s="1" t="s">
        <v>1373</v>
      </c>
      <c r="E1331" s="5">
        <v>1943.0</v>
      </c>
      <c r="F1331" s="4">
        <v>11363.333951950073</v>
      </c>
      <c r="G1331" s="1" t="s">
        <v>2776</v>
      </c>
      <c r="H1331" s="95">
        <v>44853.0</v>
      </c>
      <c r="I1331" s="95">
        <v>44861.0</v>
      </c>
      <c r="J1331" s="4">
        <v>12925.754986286163</v>
      </c>
      <c r="K1331" s="1"/>
      <c r="L1331" s="1" t="s">
        <v>86</v>
      </c>
      <c r="M1331" s="1" t="str">
        <f>VLOOKUP(B1331,Bounties!A:D,3,FALSE)</f>
        <v>Outreach</v>
      </c>
      <c r="N1331" s="1" t="str">
        <f>VLOOKUP(B1331,Bounties!A:D,4,FALSE)</f>
        <v>Events/Meetups</v>
      </c>
      <c r="O1331" s="1" t="str">
        <f t="shared" ref="O1331:P1331" si="1335">IF(ISBLANK(K1331),M1331,K1331)</f>
        <v>Outreach</v>
      </c>
      <c r="P1331" s="1" t="str">
        <f t="shared" si="1335"/>
        <v>Events/Conference Attendance &amp; Side Events</v>
      </c>
      <c r="Q1331" s="61" t="str">
        <f t="shared" si="3"/>
        <v>2022</v>
      </c>
      <c r="R1331" s="62">
        <f t="shared" si="4"/>
        <v>10</v>
      </c>
      <c r="S1331" s="61" t="str">
        <f t="shared" si="5"/>
        <v>2022-Q4</v>
      </c>
      <c r="T1331" s="63" t="str">
        <f t="shared" si="6"/>
        <v>2022-10</v>
      </c>
      <c r="U1331" s="64" t="str">
        <f t="shared" si="7"/>
        <v>2022-H2</v>
      </c>
      <c r="V1331" s="9" t="str">
        <f>VLOOKUP(B1331,Bounties!A:E,2,FALSE)</f>
        <v>Events Bounty</v>
      </c>
    </row>
    <row r="1332" hidden="1">
      <c r="A1332" s="67">
        <f>HYPERLINK("https://polkadot.subsquare.io/treasury/child-bounties/62", 62)</f>
        <v>62</v>
      </c>
      <c r="B1332" s="1">
        <v>17.0</v>
      </c>
      <c r="C1332" s="1" t="s">
        <v>2414</v>
      </c>
      <c r="D1332" s="1" t="s">
        <v>1372</v>
      </c>
      <c r="E1332" s="5">
        <v>3158.0</v>
      </c>
      <c r="F1332" s="4">
        <v>18469.072887420654</v>
      </c>
      <c r="G1332" s="1" t="s">
        <v>2768</v>
      </c>
      <c r="H1332" s="95">
        <v>44853.0</v>
      </c>
      <c r="I1332" s="95">
        <v>44866.0</v>
      </c>
      <c r="J1332" s="4">
        <v>20291.084230422974</v>
      </c>
      <c r="K1332" s="1"/>
      <c r="L1332" s="1"/>
      <c r="M1332" s="1" t="str">
        <f>VLOOKUP(B1332,Bounties!A:D,3,FALSE)</f>
        <v>Outreach</v>
      </c>
      <c r="N1332" s="1" t="str">
        <f>VLOOKUP(B1332,Bounties!A:D,4,FALSE)</f>
        <v>Events/Meetups</v>
      </c>
      <c r="O1332" s="1" t="str">
        <f t="shared" ref="O1332:P1332" si="1336">IF(ISBLANK(K1332),M1332,K1332)</f>
        <v>Outreach</v>
      </c>
      <c r="P1332" s="1" t="str">
        <f t="shared" si="1336"/>
        <v>Events/Meetups</v>
      </c>
      <c r="Q1332" s="61" t="str">
        <f t="shared" si="3"/>
        <v>2022</v>
      </c>
      <c r="R1332" s="62">
        <f t="shared" si="4"/>
        <v>11</v>
      </c>
      <c r="S1332" s="61" t="str">
        <f t="shared" si="5"/>
        <v>2022-Q4</v>
      </c>
      <c r="T1332" s="63" t="str">
        <f t="shared" si="6"/>
        <v>2022-11</v>
      </c>
      <c r="U1332" s="64" t="str">
        <f t="shared" si="7"/>
        <v>2022-H2</v>
      </c>
      <c r="V1332" s="9" t="str">
        <f>VLOOKUP(B1332,Bounties!A:E,2,FALSE)</f>
        <v>Events Bounty</v>
      </c>
    </row>
    <row r="1333" hidden="1">
      <c r="A1333" s="67">
        <f>HYPERLINK("https://polkadot.subsquare.io/treasury/child-bounties/61", 61)</f>
        <v>61</v>
      </c>
      <c r="B1333" s="1">
        <v>17.0</v>
      </c>
      <c r="C1333" s="1" t="s">
        <v>2414</v>
      </c>
      <c r="D1333" s="1" t="s">
        <v>1371</v>
      </c>
      <c r="E1333" s="5">
        <v>113.95</v>
      </c>
      <c r="F1333" s="4">
        <v>666.418890285492</v>
      </c>
      <c r="G1333" s="1" t="s">
        <v>2777</v>
      </c>
      <c r="H1333" s="95">
        <v>44853.0</v>
      </c>
      <c r="I1333" s="95">
        <v>44861.0</v>
      </c>
      <c r="J1333" s="4">
        <v>758.0492952585221</v>
      </c>
      <c r="K1333" s="1"/>
      <c r="L1333" s="1"/>
      <c r="M1333" s="1" t="str">
        <f>VLOOKUP(B1333,Bounties!A:D,3,FALSE)</f>
        <v>Outreach</v>
      </c>
      <c r="N1333" s="1" t="str">
        <f>VLOOKUP(B1333,Bounties!A:D,4,FALSE)</f>
        <v>Events/Meetups</v>
      </c>
      <c r="O1333" s="1" t="str">
        <f t="shared" ref="O1333:P1333" si="1337">IF(ISBLANK(K1333),M1333,K1333)</f>
        <v>Outreach</v>
      </c>
      <c r="P1333" s="1" t="str">
        <f t="shared" si="1337"/>
        <v>Events/Meetups</v>
      </c>
      <c r="Q1333" s="61" t="str">
        <f t="shared" si="3"/>
        <v>2022</v>
      </c>
      <c r="R1333" s="62">
        <f t="shared" si="4"/>
        <v>10</v>
      </c>
      <c r="S1333" s="61" t="str">
        <f t="shared" si="5"/>
        <v>2022-Q4</v>
      </c>
      <c r="T1333" s="63" t="str">
        <f t="shared" si="6"/>
        <v>2022-10</v>
      </c>
      <c r="U1333" s="64" t="str">
        <f t="shared" si="7"/>
        <v>2022-H2</v>
      </c>
      <c r="V1333" s="9" t="str">
        <f>VLOOKUP(B1333,Bounties!A:E,2,FALSE)</f>
        <v>Events Bounty</v>
      </c>
    </row>
    <row r="1334" hidden="1">
      <c r="A1334" s="67">
        <f>HYPERLINK("https://polkadot.subsquare.io/treasury/child-bounties/60", 60)</f>
        <v>60</v>
      </c>
      <c r="B1334" s="1">
        <v>11.0</v>
      </c>
      <c r="C1334" s="1" t="s">
        <v>2414</v>
      </c>
      <c r="D1334" s="1" t="s">
        <v>1370</v>
      </c>
      <c r="E1334" s="5">
        <v>84.69</v>
      </c>
      <c r="F1334" s="4">
        <v>511.88280861854554</v>
      </c>
      <c r="G1334" s="1" t="s">
        <v>2437</v>
      </c>
      <c r="H1334" s="95">
        <v>44846.0</v>
      </c>
      <c r="I1334" s="95">
        <v>44857.0</v>
      </c>
      <c r="J1334" s="4">
        <v>546.0268409156799</v>
      </c>
      <c r="K1334" s="1"/>
      <c r="L1334" s="1"/>
      <c r="M1334" s="1" t="str">
        <f>VLOOKUP(B1334,Bounties!A:D,3,FALSE)</f>
        <v>Research</v>
      </c>
      <c r="N1334" s="1" t="str">
        <f>VLOOKUP(B1334,Bounties!A:D,4,FALSE)</f>
        <v>Anti-Scam</v>
      </c>
      <c r="O1334" s="1" t="str">
        <f t="shared" ref="O1334:P1334" si="1338">IF(ISBLANK(K1334),M1334,K1334)</f>
        <v>Research</v>
      </c>
      <c r="P1334" s="1" t="str">
        <f t="shared" si="1338"/>
        <v>Anti-Scam</v>
      </c>
      <c r="Q1334" s="61" t="str">
        <f t="shared" si="3"/>
        <v>2022</v>
      </c>
      <c r="R1334" s="62">
        <f t="shared" si="4"/>
        <v>10</v>
      </c>
      <c r="S1334" s="61" t="str">
        <f t="shared" si="5"/>
        <v>2022-Q4</v>
      </c>
      <c r="T1334" s="63" t="str">
        <f t="shared" si="6"/>
        <v>2022-10</v>
      </c>
      <c r="U1334" s="64" t="str">
        <f t="shared" si="7"/>
        <v>2022-H2</v>
      </c>
      <c r="V1334" s="9" t="str">
        <f>VLOOKUP(B1334,Bounties!A:E,2,FALSE)</f>
        <v>Anti-Scam Bounty</v>
      </c>
    </row>
    <row r="1335" hidden="1">
      <c r="A1335" s="67">
        <f>HYPERLINK("https://polkadot.subsquare.io/treasury/child-bounties/59", 59)</f>
        <v>59</v>
      </c>
      <c r="B1335" s="1">
        <v>11.0</v>
      </c>
      <c r="C1335" s="1" t="s">
        <v>2414</v>
      </c>
      <c r="D1335" s="1" t="s">
        <v>1369</v>
      </c>
      <c r="E1335" s="5">
        <v>63.0715862504</v>
      </c>
      <c r="F1335" s="4">
        <v>405.88078157494226</v>
      </c>
      <c r="G1335" s="1" t="s">
        <v>2437</v>
      </c>
      <c r="H1335" s="95">
        <v>44836.0</v>
      </c>
      <c r="I1335" s="95">
        <v>44845.0</v>
      </c>
      <c r="J1335" s="4">
        <v>381.21691715529096</v>
      </c>
      <c r="K1335" s="1"/>
      <c r="L1335" s="1"/>
      <c r="M1335" s="1" t="str">
        <f>VLOOKUP(B1335,Bounties!A:D,3,FALSE)</f>
        <v>Research</v>
      </c>
      <c r="N1335" s="1" t="str">
        <f>VLOOKUP(B1335,Bounties!A:D,4,FALSE)</f>
        <v>Anti-Scam</v>
      </c>
      <c r="O1335" s="1" t="str">
        <f t="shared" ref="O1335:P1335" si="1339">IF(ISBLANK(K1335),M1335,K1335)</f>
        <v>Research</v>
      </c>
      <c r="P1335" s="1" t="str">
        <f t="shared" si="1339"/>
        <v>Anti-Scam</v>
      </c>
      <c r="Q1335" s="61" t="str">
        <f t="shared" si="3"/>
        <v>2022</v>
      </c>
      <c r="R1335" s="62">
        <f t="shared" si="4"/>
        <v>10</v>
      </c>
      <c r="S1335" s="61" t="str">
        <f t="shared" si="5"/>
        <v>2022-Q4</v>
      </c>
      <c r="T1335" s="63" t="str">
        <f t="shared" si="6"/>
        <v>2022-10</v>
      </c>
      <c r="U1335" s="64" t="str">
        <f t="shared" si="7"/>
        <v>2022-H2</v>
      </c>
      <c r="V1335" s="9" t="str">
        <f>VLOOKUP(B1335,Bounties!A:E,2,FALSE)</f>
        <v>Anti-Scam Bounty</v>
      </c>
    </row>
    <row r="1336" hidden="1">
      <c r="A1336" s="67">
        <f>HYPERLINK("https://polkadot.subsquare.io/treasury/child-bounties/58", 58)</f>
        <v>58</v>
      </c>
      <c r="B1336" s="1">
        <v>11.0</v>
      </c>
      <c r="C1336" s="1" t="s">
        <v>2414</v>
      </c>
      <c r="D1336" s="1" t="s">
        <v>1368</v>
      </c>
      <c r="E1336" s="5">
        <v>63.0715862504</v>
      </c>
      <c r="F1336" s="4">
        <v>405.88078157494226</v>
      </c>
      <c r="G1336" s="1" t="s">
        <v>2463</v>
      </c>
      <c r="H1336" s="95">
        <v>44836.0</v>
      </c>
      <c r="I1336" s="95">
        <v>44846.0</v>
      </c>
      <c r="J1336" s="4">
        <v>381.21691715529096</v>
      </c>
      <c r="K1336" s="1"/>
      <c r="L1336" s="1"/>
      <c r="M1336" s="1" t="str">
        <f>VLOOKUP(B1336,Bounties!A:D,3,FALSE)</f>
        <v>Research</v>
      </c>
      <c r="N1336" s="1" t="str">
        <f>VLOOKUP(B1336,Bounties!A:D,4,FALSE)</f>
        <v>Anti-Scam</v>
      </c>
      <c r="O1336" s="1" t="str">
        <f t="shared" ref="O1336:P1336" si="1340">IF(ISBLANK(K1336),M1336,K1336)</f>
        <v>Research</v>
      </c>
      <c r="P1336" s="1" t="str">
        <f t="shared" si="1340"/>
        <v>Anti-Scam</v>
      </c>
      <c r="Q1336" s="61" t="str">
        <f t="shared" si="3"/>
        <v>2022</v>
      </c>
      <c r="R1336" s="62">
        <f t="shared" si="4"/>
        <v>10</v>
      </c>
      <c r="S1336" s="61" t="str">
        <f t="shared" si="5"/>
        <v>2022-Q4</v>
      </c>
      <c r="T1336" s="63" t="str">
        <f t="shared" si="6"/>
        <v>2022-10</v>
      </c>
      <c r="U1336" s="64" t="str">
        <f t="shared" si="7"/>
        <v>2022-H2</v>
      </c>
      <c r="V1336" s="9" t="str">
        <f>VLOOKUP(B1336,Bounties!A:E,2,FALSE)</f>
        <v>Anti-Scam Bounty</v>
      </c>
    </row>
    <row r="1337" hidden="1">
      <c r="A1337" s="67">
        <f>HYPERLINK("https://polkadot.subsquare.io/treasury/child-bounties/57", 57)</f>
        <v>57</v>
      </c>
      <c r="B1337" s="1">
        <v>11.0</v>
      </c>
      <c r="C1337" s="1" t="s">
        <v>2414</v>
      </c>
      <c r="D1337" s="1" t="s">
        <v>1367</v>
      </c>
      <c r="E1337" s="5">
        <v>63.0715862504</v>
      </c>
      <c r="F1337" s="4">
        <v>405.88078157494226</v>
      </c>
      <c r="G1337" s="1" t="s">
        <v>2438</v>
      </c>
      <c r="H1337" s="95">
        <v>44836.0</v>
      </c>
      <c r="I1337" s="95">
        <v>44845.0</v>
      </c>
      <c r="J1337" s="4">
        <v>381.21691715529096</v>
      </c>
      <c r="K1337" s="1"/>
      <c r="L1337" s="1"/>
      <c r="M1337" s="1" t="str">
        <f>VLOOKUP(B1337,Bounties!A:D,3,FALSE)</f>
        <v>Research</v>
      </c>
      <c r="N1337" s="1" t="str">
        <f>VLOOKUP(B1337,Bounties!A:D,4,FALSE)</f>
        <v>Anti-Scam</v>
      </c>
      <c r="O1337" s="1" t="str">
        <f t="shared" ref="O1337:P1337" si="1341">IF(ISBLANK(K1337),M1337,K1337)</f>
        <v>Research</v>
      </c>
      <c r="P1337" s="1" t="str">
        <f t="shared" si="1341"/>
        <v>Anti-Scam</v>
      </c>
      <c r="Q1337" s="61" t="str">
        <f t="shared" si="3"/>
        <v>2022</v>
      </c>
      <c r="R1337" s="62">
        <f t="shared" si="4"/>
        <v>10</v>
      </c>
      <c r="S1337" s="61" t="str">
        <f t="shared" si="5"/>
        <v>2022-Q4</v>
      </c>
      <c r="T1337" s="63" t="str">
        <f t="shared" si="6"/>
        <v>2022-10</v>
      </c>
      <c r="U1337" s="64" t="str">
        <f t="shared" si="7"/>
        <v>2022-H2</v>
      </c>
      <c r="V1337" s="9" t="str">
        <f>VLOOKUP(B1337,Bounties!A:E,2,FALSE)</f>
        <v>Anti-Scam Bounty</v>
      </c>
    </row>
    <row r="1338" hidden="1">
      <c r="A1338" s="67">
        <f>HYPERLINK("https://polkadot.subsquare.io/treasury/child-bounties/56", 56)</f>
        <v>56</v>
      </c>
      <c r="B1338" s="1">
        <v>11.0</v>
      </c>
      <c r="C1338" s="1" t="s">
        <v>2414</v>
      </c>
      <c r="D1338" s="1" t="s">
        <v>1366</v>
      </c>
      <c r="E1338" s="5">
        <v>78.839482813</v>
      </c>
      <c r="F1338" s="4">
        <v>507.3509769686778</v>
      </c>
      <c r="G1338" s="1" t="s">
        <v>2534</v>
      </c>
      <c r="H1338" s="95">
        <v>44836.0</v>
      </c>
      <c r="I1338" s="95">
        <v>44845.0</v>
      </c>
      <c r="J1338" s="4">
        <v>476.5211464441137</v>
      </c>
      <c r="K1338" s="1"/>
      <c r="L1338" s="1"/>
      <c r="M1338" s="1" t="str">
        <f>VLOOKUP(B1338,Bounties!A:D,3,FALSE)</f>
        <v>Research</v>
      </c>
      <c r="N1338" s="1" t="str">
        <f>VLOOKUP(B1338,Bounties!A:D,4,FALSE)</f>
        <v>Anti-Scam</v>
      </c>
      <c r="O1338" s="1" t="str">
        <f t="shared" ref="O1338:P1338" si="1342">IF(ISBLANK(K1338),M1338,K1338)</f>
        <v>Research</v>
      </c>
      <c r="P1338" s="1" t="str">
        <f t="shared" si="1342"/>
        <v>Anti-Scam</v>
      </c>
      <c r="Q1338" s="61" t="str">
        <f t="shared" si="3"/>
        <v>2022</v>
      </c>
      <c r="R1338" s="62">
        <f t="shared" si="4"/>
        <v>10</v>
      </c>
      <c r="S1338" s="61" t="str">
        <f t="shared" si="5"/>
        <v>2022-Q4</v>
      </c>
      <c r="T1338" s="63" t="str">
        <f t="shared" si="6"/>
        <v>2022-10</v>
      </c>
      <c r="U1338" s="64" t="str">
        <f t="shared" si="7"/>
        <v>2022-H2</v>
      </c>
      <c r="V1338" s="9" t="str">
        <f>VLOOKUP(B1338,Bounties!A:E,2,FALSE)</f>
        <v>Anti-Scam Bounty</v>
      </c>
    </row>
    <row r="1339" hidden="1">
      <c r="A1339" s="67">
        <f>HYPERLINK("https://polkadot.subsquare.io/treasury/child-bounties/55", 55)</f>
        <v>55</v>
      </c>
      <c r="B1339" s="1">
        <v>11.0</v>
      </c>
      <c r="C1339" s="1" t="s">
        <v>2414</v>
      </c>
      <c r="D1339" s="1" t="s">
        <v>1365</v>
      </c>
      <c r="E1339" s="5">
        <v>78.839482813</v>
      </c>
      <c r="F1339" s="4">
        <v>507.3509769686778</v>
      </c>
      <c r="G1339" s="1" t="s">
        <v>2745</v>
      </c>
      <c r="H1339" s="95">
        <v>44836.0</v>
      </c>
      <c r="I1339" s="95">
        <v>44844.0</v>
      </c>
      <c r="J1339" s="4">
        <v>482.2507110615395</v>
      </c>
      <c r="K1339" s="1"/>
      <c r="L1339" s="1"/>
      <c r="M1339" s="1" t="str">
        <f>VLOOKUP(B1339,Bounties!A:D,3,FALSE)</f>
        <v>Research</v>
      </c>
      <c r="N1339" s="1" t="str">
        <f>VLOOKUP(B1339,Bounties!A:D,4,FALSE)</f>
        <v>Anti-Scam</v>
      </c>
      <c r="O1339" s="1" t="str">
        <f t="shared" ref="O1339:P1339" si="1343">IF(ISBLANK(K1339),M1339,K1339)</f>
        <v>Research</v>
      </c>
      <c r="P1339" s="1" t="str">
        <f t="shared" si="1343"/>
        <v>Anti-Scam</v>
      </c>
      <c r="Q1339" s="61" t="str">
        <f t="shared" si="3"/>
        <v>2022</v>
      </c>
      <c r="R1339" s="62">
        <f t="shared" si="4"/>
        <v>10</v>
      </c>
      <c r="S1339" s="61" t="str">
        <f t="shared" si="5"/>
        <v>2022-Q4</v>
      </c>
      <c r="T1339" s="63" t="str">
        <f t="shared" si="6"/>
        <v>2022-10</v>
      </c>
      <c r="U1339" s="64" t="str">
        <f t="shared" si="7"/>
        <v>2022-H2</v>
      </c>
      <c r="V1339" s="9" t="str">
        <f>VLOOKUP(B1339,Bounties!A:E,2,FALSE)</f>
        <v>Anti-Scam Bounty</v>
      </c>
    </row>
    <row r="1340" hidden="1">
      <c r="A1340" s="67">
        <f>HYPERLINK("https://polkadot.subsquare.io/treasury/child-bounties/54", 54)</f>
        <v>54</v>
      </c>
      <c r="B1340" s="1">
        <v>11.0</v>
      </c>
      <c r="C1340" s="1" t="s">
        <v>2414</v>
      </c>
      <c r="D1340" s="1" t="s">
        <v>1364</v>
      </c>
      <c r="E1340" s="5">
        <v>448.47</v>
      </c>
      <c r="F1340" s="4">
        <v>2886.0119894599916</v>
      </c>
      <c r="G1340" s="1" t="s">
        <v>2437</v>
      </c>
      <c r="H1340" s="95">
        <v>44836.0</v>
      </c>
      <c r="I1340" s="95">
        <v>44844.0</v>
      </c>
      <c r="J1340" s="4">
        <v>2743.231800527573</v>
      </c>
      <c r="K1340" s="1"/>
      <c r="L1340" s="1"/>
      <c r="M1340" s="1" t="str">
        <f>VLOOKUP(B1340,Bounties!A:D,3,FALSE)</f>
        <v>Research</v>
      </c>
      <c r="N1340" s="1" t="str">
        <f>VLOOKUP(B1340,Bounties!A:D,4,FALSE)</f>
        <v>Anti-Scam</v>
      </c>
      <c r="O1340" s="1" t="str">
        <f t="shared" ref="O1340:P1340" si="1344">IF(ISBLANK(K1340),M1340,K1340)</f>
        <v>Research</v>
      </c>
      <c r="P1340" s="1" t="str">
        <f t="shared" si="1344"/>
        <v>Anti-Scam</v>
      </c>
      <c r="Q1340" s="61" t="str">
        <f t="shared" si="3"/>
        <v>2022</v>
      </c>
      <c r="R1340" s="62">
        <f t="shared" si="4"/>
        <v>10</v>
      </c>
      <c r="S1340" s="61" t="str">
        <f t="shared" si="5"/>
        <v>2022-Q4</v>
      </c>
      <c r="T1340" s="63" t="str">
        <f t="shared" si="6"/>
        <v>2022-10</v>
      </c>
      <c r="U1340" s="64" t="str">
        <f t="shared" si="7"/>
        <v>2022-H2</v>
      </c>
      <c r="V1340" s="9" t="str">
        <f>VLOOKUP(B1340,Bounties!A:E,2,FALSE)</f>
        <v>Anti-Scam Bounty</v>
      </c>
    </row>
    <row r="1341" hidden="1">
      <c r="A1341" s="67">
        <f>HYPERLINK("https://polkadot.subsquare.io/treasury/child-bounties/53", 53)</f>
        <v>53</v>
      </c>
      <c r="B1341" s="1">
        <v>11.0</v>
      </c>
      <c r="C1341" s="1" t="s">
        <v>2414</v>
      </c>
      <c r="D1341" s="1" t="s">
        <v>1363</v>
      </c>
      <c r="E1341" s="5">
        <v>903.3</v>
      </c>
      <c r="F1341" s="4">
        <v>5812.9521039962765</v>
      </c>
      <c r="G1341" s="1" t="s">
        <v>2438</v>
      </c>
      <c r="H1341" s="95">
        <v>44836.0</v>
      </c>
      <c r="I1341" s="95">
        <v>44844.0</v>
      </c>
      <c r="J1341" s="4">
        <v>5525.366881656646</v>
      </c>
      <c r="K1341" s="1"/>
      <c r="L1341" s="1"/>
      <c r="M1341" s="1" t="str">
        <f>VLOOKUP(B1341,Bounties!A:D,3,FALSE)</f>
        <v>Research</v>
      </c>
      <c r="N1341" s="1" t="str">
        <f>VLOOKUP(B1341,Bounties!A:D,4,FALSE)</f>
        <v>Anti-Scam</v>
      </c>
      <c r="O1341" s="1" t="str">
        <f t="shared" ref="O1341:P1341" si="1345">IF(ISBLANK(K1341),M1341,K1341)</f>
        <v>Research</v>
      </c>
      <c r="P1341" s="1" t="str">
        <f t="shared" si="1345"/>
        <v>Anti-Scam</v>
      </c>
      <c r="Q1341" s="61" t="str">
        <f t="shared" si="3"/>
        <v>2022</v>
      </c>
      <c r="R1341" s="62">
        <f t="shared" si="4"/>
        <v>10</v>
      </c>
      <c r="S1341" s="61" t="str">
        <f t="shared" si="5"/>
        <v>2022-Q4</v>
      </c>
      <c r="T1341" s="63" t="str">
        <f t="shared" si="6"/>
        <v>2022-10</v>
      </c>
      <c r="U1341" s="64" t="str">
        <f t="shared" si="7"/>
        <v>2022-H2</v>
      </c>
      <c r="V1341" s="9" t="str">
        <f>VLOOKUP(B1341,Bounties!A:E,2,FALSE)</f>
        <v>Anti-Scam Bounty</v>
      </c>
    </row>
    <row r="1342" hidden="1">
      <c r="A1342" s="67">
        <f>HYPERLINK("https://polkadot.subsquare.io/treasury/child-bounties/52", 52)</f>
        <v>52</v>
      </c>
      <c r="B1342" s="1">
        <v>11.0</v>
      </c>
      <c r="C1342" s="1" t="s">
        <v>2414</v>
      </c>
      <c r="D1342" s="1" t="s">
        <v>1362</v>
      </c>
      <c r="E1342" s="5">
        <v>517.55</v>
      </c>
      <c r="F1342" s="4">
        <v>3330.558354282379</v>
      </c>
      <c r="G1342" s="1" t="s">
        <v>2463</v>
      </c>
      <c r="H1342" s="95">
        <v>44836.0</v>
      </c>
      <c r="I1342" s="95">
        <v>44846.0</v>
      </c>
      <c r="J1342" s="4">
        <v>3128.172719335556</v>
      </c>
      <c r="K1342" s="1"/>
      <c r="L1342" s="1"/>
      <c r="M1342" s="1" t="str">
        <f>VLOOKUP(B1342,Bounties!A:D,3,FALSE)</f>
        <v>Research</v>
      </c>
      <c r="N1342" s="1" t="str">
        <f>VLOOKUP(B1342,Bounties!A:D,4,FALSE)</f>
        <v>Anti-Scam</v>
      </c>
      <c r="O1342" s="1" t="str">
        <f t="shared" ref="O1342:P1342" si="1346">IF(ISBLANK(K1342),M1342,K1342)</f>
        <v>Research</v>
      </c>
      <c r="P1342" s="1" t="str">
        <f t="shared" si="1346"/>
        <v>Anti-Scam</v>
      </c>
      <c r="Q1342" s="61" t="str">
        <f t="shared" si="3"/>
        <v>2022</v>
      </c>
      <c r="R1342" s="62">
        <f t="shared" si="4"/>
        <v>10</v>
      </c>
      <c r="S1342" s="61" t="str">
        <f t="shared" si="5"/>
        <v>2022-Q4</v>
      </c>
      <c r="T1342" s="63" t="str">
        <f t="shared" si="6"/>
        <v>2022-10</v>
      </c>
      <c r="U1342" s="64" t="str">
        <f t="shared" si="7"/>
        <v>2022-H2</v>
      </c>
      <c r="V1342" s="9" t="str">
        <f>VLOOKUP(B1342,Bounties!A:E,2,FALSE)</f>
        <v>Anti-Scam Bounty</v>
      </c>
    </row>
    <row r="1343" hidden="1">
      <c r="A1343" s="67">
        <f>HYPERLINK("https://polkadot.subsquare.io/treasury/child-bounties/51", 51)</f>
        <v>51</v>
      </c>
      <c r="B1343" s="1">
        <v>17.0</v>
      </c>
      <c r="C1343" s="1" t="s">
        <v>2414</v>
      </c>
      <c r="D1343" s="1" t="s">
        <v>1361</v>
      </c>
      <c r="E1343" s="5">
        <v>1246.0</v>
      </c>
      <c r="F1343" s="4">
        <v>8015.2887716293335</v>
      </c>
      <c r="G1343" s="1" t="s">
        <v>2622</v>
      </c>
      <c r="H1343" s="95">
        <v>44830.0</v>
      </c>
      <c r="I1343" s="95">
        <v>44843.0</v>
      </c>
      <c r="J1343" s="4">
        <v>7699.501463890076</v>
      </c>
      <c r="K1343" s="1"/>
      <c r="L1343" s="1" t="s">
        <v>86</v>
      </c>
      <c r="M1343" s="1" t="str">
        <f>VLOOKUP(B1343,Bounties!A:D,3,FALSE)</f>
        <v>Outreach</v>
      </c>
      <c r="N1343" s="1" t="str">
        <f>VLOOKUP(B1343,Bounties!A:D,4,FALSE)</f>
        <v>Events/Meetups</v>
      </c>
      <c r="O1343" s="1" t="str">
        <f t="shared" ref="O1343:P1343" si="1347">IF(ISBLANK(K1343),M1343,K1343)</f>
        <v>Outreach</v>
      </c>
      <c r="P1343" s="1" t="str">
        <f t="shared" si="1347"/>
        <v>Events/Conference Attendance &amp; Side Events</v>
      </c>
      <c r="Q1343" s="61" t="str">
        <f t="shared" si="3"/>
        <v>2022</v>
      </c>
      <c r="R1343" s="62">
        <f t="shared" si="4"/>
        <v>10</v>
      </c>
      <c r="S1343" s="61" t="str">
        <f t="shared" si="5"/>
        <v>2022-Q4</v>
      </c>
      <c r="T1343" s="63" t="str">
        <f t="shared" si="6"/>
        <v>2022-10</v>
      </c>
      <c r="U1343" s="64" t="str">
        <f t="shared" si="7"/>
        <v>2022-H2</v>
      </c>
      <c r="V1343" s="9" t="str">
        <f>VLOOKUP(B1343,Bounties!A:E,2,FALSE)</f>
        <v>Events Bounty</v>
      </c>
    </row>
    <row r="1344" hidden="1">
      <c r="A1344" s="67">
        <f>HYPERLINK("https://polkadot.subsquare.io/treasury/child-bounties/50", 50)</f>
        <v>50</v>
      </c>
      <c r="B1344" s="1">
        <v>17.0</v>
      </c>
      <c r="C1344" s="1" t="s">
        <v>2414</v>
      </c>
      <c r="D1344" s="1" t="s">
        <v>1360</v>
      </c>
      <c r="E1344" s="5">
        <v>61.0</v>
      </c>
      <c r="F1344" s="4">
        <v>390.03071641921997</v>
      </c>
      <c r="G1344" s="1" t="s">
        <v>2503</v>
      </c>
      <c r="H1344" s="95">
        <v>44829.0</v>
      </c>
      <c r="I1344" s="95">
        <v>44838.0</v>
      </c>
      <c r="J1344" s="4">
        <v>386.2372975349426</v>
      </c>
      <c r="K1344" s="1"/>
      <c r="L1344" s="1"/>
      <c r="M1344" s="1" t="str">
        <f>VLOOKUP(B1344,Bounties!A:D,3,FALSE)</f>
        <v>Outreach</v>
      </c>
      <c r="N1344" s="1" t="str">
        <f>VLOOKUP(B1344,Bounties!A:D,4,FALSE)</f>
        <v>Events/Meetups</v>
      </c>
      <c r="O1344" s="1" t="str">
        <f t="shared" ref="O1344:P1344" si="1348">IF(ISBLANK(K1344),M1344,K1344)</f>
        <v>Outreach</v>
      </c>
      <c r="P1344" s="1" t="str">
        <f t="shared" si="1348"/>
        <v>Events/Meetups</v>
      </c>
      <c r="Q1344" s="61" t="str">
        <f t="shared" si="3"/>
        <v>2022</v>
      </c>
      <c r="R1344" s="62">
        <f t="shared" si="4"/>
        <v>10</v>
      </c>
      <c r="S1344" s="61" t="str">
        <f t="shared" si="5"/>
        <v>2022-Q4</v>
      </c>
      <c r="T1344" s="63" t="str">
        <f t="shared" si="6"/>
        <v>2022-10</v>
      </c>
      <c r="U1344" s="64" t="str">
        <f t="shared" si="7"/>
        <v>2022-H2</v>
      </c>
      <c r="V1344" s="9" t="str">
        <f>VLOOKUP(B1344,Bounties!A:E,2,FALSE)</f>
        <v>Events Bounty</v>
      </c>
    </row>
    <row r="1345" hidden="1">
      <c r="A1345" s="67">
        <f>HYPERLINK("https://polkadot.subsquare.io/treasury/child-bounties/49", 49)</f>
        <v>49</v>
      </c>
      <c r="B1345" s="1">
        <v>17.0</v>
      </c>
      <c r="C1345" s="1" t="s">
        <v>2414</v>
      </c>
      <c r="D1345" s="1" t="s">
        <v>1359</v>
      </c>
      <c r="E1345" s="5">
        <v>61.0</v>
      </c>
      <c r="F1345" s="4">
        <v>390.03071641921997</v>
      </c>
      <c r="G1345" s="1" t="s">
        <v>2503</v>
      </c>
      <c r="H1345" s="95">
        <v>44829.0</v>
      </c>
      <c r="I1345" s="95">
        <v>44838.0</v>
      </c>
      <c r="J1345" s="4">
        <v>386.2372975349426</v>
      </c>
      <c r="K1345" s="1"/>
      <c r="L1345" s="1"/>
      <c r="M1345" s="1" t="str">
        <f>VLOOKUP(B1345,Bounties!A:D,3,FALSE)</f>
        <v>Outreach</v>
      </c>
      <c r="N1345" s="1" t="str">
        <f>VLOOKUP(B1345,Bounties!A:D,4,FALSE)</f>
        <v>Events/Meetups</v>
      </c>
      <c r="O1345" s="1" t="str">
        <f t="shared" ref="O1345:P1345" si="1349">IF(ISBLANK(K1345),M1345,K1345)</f>
        <v>Outreach</v>
      </c>
      <c r="P1345" s="1" t="str">
        <f t="shared" si="1349"/>
        <v>Events/Meetups</v>
      </c>
      <c r="Q1345" s="61" t="str">
        <f t="shared" si="3"/>
        <v>2022</v>
      </c>
      <c r="R1345" s="62">
        <f t="shared" si="4"/>
        <v>10</v>
      </c>
      <c r="S1345" s="61" t="str">
        <f t="shared" si="5"/>
        <v>2022-Q4</v>
      </c>
      <c r="T1345" s="63" t="str">
        <f t="shared" si="6"/>
        <v>2022-10</v>
      </c>
      <c r="U1345" s="64" t="str">
        <f t="shared" si="7"/>
        <v>2022-H2</v>
      </c>
      <c r="V1345" s="9" t="str">
        <f>VLOOKUP(B1345,Bounties!A:E,2,FALSE)</f>
        <v>Events Bounty</v>
      </c>
    </row>
    <row r="1346" hidden="1">
      <c r="A1346" s="67">
        <f>HYPERLINK("https://polkadot.subsquare.io/treasury/child-bounties/48", 48)</f>
        <v>48</v>
      </c>
      <c r="B1346" s="1">
        <v>17.0</v>
      </c>
      <c r="C1346" s="1" t="s">
        <v>2414</v>
      </c>
      <c r="D1346" s="1" t="s">
        <v>1358</v>
      </c>
      <c r="E1346" s="5">
        <v>61.0</v>
      </c>
      <c r="F1346" s="4">
        <v>390.03071641921997</v>
      </c>
      <c r="G1346" s="1" t="s">
        <v>2503</v>
      </c>
      <c r="H1346" s="95">
        <v>44829.0</v>
      </c>
      <c r="I1346" s="95">
        <v>44838.0</v>
      </c>
      <c r="J1346" s="4">
        <v>386.2372975349426</v>
      </c>
      <c r="K1346" s="1"/>
      <c r="L1346" s="1"/>
      <c r="M1346" s="1" t="str">
        <f>VLOOKUP(B1346,Bounties!A:D,3,FALSE)</f>
        <v>Outreach</v>
      </c>
      <c r="N1346" s="1" t="str">
        <f>VLOOKUP(B1346,Bounties!A:D,4,FALSE)</f>
        <v>Events/Meetups</v>
      </c>
      <c r="O1346" s="1" t="str">
        <f t="shared" ref="O1346:P1346" si="1350">IF(ISBLANK(K1346),M1346,K1346)</f>
        <v>Outreach</v>
      </c>
      <c r="P1346" s="1" t="str">
        <f t="shared" si="1350"/>
        <v>Events/Meetups</v>
      </c>
      <c r="Q1346" s="61" t="str">
        <f t="shared" si="3"/>
        <v>2022</v>
      </c>
      <c r="R1346" s="62">
        <f t="shared" si="4"/>
        <v>10</v>
      </c>
      <c r="S1346" s="61" t="str">
        <f t="shared" si="5"/>
        <v>2022-Q4</v>
      </c>
      <c r="T1346" s="63" t="str">
        <f t="shared" si="6"/>
        <v>2022-10</v>
      </c>
      <c r="U1346" s="64" t="str">
        <f t="shared" si="7"/>
        <v>2022-H2</v>
      </c>
      <c r="V1346" s="9" t="str">
        <f>VLOOKUP(B1346,Bounties!A:E,2,FALSE)</f>
        <v>Events Bounty</v>
      </c>
    </row>
    <row r="1347" hidden="1">
      <c r="A1347" s="67">
        <f>HYPERLINK("https://polkadot.subsquare.io/treasury/child-bounties/47", 47)</f>
        <v>47</v>
      </c>
      <c r="B1347" s="1">
        <v>17.0</v>
      </c>
      <c r="C1347" s="1" t="s">
        <v>2414</v>
      </c>
      <c r="D1347" s="1" t="s">
        <v>1357</v>
      </c>
      <c r="E1347" s="5">
        <v>21874.0</v>
      </c>
      <c r="F1347" s="4">
        <v>141039.06595420837</v>
      </c>
      <c r="G1347" s="1" t="s">
        <v>2762</v>
      </c>
      <c r="H1347" s="95">
        <v>44823.0</v>
      </c>
      <c r="I1347" s="95">
        <v>44836.0</v>
      </c>
      <c r="J1347" s="4">
        <v>140764.43520736694</v>
      </c>
      <c r="K1347" s="1"/>
      <c r="L1347" s="1"/>
      <c r="M1347" s="1" t="str">
        <f>VLOOKUP(B1347,Bounties!A:D,3,FALSE)</f>
        <v>Outreach</v>
      </c>
      <c r="N1347" s="1" t="str">
        <f>VLOOKUP(B1347,Bounties!A:D,4,FALSE)</f>
        <v>Events/Meetups</v>
      </c>
      <c r="O1347" s="1" t="str">
        <f t="shared" ref="O1347:P1347" si="1351">IF(ISBLANK(K1347),M1347,K1347)</f>
        <v>Outreach</v>
      </c>
      <c r="P1347" s="1" t="str">
        <f t="shared" si="1351"/>
        <v>Events/Meetups</v>
      </c>
      <c r="Q1347" s="61" t="str">
        <f t="shared" si="3"/>
        <v>2022</v>
      </c>
      <c r="R1347" s="62">
        <f t="shared" si="4"/>
        <v>10</v>
      </c>
      <c r="S1347" s="61" t="str">
        <f t="shared" si="5"/>
        <v>2022-Q4</v>
      </c>
      <c r="T1347" s="63" t="str">
        <f t="shared" si="6"/>
        <v>2022-10</v>
      </c>
      <c r="U1347" s="64" t="str">
        <f t="shared" si="7"/>
        <v>2022-H2</v>
      </c>
      <c r="V1347" s="9" t="str">
        <f>VLOOKUP(B1347,Bounties!A:E,2,FALSE)</f>
        <v>Events Bounty</v>
      </c>
    </row>
    <row r="1348" hidden="1">
      <c r="A1348" s="67">
        <f>HYPERLINK("https://polkadot.subsquare.io/treasury/child-bounties/46", 46)</f>
        <v>46</v>
      </c>
      <c r="B1348" s="1">
        <v>17.0</v>
      </c>
      <c r="C1348" s="1" t="s">
        <v>2414</v>
      </c>
      <c r="D1348" s="1" t="s">
        <v>1356</v>
      </c>
      <c r="E1348" s="5">
        <v>6110.59</v>
      </c>
      <c r="F1348" s="4">
        <v>39399.83112504006</v>
      </c>
      <c r="G1348" s="1" t="s">
        <v>2763</v>
      </c>
      <c r="H1348" s="95">
        <v>44823.0</v>
      </c>
      <c r="I1348" s="95">
        <v>44832.0</v>
      </c>
      <c r="J1348" s="4">
        <v>38327.18999235153</v>
      </c>
      <c r="K1348" s="1"/>
      <c r="L1348" s="1"/>
      <c r="M1348" s="1" t="str">
        <f>VLOOKUP(B1348,Bounties!A:D,3,FALSE)</f>
        <v>Outreach</v>
      </c>
      <c r="N1348" s="1" t="str">
        <f>VLOOKUP(B1348,Bounties!A:D,4,FALSE)</f>
        <v>Events/Meetups</v>
      </c>
      <c r="O1348" s="1" t="str">
        <f t="shared" ref="O1348:P1348" si="1352">IF(ISBLANK(K1348),M1348,K1348)</f>
        <v>Outreach</v>
      </c>
      <c r="P1348" s="1" t="str">
        <f t="shared" si="1352"/>
        <v>Events/Meetups</v>
      </c>
      <c r="Q1348" s="61" t="str">
        <f t="shared" si="3"/>
        <v>2022</v>
      </c>
      <c r="R1348" s="62">
        <f t="shared" si="4"/>
        <v>9</v>
      </c>
      <c r="S1348" s="61" t="str">
        <f t="shared" si="5"/>
        <v>2022-Q3</v>
      </c>
      <c r="T1348" s="63" t="str">
        <f t="shared" si="6"/>
        <v>2022-09</v>
      </c>
      <c r="U1348" s="64" t="str">
        <f t="shared" si="7"/>
        <v>2022-H2</v>
      </c>
      <c r="V1348" s="9" t="str">
        <f>VLOOKUP(B1348,Bounties!A:E,2,FALSE)</f>
        <v>Events Bounty</v>
      </c>
    </row>
    <row r="1349" hidden="1">
      <c r="A1349" s="67">
        <f>HYPERLINK("https://polkadot.subsquare.io/treasury/child-bounties/45", 45)</f>
        <v>45</v>
      </c>
      <c r="B1349" s="1">
        <v>11.0</v>
      </c>
      <c r="C1349" s="1" t="s">
        <v>2414</v>
      </c>
      <c r="D1349" s="1" t="s">
        <v>1355</v>
      </c>
      <c r="E1349" s="5">
        <v>134.138162307</v>
      </c>
      <c r="F1349" s="4">
        <v>925.1298399106504</v>
      </c>
      <c r="G1349" s="1" t="s">
        <v>2438</v>
      </c>
      <c r="H1349" s="95">
        <v>44817.0</v>
      </c>
      <c r="I1349" s="95">
        <v>44827.0</v>
      </c>
      <c r="J1349" s="4">
        <v>831.8104734352271</v>
      </c>
      <c r="K1349" s="1"/>
      <c r="L1349" s="1"/>
      <c r="M1349" s="1" t="str">
        <f>VLOOKUP(B1349,Bounties!A:D,3,FALSE)</f>
        <v>Research</v>
      </c>
      <c r="N1349" s="1" t="str">
        <f>VLOOKUP(B1349,Bounties!A:D,4,FALSE)</f>
        <v>Anti-Scam</v>
      </c>
      <c r="O1349" s="1" t="str">
        <f t="shared" ref="O1349:P1349" si="1353">IF(ISBLANK(K1349),M1349,K1349)</f>
        <v>Research</v>
      </c>
      <c r="P1349" s="1" t="str">
        <f t="shared" si="1353"/>
        <v>Anti-Scam</v>
      </c>
      <c r="Q1349" s="61" t="str">
        <f t="shared" si="3"/>
        <v>2022</v>
      </c>
      <c r="R1349" s="62">
        <f t="shared" si="4"/>
        <v>9</v>
      </c>
      <c r="S1349" s="61" t="str">
        <f t="shared" si="5"/>
        <v>2022-Q3</v>
      </c>
      <c r="T1349" s="63" t="str">
        <f t="shared" si="6"/>
        <v>2022-09</v>
      </c>
      <c r="U1349" s="64" t="str">
        <f t="shared" si="7"/>
        <v>2022-H2</v>
      </c>
      <c r="V1349" s="9" t="str">
        <f>VLOOKUP(B1349,Bounties!A:E,2,FALSE)</f>
        <v>Anti-Scam Bounty</v>
      </c>
    </row>
    <row r="1350" hidden="1">
      <c r="A1350" s="67">
        <f>HYPERLINK("https://polkadot.subsquare.io/treasury/child-bounties/44", 44)</f>
        <v>44</v>
      </c>
      <c r="B1350" s="1">
        <v>11.0</v>
      </c>
      <c r="C1350" s="1" t="s">
        <v>2414</v>
      </c>
      <c r="D1350" s="1" t="s">
        <v>1354</v>
      </c>
      <c r="E1350" s="5">
        <v>17.2699640785</v>
      </c>
      <c r="F1350" s="4">
        <v>127.1799490841706</v>
      </c>
      <c r="G1350" s="1" t="s">
        <v>2745</v>
      </c>
      <c r="H1350" s="95">
        <v>44807.0</v>
      </c>
      <c r="I1350" s="95">
        <v>44817.0</v>
      </c>
      <c r="J1350" s="4">
        <v>119.62126815952548</v>
      </c>
      <c r="K1350" s="1"/>
      <c r="L1350" s="1"/>
      <c r="M1350" s="1" t="str">
        <f>VLOOKUP(B1350,Bounties!A:D,3,FALSE)</f>
        <v>Research</v>
      </c>
      <c r="N1350" s="1" t="str">
        <f>VLOOKUP(B1350,Bounties!A:D,4,FALSE)</f>
        <v>Anti-Scam</v>
      </c>
      <c r="O1350" s="1" t="str">
        <f t="shared" ref="O1350:P1350" si="1354">IF(ISBLANK(K1350),M1350,K1350)</f>
        <v>Research</v>
      </c>
      <c r="P1350" s="1" t="str">
        <f t="shared" si="1354"/>
        <v>Anti-Scam</v>
      </c>
      <c r="Q1350" s="61" t="str">
        <f t="shared" si="3"/>
        <v>2022</v>
      </c>
      <c r="R1350" s="62">
        <f t="shared" si="4"/>
        <v>9</v>
      </c>
      <c r="S1350" s="61" t="str">
        <f t="shared" si="5"/>
        <v>2022-Q3</v>
      </c>
      <c r="T1350" s="63" t="str">
        <f t="shared" si="6"/>
        <v>2022-09</v>
      </c>
      <c r="U1350" s="64" t="str">
        <f t="shared" si="7"/>
        <v>2022-H2</v>
      </c>
      <c r="V1350" s="9" t="str">
        <f>VLOOKUP(B1350,Bounties!A:E,2,FALSE)</f>
        <v>Anti-Scam Bounty</v>
      </c>
    </row>
    <row r="1351" hidden="1">
      <c r="A1351" s="67">
        <f>HYPERLINK("https://polkadot.subsquare.io/treasury/child-bounties/43", 43)</f>
        <v>43</v>
      </c>
      <c r="B1351" s="1">
        <v>11.0</v>
      </c>
      <c r="C1351" s="1" t="s">
        <v>2414</v>
      </c>
      <c r="D1351" s="1" t="s">
        <v>1353</v>
      </c>
      <c r="E1351" s="5">
        <v>69.0798563139</v>
      </c>
      <c r="F1351" s="4">
        <v>508.71979633594594</v>
      </c>
      <c r="G1351" s="1" t="s">
        <v>2534</v>
      </c>
      <c r="H1351" s="95">
        <v>44807.0</v>
      </c>
      <c r="I1351" s="95">
        <v>44815.0</v>
      </c>
      <c r="J1351" s="4">
        <v>497.5934093187661</v>
      </c>
      <c r="K1351" s="1"/>
      <c r="L1351" s="1"/>
      <c r="M1351" s="1" t="str">
        <f>VLOOKUP(B1351,Bounties!A:D,3,FALSE)</f>
        <v>Research</v>
      </c>
      <c r="N1351" s="1" t="str">
        <f>VLOOKUP(B1351,Bounties!A:D,4,FALSE)</f>
        <v>Anti-Scam</v>
      </c>
      <c r="O1351" s="1" t="str">
        <f t="shared" ref="O1351:P1351" si="1355">IF(ISBLANK(K1351),M1351,K1351)</f>
        <v>Research</v>
      </c>
      <c r="P1351" s="1" t="str">
        <f t="shared" si="1355"/>
        <v>Anti-Scam</v>
      </c>
      <c r="Q1351" s="61" t="str">
        <f t="shared" si="3"/>
        <v>2022</v>
      </c>
      <c r="R1351" s="62">
        <f t="shared" si="4"/>
        <v>9</v>
      </c>
      <c r="S1351" s="61" t="str">
        <f t="shared" si="5"/>
        <v>2022-Q3</v>
      </c>
      <c r="T1351" s="63" t="str">
        <f t="shared" si="6"/>
        <v>2022-09</v>
      </c>
      <c r="U1351" s="64" t="str">
        <f t="shared" si="7"/>
        <v>2022-H2</v>
      </c>
      <c r="V1351" s="9" t="str">
        <f>VLOOKUP(B1351,Bounties!A:E,2,FALSE)</f>
        <v>Anti-Scam Bounty</v>
      </c>
    </row>
    <row r="1352" hidden="1">
      <c r="A1352" s="67">
        <f>HYPERLINK("https://polkadot.subsquare.io/treasury/child-bounties/42", 42)</f>
        <v>42</v>
      </c>
      <c r="B1352" s="1">
        <v>11.0</v>
      </c>
      <c r="C1352" s="1" t="s">
        <v>2414</v>
      </c>
      <c r="D1352" s="1" t="s">
        <v>1352</v>
      </c>
      <c r="E1352" s="5">
        <v>55.7335934234</v>
      </c>
      <c r="F1352" s="4">
        <v>406.02876031473886</v>
      </c>
      <c r="G1352" s="1" t="s">
        <v>2437</v>
      </c>
      <c r="H1352" s="95">
        <v>44804.0</v>
      </c>
      <c r="I1352" s="95">
        <v>44812.0</v>
      </c>
      <c r="J1352" s="4">
        <v>429.0456241659643</v>
      </c>
      <c r="K1352" s="1"/>
      <c r="L1352" s="1"/>
      <c r="M1352" s="1" t="str">
        <f>VLOOKUP(B1352,Bounties!A:D,3,FALSE)</f>
        <v>Research</v>
      </c>
      <c r="N1352" s="1" t="str">
        <f>VLOOKUP(B1352,Bounties!A:D,4,FALSE)</f>
        <v>Anti-Scam</v>
      </c>
      <c r="O1352" s="1" t="str">
        <f t="shared" ref="O1352:P1352" si="1356">IF(ISBLANK(K1352),M1352,K1352)</f>
        <v>Research</v>
      </c>
      <c r="P1352" s="1" t="str">
        <f t="shared" si="1356"/>
        <v>Anti-Scam</v>
      </c>
      <c r="Q1352" s="61" t="str">
        <f t="shared" si="3"/>
        <v>2022</v>
      </c>
      <c r="R1352" s="62">
        <f t="shared" si="4"/>
        <v>9</v>
      </c>
      <c r="S1352" s="61" t="str">
        <f t="shared" si="5"/>
        <v>2022-Q3</v>
      </c>
      <c r="T1352" s="63" t="str">
        <f t="shared" si="6"/>
        <v>2022-09</v>
      </c>
      <c r="U1352" s="64" t="str">
        <f t="shared" si="7"/>
        <v>2022-H2</v>
      </c>
      <c r="V1352" s="9" t="str">
        <f>VLOOKUP(B1352,Bounties!A:E,2,FALSE)</f>
        <v>Anti-Scam Bounty</v>
      </c>
    </row>
    <row r="1353" hidden="1">
      <c r="A1353" s="67">
        <f>HYPERLINK("https://polkadot.subsquare.io/treasury/child-bounties/41", 41)</f>
        <v>41</v>
      </c>
      <c r="B1353" s="1">
        <v>11.0</v>
      </c>
      <c r="C1353" s="1" t="s">
        <v>2414</v>
      </c>
      <c r="D1353" s="1" t="s">
        <v>1351</v>
      </c>
      <c r="E1353" s="5">
        <v>55.7335934234</v>
      </c>
      <c r="F1353" s="4">
        <v>406.02876031473886</v>
      </c>
      <c r="G1353" s="1" t="s">
        <v>2463</v>
      </c>
      <c r="H1353" s="95">
        <v>44804.0</v>
      </c>
      <c r="I1353" s="95">
        <v>44814.0</v>
      </c>
      <c r="J1353" s="4">
        <v>427.0221656519108</v>
      </c>
      <c r="K1353" s="1"/>
      <c r="L1353" s="1"/>
      <c r="M1353" s="1" t="str">
        <f>VLOOKUP(B1353,Bounties!A:D,3,FALSE)</f>
        <v>Research</v>
      </c>
      <c r="N1353" s="1" t="str">
        <f>VLOOKUP(B1353,Bounties!A:D,4,FALSE)</f>
        <v>Anti-Scam</v>
      </c>
      <c r="O1353" s="1" t="str">
        <f t="shared" ref="O1353:P1353" si="1357">IF(ISBLANK(K1353),M1353,K1353)</f>
        <v>Research</v>
      </c>
      <c r="P1353" s="1" t="str">
        <f t="shared" si="1357"/>
        <v>Anti-Scam</v>
      </c>
      <c r="Q1353" s="61" t="str">
        <f t="shared" si="3"/>
        <v>2022</v>
      </c>
      <c r="R1353" s="62">
        <f t="shared" si="4"/>
        <v>9</v>
      </c>
      <c r="S1353" s="61" t="str">
        <f t="shared" si="5"/>
        <v>2022-Q3</v>
      </c>
      <c r="T1353" s="63" t="str">
        <f t="shared" si="6"/>
        <v>2022-09</v>
      </c>
      <c r="U1353" s="64" t="str">
        <f t="shared" si="7"/>
        <v>2022-H2</v>
      </c>
      <c r="V1353" s="9" t="str">
        <f>VLOOKUP(B1353,Bounties!A:E,2,FALSE)</f>
        <v>Anti-Scam Bounty</v>
      </c>
    </row>
    <row r="1354" hidden="1">
      <c r="A1354" s="67">
        <f>HYPERLINK("https://polkadot.subsquare.io/treasury/child-bounties/40", 40)</f>
        <v>40</v>
      </c>
      <c r="B1354" s="1">
        <v>11.0</v>
      </c>
      <c r="C1354" s="1" t="s">
        <v>2414</v>
      </c>
      <c r="D1354" s="1" t="s">
        <v>1350</v>
      </c>
      <c r="E1354" s="5">
        <v>55.7335934234</v>
      </c>
      <c r="F1354" s="4">
        <v>406.02876031473886</v>
      </c>
      <c r="G1354" s="1" t="s">
        <v>2438</v>
      </c>
      <c r="H1354" s="95">
        <v>44804.0</v>
      </c>
      <c r="I1354" s="95">
        <v>44813.0</v>
      </c>
      <c r="J1354" s="4">
        <v>427.0221656519108</v>
      </c>
      <c r="K1354" s="1"/>
      <c r="L1354" s="1"/>
      <c r="M1354" s="1" t="str">
        <f>VLOOKUP(B1354,Bounties!A:D,3,FALSE)</f>
        <v>Research</v>
      </c>
      <c r="N1354" s="1" t="str">
        <f>VLOOKUP(B1354,Bounties!A:D,4,FALSE)</f>
        <v>Anti-Scam</v>
      </c>
      <c r="O1354" s="1" t="str">
        <f t="shared" ref="O1354:P1354" si="1358">IF(ISBLANK(K1354),M1354,K1354)</f>
        <v>Research</v>
      </c>
      <c r="P1354" s="1" t="str">
        <f t="shared" si="1358"/>
        <v>Anti-Scam</v>
      </c>
      <c r="Q1354" s="61" t="str">
        <f t="shared" si="3"/>
        <v>2022</v>
      </c>
      <c r="R1354" s="62">
        <f t="shared" si="4"/>
        <v>9</v>
      </c>
      <c r="S1354" s="61" t="str">
        <f t="shared" si="5"/>
        <v>2022-Q3</v>
      </c>
      <c r="T1354" s="63" t="str">
        <f t="shared" si="6"/>
        <v>2022-09</v>
      </c>
      <c r="U1354" s="64" t="str">
        <f t="shared" si="7"/>
        <v>2022-H2</v>
      </c>
      <c r="V1354" s="9" t="str">
        <f>VLOOKUP(B1354,Bounties!A:E,2,FALSE)</f>
        <v>Anti-Scam Bounty</v>
      </c>
    </row>
    <row r="1355" hidden="1">
      <c r="A1355" s="67">
        <f>HYPERLINK("https://polkadot.subsquare.io/treasury/child-bounties/39", 39)</f>
        <v>39</v>
      </c>
      <c r="B1355" s="1">
        <v>11.0</v>
      </c>
      <c r="C1355" s="1" t="s">
        <v>2414</v>
      </c>
      <c r="D1355" s="1" t="s">
        <v>1349</v>
      </c>
      <c r="E1355" s="5">
        <v>684.266667</v>
      </c>
      <c r="F1355" s="4">
        <v>4984.99970055868</v>
      </c>
      <c r="G1355" s="1" t="s">
        <v>2437</v>
      </c>
      <c r="H1355" s="95">
        <v>44804.0</v>
      </c>
      <c r="I1355" s="95">
        <v>44813.0</v>
      </c>
      <c r="J1355" s="4">
        <v>5242.745283010491</v>
      </c>
      <c r="K1355" s="1"/>
      <c r="L1355" s="1"/>
      <c r="M1355" s="1" t="str">
        <f>VLOOKUP(B1355,Bounties!A:D,3,FALSE)</f>
        <v>Research</v>
      </c>
      <c r="N1355" s="1" t="str">
        <f>VLOOKUP(B1355,Bounties!A:D,4,FALSE)</f>
        <v>Anti-Scam</v>
      </c>
      <c r="O1355" s="1" t="str">
        <f t="shared" ref="O1355:P1355" si="1359">IF(ISBLANK(K1355),M1355,K1355)</f>
        <v>Research</v>
      </c>
      <c r="P1355" s="1" t="str">
        <f t="shared" si="1359"/>
        <v>Anti-Scam</v>
      </c>
      <c r="Q1355" s="61" t="str">
        <f t="shared" si="3"/>
        <v>2022</v>
      </c>
      <c r="R1355" s="62">
        <f t="shared" si="4"/>
        <v>9</v>
      </c>
      <c r="S1355" s="61" t="str">
        <f t="shared" si="5"/>
        <v>2022-Q3</v>
      </c>
      <c r="T1355" s="63" t="str">
        <f t="shared" si="6"/>
        <v>2022-09</v>
      </c>
      <c r="U1355" s="64" t="str">
        <f t="shared" si="7"/>
        <v>2022-H2</v>
      </c>
      <c r="V1355" s="9" t="str">
        <f>VLOOKUP(B1355,Bounties!A:E,2,FALSE)</f>
        <v>Anti-Scam Bounty</v>
      </c>
    </row>
    <row r="1356" hidden="1">
      <c r="A1356" s="67">
        <f>HYPERLINK("https://polkadot.subsquare.io/treasury/child-bounties/38", 38)</f>
        <v>38</v>
      </c>
      <c r="B1356" s="1">
        <v>11.0</v>
      </c>
      <c r="C1356" s="1" t="s">
        <v>2414</v>
      </c>
      <c r="D1356" s="1" t="s">
        <v>1348</v>
      </c>
      <c r="E1356" s="5">
        <v>936.616667</v>
      </c>
      <c r="F1356" s="4">
        <v>6823.412610471743</v>
      </c>
      <c r="G1356" s="1" t="s">
        <v>2438</v>
      </c>
      <c r="H1356" s="95">
        <v>44804.0</v>
      </c>
      <c r="I1356" s="95">
        <v>44813.0</v>
      </c>
      <c r="J1356" s="4">
        <v>7176.211921051034</v>
      </c>
      <c r="K1356" s="1"/>
      <c r="L1356" s="1"/>
      <c r="M1356" s="1" t="str">
        <f>VLOOKUP(B1356,Bounties!A:D,3,FALSE)</f>
        <v>Research</v>
      </c>
      <c r="N1356" s="1" t="str">
        <f>VLOOKUP(B1356,Bounties!A:D,4,FALSE)</f>
        <v>Anti-Scam</v>
      </c>
      <c r="O1356" s="1" t="str">
        <f t="shared" ref="O1356:P1356" si="1360">IF(ISBLANK(K1356),M1356,K1356)</f>
        <v>Research</v>
      </c>
      <c r="P1356" s="1" t="str">
        <f t="shared" si="1360"/>
        <v>Anti-Scam</v>
      </c>
      <c r="Q1356" s="61" t="str">
        <f t="shared" si="3"/>
        <v>2022</v>
      </c>
      <c r="R1356" s="62">
        <f t="shared" si="4"/>
        <v>9</v>
      </c>
      <c r="S1356" s="61" t="str">
        <f t="shared" si="5"/>
        <v>2022-Q3</v>
      </c>
      <c r="T1356" s="63" t="str">
        <f t="shared" si="6"/>
        <v>2022-09</v>
      </c>
      <c r="U1356" s="64" t="str">
        <f t="shared" si="7"/>
        <v>2022-H2</v>
      </c>
      <c r="V1356" s="9" t="str">
        <f>VLOOKUP(B1356,Bounties!A:E,2,FALSE)</f>
        <v>Anti-Scam Bounty</v>
      </c>
    </row>
    <row r="1357" hidden="1">
      <c r="A1357" s="67">
        <f>HYPERLINK("https://polkadot.subsquare.io/treasury/child-bounties/37", 37)</f>
        <v>37</v>
      </c>
      <c r="B1357" s="1">
        <v>11.0</v>
      </c>
      <c r="C1357" s="1" t="s">
        <v>2414</v>
      </c>
      <c r="D1357" s="1" t="s">
        <v>1347</v>
      </c>
      <c r="E1357" s="5">
        <v>585.966667</v>
      </c>
      <c r="F1357" s="4">
        <v>4268.867388117808</v>
      </c>
      <c r="G1357" s="1" t="s">
        <v>2463</v>
      </c>
      <c r="H1357" s="95">
        <v>44804.0</v>
      </c>
      <c r="I1357" s="95">
        <v>44816.0</v>
      </c>
      <c r="J1357" s="4">
        <v>4058.727365450228</v>
      </c>
      <c r="K1357" s="1"/>
      <c r="L1357" s="1"/>
      <c r="M1357" s="1" t="str">
        <f>VLOOKUP(B1357,Bounties!A:D,3,FALSE)</f>
        <v>Research</v>
      </c>
      <c r="N1357" s="1" t="str">
        <f>VLOOKUP(B1357,Bounties!A:D,4,FALSE)</f>
        <v>Anti-Scam</v>
      </c>
      <c r="O1357" s="1" t="str">
        <f t="shared" ref="O1357:P1357" si="1361">IF(ISBLANK(K1357),M1357,K1357)</f>
        <v>Research</v>
      </c>
      <c r="P1357" s="1" t="str">
        <f t="shared" si="1361"/>
        <v>Anti-Scam</v>
      </c>
      <c r="Q1357" s="61" t="str">
        <f t="shared" si="3"/>
        <v>2022</v>
      </c>
      <c r="R1357" s="62">
        <f t="shared" si="4"/>
        <v>9</v>
      </c>
      <c r="S1357" s="61" t="str">
        <f t="shared" si="5"/>
        <v>2022-Q3</v>
      </c>
      <c r="T1357" s="63" t="str">
        <f t="shared" si="6"/>
        <v>2022-09</v>
      </c>
      <c r="U1357" s="64" t="str">
        <f t="shared" si="7"/>
        <v>2022-H2</v>
      </c>
      <c r="V1357" s="9" t="str">
        <f>VLOOKUP(B1357,Bounties!A:E,2,FALSE)</f>
        <v>Anti-Scam Bounty</v>
      </c>
    </row>
    <row r="1358" hidden="1">
      <c r="A1358" s="67">
        <f>HYPERLINK("https://polkadot.subsquare.io/treasury/child-bounties/36", 36)</f>
        <v>36</v>
      </c>
      <c r="B1358" s="1">
        <v>11.0</v>
      </c>
      <c r="C1358" s="1" t="s">
        <v>2414</v>
      </c>
      <c r="D1358" s="1" t="s">
        <v>1346</v>
      </c>
      <c r="E1358" s="5">
        <v>651.759024</v>
      </c>
      <c r="F1358" s="4">
        <v>4579.842257083992</v>
      </c>
      <c r="G1358" s="1" t="s">
        <v>2437</v>
      </c>
      <c r="H1358" s="95">
        <v>44801.0</v>
      </c>
      <c r="I1358" s="95">
        <v>44809.0</v>
      </c>
      <c r="J1358" s="4">
        <v>4816.778183403694</v>
      </c>
      <c r="K1358" s="1"/>
      <c r="L1358" s="1"/>
      <c r="M1358" s="1" t="str">
        <f>VLOOKUP(B1358,Bounties!A:D,3,FALSE)</f>
        <v>Research</v>
      </c>
      <c r="N1358" s="1" t="str">
        <f>VLOOKUP(B1358,Bounties!A:D,4,FALSE)</f>
        <v>Anti-Scam</v>
      </c>
      <c r="O1358" s="1" t="str">
        <f t="shared" ref="O1358:P1358" si="1362">IF(ISBLANK(K1358),M1358,K1358)</f>
        <v>Research</v>
      </c>
      <c r="P1358" s="1" t="str">
        <f t="shared" si="1362"/>
        <v>Anti-Scam</v>
      </c>
      <c r="Q1358" s="61" t="str">
        <f t="shared" si="3"/>
        <v>2022</v>
      </c>
      <c r="R1358" s="62">
        <f t="shared" si="4"/>
        <v>9</v>
      </c>
      <c r="S1358" s="61" t="str">
        <f t="shared" si="5"/>
        <v>2022-Q3</v>
      </c>
      <c r="T1358" s="63" t="str">
        <f t="shared" si="6"/>
        <v>2022-09</v>
      </c>
      <c r="U1358" s="64" t="str">
        <f t="shared" si="7"/>
        <v>2022-H2</v>
      </c>
      <c r="V1358" s="9" t="str">
        <f>VLOOKUP(B1358,Bounties!A:E,2,FALSE)</f>
        <v>Anti-Scam Bounty</v>
      </c>
    </row>
    <row r="1359" hidden="1">
      <c r="A1359" s="67">
        <f>HYPERLINK("https://polkadot.subsquare.io/treasury/child-bounties/35", 35)</f>
        <v>35</v>
      </c>
      <c r="B1359" s="1">
        <v>11.0</v>
      </c>
      <c r="C1359" s="1" t="s">
        <v>2414</v>
      </c>
      <c r="D1359" s="1" t="s">
        <v>1345</v>
      </c>
      <c r="E1359" s="5">
        <v>1084.97247</v>
      </c>
      <c r="F1359" s="4">
        <v>7623.987674743409</v>
      </c>
      <c r="G1359" s="1" t="s">
        <v>2438</v>
      </c>
      <c r="H1359" s="95">
        <v>44801.0</v>
      </c>
      <c r="I1359" s="95">
        <v>44810.0</v>
      </c>
      <c r="J1359" s="4">
        <v>8431.174553519224</v>
      </c>
      <c r="K1359" s="1"/>
      <c r="L1359" s="1"/>
      <c r="M1359" s="1" t="str">
        <f>VLOOKUP(B1359,Bounties!A:D,3,FALSE)</f>
        <v>Research</v>
      </c>
      <c r="N1359" s="1" t="str">
        <f>VLOOKUP(B1359,Bounties!A:D,4,FALSE)</f>
        <v>Anti-Scam</v>
      </c>
      <c r="O1359" s="1" t="str">
        <f t="shared" ref="O1359:P1359" si="1363">IF(ISBLANK(K1359),M1359,K1359)</f>
        <v>Research</v>
      </c>
      <c r="P1359" s="1" t="str">
        <f t="shared" si="1363"/>
        <v>Anti-Scam</v>
      </c>
      <c r="Q1359" s="61" t="str">
        <f t="shared" si="3"/>
        <v>2022</v>
      </c>
      <c r="R1359" s="62">
        <f t="shared" si="4"/>
        <v>9</v>
      </c>
      <c r="S1359" s="61" t="str">
        <f t="shared" si="5"/>
        <v>2022-Q3</v>
      </c>
      <c r="T1359" s="63" t="str">
        <f t="shared" si="6"/>
        <v>2022-09</v>
      </c>
      <c r="U1359" s="64" t="str">
        <f t="shared" si="7"/>
        <v>2022-H2</v>
      </c>
      <c r="V1359" s="9" t="str">
        <f>VLOOKUP(B1359,Bounties!A:E,2,FALSE)</f>
        <v>Anti-Scam Bounty</v>
      </c>
    </row>
    <row r="1360" hidden="1">
      <c r="A1360" s="67">
        <f>HYPERLINK("https://polkadot.subsquare.io/treasury/child-bounties/34", 34)</f>
        <v>34</v>
      </c>
      <c r="B1360" s="1">
        <v>11.0</v>
      </c>
      <c r="C1360" s="1" t="s">
        <v>2414</v>
      </c>
      <c r="D1360" s="1" t="s">
        <v>1344</v>
      </c>
      <c r="E1360" s="5">
        <v>645.285007</v>
      </c>
      <c r="F1360" s="4">
        <v>4534.350019097456</v>
      </c>
      <c r="G1360" s="1" t="s">
        <v>2463</v>
      </c>
      <c r="H1360" s="95">
        <v>44801.0</v>
      </c>
      <c r="I1360" s="95">
        <v>44810.0</v>
      </c>
      <c r="J1360" s="4">
        <v>4768.932426465491</v>
      </c>
      <c r="K1360" s="1"/>
      <c r="L1360" s="1"/>
      <c r="M1360" s="1" t="str">
        <f>VLOOKUP(B1360,Bounties!A:D,3,FALSE)</f>
        <v>Research</v>
      </c>
      <c r="N1360" s="1" t="str">
        <f>VLOOKUP(B1360,Bounties!A:D,4,FALSE)</f>
        <v>Anti-Scam</v>
      </c>
      <c r="O1360" s="1" t="str">
        <f t="shared" ref="O1360:P1360" si="1364">IF(ISBLANK(K1360),M1360,K1360)</f>
        <v>Research</v>
      </c>
      <c r="P1360" s="1" t="str">
        <f t="shared" si="1364"/>
        <v>Anti-Scam</v>
      </c>
      <c r="Q1360" s="61" t="str">
        <f t="shared" si="3"/>
        <v>2022</v>
      </c>
      <c r="R1360" s="62">
        <f t="shared" si="4"/>
        <v>9</v>
      </c>
      <c r="S1360" s="61" t="str">
        <f t="shared" si="5"/>
        <v>2022-Q3</v>
      </c>
      <c r="T1360" s="63" t="str">
        <f t="shared" si="6"/>
        <v>2022-09</v>
      </c>
      <c r="U1360" s="64" t="str">
        <f t="shared" si="7"/>
        <v>2022-H2</v>
      </c>
      <c r="V1360" s="9" t="str">
        <f>VLOOKUP(B1360,Bounties!A:E,2,FALSE)</f>
        <v>Anti-Scam Bounty</v>
      </c>
    </row>
    <row r="1361" hidden="1">
      <c r="A1361" s="67">
        <f>HYPERLINK("https://polkadot.subsquare.io/treasury/child-bounties/33", 33)</f>
        <v>33</v>
      </c>
      <c r="B1361" s="1">
        <v>17.0</v>
      </c>
      <c r="C1361" s="1" t="s">
        <v>2414</v>
      </c>
      <c r="D1361" s="1" t="s">
        <v>1343</v>
      </c>
      <c r="E1361" s="5">
        <v>3468.0</v>
      </c>
      <c r="F1361" s="4">
        <v>28991.929790496826</v>
      </c>
      <c r="G1361" s="1" t="s">
        <v>2503</v>
      </c>
      <c r="H1361" s="95">
        <v>44787.0</v>
      </c>
      <c r="I1361" s="95">
        <v>44796.0</v>
      </c>
      <c r="J1361" s="4">
        <v>24012.303926467896</v>
      </c>
      <c r="K1361" s="1"/>
      <c r="L1361" s="1"/>
      <c r="M1361" s="1" t="str">
        <f>VLOOKUP(B1361,Bounties!A:D,3,FALSE)</f>
        <v>Outreach</v>
      </c>
      <c r="N1361" s="1" t="str">
        <f>VLOOKUP(B1361,Bounties!A:D,4,FALSE)</f>
        <v>Events/Meetups</v>
      </c>
      <c r="O1361" s="1" t="str">
        <f t="shared" ref="O1361:P1361" si="1365">IF(ISBLANK(K1361),M1361,K1361)</f>
        <v>Outreach</v>
      </c>
      <c r="P1361" s="1" t="str">
        <f t="shared" si="1365"/>
        <v>Events/Meetups</v>
      </c>
      <c r="Q1361" s="61" t="str">
        <f t="shared" si="3"/>
        <v>2022</v>
      </c>
      <c r="R1361" s="62">
        <f t="shared" si="4"/>
        <v>8</v>
      </c>
      <c r="S1361" s="61" t="str">
        <f t="shared" si="5"/>
        <v>2022-Q3</v>
      </c>
      <c r="T1361" s="63" t="str">
        <f t="shared" si="6"/>
        <v>2022-08</v>
      </c>
      <c r="U1361" s="64" t="str">
        <f t="shared" si="7"/>
        <v>2022-H2</v>
      </c>
      <c r="V1361" s="9" t="str">
        <f>VLOOKUP(B1361,Bounties!A:E,2,FALSE)</f>
        <v>Events Bounty</v>
      </c>
    </row>
    <row r="1362">
      <c r="A1362" s="67">
        <f>HYPERLINK("https://polkadot.subsquare.io/treasury/child-bounties/32", 32)</f>
        <v>32</v>
      </c>
      <c r="B1362" s="1">
        <v>13.0</v>
      </c>
      <c r="C1362" s="1" t="s">
        <v>2414</v>
      </c>
      <c r="D1362" s="67" t="s">
        <v>1342</v>
      </c>
      <c r="E1362" s="5">
        <v>8800.0</v>
      </c>
      <c r="F1362" s="4">
        <v>81560.93978881836</v>
      </c>
      <c r="G1362" s="1" t="s">
        <v>2778</v>
      </c>
      <c r="H1362" s="95">
        <v>44779.0</v>
      </c>
      <c r="I1362" s="95">
        <v>44788.0</v>
      </c>
      <c r="J1362" s="4">
        <v>73566.60385131836</v>
      </c>
      <c r="K1362" s="1"/>
      <c r="L1362" s="1"/>
      <c r="M1362" s="1" t="str">
        <f>VLOOKUP(B1362,Bounties!A:D,3,FALSE)</f>
        <v/>
      </c>
      <c r="N1362" s="1" t="str">
        <f>VLOOKUP(B1362,Bounties!A:D,4,FALSE)</f>
        <v/>
      </c>
      <c r="O1362" s="1" t="str">
        <f t="shared" ref="O1362:P1362" si="1366">IF(ISBLANK(K1362),M1362,K1362)</f>
        <v/>
      </c>
      <c r="P1362" s="1" t="str">
        <f t="shared" si="1366"/>
        <v/>
      </c>
      <c r="Q1362" s="61" t="str">
        <f t="shared" si="3"/>
        <v>2022</v>
      </c>
      <c r="R1362" s="62">
        <f t="shared" si="4"/>
        <v>8</v>
      </c>
      <c r="S1362" s="61" t="str">
        <f t="shared" si="5"/>
        <v>2022-Q3</v>
      </c>
      <c r="T1362" s="63" t="str">
        <f t="shared" si="6"/>
        <v>2022-08</v>
      </c>
      <c r="U1362" s="64" t="str">
        <f t="shared" si="7"/>
        <v>2022-H2</v>
      </c>
      <c r="V1362" s="9" t="str">
        <f>VLOOKUP(B1362,Bounties!A:E,2,FALSE)</f>
        <v>Security Bug Bounty for Open Runtime Module Library (ORML)</v>
      </c>
    </row>
    <row r="1363" hidden="1">
      <c r="A1363" s="67">
        <f>HYPERLINK("https://polkadot.subsquare.io/treasury/child-bounties/31", 31)</f>
        <v>31</v>
      </c>
      <c r="B1363" s="1">
        <v>11.0</v>
      </c>
      <c r="C1363" s="1" t="s">
        <v>2414</v>
      </c>
      <c r="D1363" s="1" t="s">
        <v>1341</v>
      </c>
      <c r="E1363" s="5">
        <v>49.6093266</v>
      </c>
      <c r="F1363" s="4">
        <v>393.84800085587915</v>
      </c>
      <c r="G1363" s="1" t="s">
        <v>2437</v>
      </c>
      <c r="H1363" s="95">
        <v>44773.0</v>
      </c>
      <c r="I1363" s="95">
        <v>44781.0</v>
      </c>
      <c r="J1363" s="4">
        <v>456.85094577998433</v>
      </c>
      <c r="K1363" s="1"/>
      <c r="L1363" s="1"/>
      <c r="M1363" s="1" t="str">
        <f>VLOOKUP(B1363,Bounties!A:D,3,FALSE)</f>
        <v>Research</v>
      </c>
      <c r="N1363" s="1" t="str">
        <f>VLOOKUP(B1363,Bounties!A:D,4,FALSE)</f>
        <v>Anti-Scam</v>
      </c>
      <c r="O1363" s="1" t="str">
        <f t="shared" ref="O1363:P1363" si="1367">IF(ISBLANK(K1363),M1363,K1363)</f>
        <v>Research</v>
      </c>
      <c r="P1363" s="1" t="str">
        <f t="shared" si="1367"/>
        <v>Anti-Scam</v>
      </c>
      <c r="Q1363" s="61" t="str">
        <f t="shared" si="3"/>
        <v>2022</v>
      </c>
      <c r="R1363" s="62">
        <f t="shared" si="4"/>
        <v>8</v>
      </c>
      <c r="S1363" s="61" t="str">
        <f t="shared" si="5"/>
        <v>2022-Q3</v>
      </c>
      <c r="T1363" s="63" t="str">
        <f t="shared" si="6"/>
        <v>2022-08</v>
      </c>
      <c r="U1363" s="64" t="str">
        <f t="shared" si="7"/>
        <v>2022-H2</v>
      </c>
      <c r="V1363" s="9" t="str">
        <f>VLOOKUP(B1363,Bounties!A:E,2,FALSE)</f>
        <v>Anti-Scam Bounty</v>
      </c>
    </row>
    <row r="1364" hidden="1">
      <c r="A1364" s="67">
        <f>HYPERLINK("https://polkadot.subsquare.io/treasury/child-bounties/30", 30)</f>
        <v>30</v>
      </c>
      <c r="B1364" s="1">
        <v>11.0</v>
      </c>
      <c r="C1364" s="1" t="s">
        <v>2414</v>
      </c>
      <c r="D1364" s="1" t="s">
        <v>1340</v>
      </c>
      <c r="E1364" s="5">
        <v>49.6093266</v>
      </c>
      <c r="F1364" s="4">
        <v>393.84800085587915</v>
      </c>
      <c r="G1364" s="1" t="s">
        <v>2463</v>
      </c>
      <c r="H1364" s="95">
        <v>44773.0</v>
      </c>
      <c r="I1364" s="95">
        <v>44782.0</v>
      </c>
      <c r="J1364" s="4">
        <v>456.85094577998433</v>
      </c>
      <c r="K1364" s="1"/>
      <c r="L1364" s="1"/>
      <c r="M1364" s="1" t="str">
        <f>VLOOKUP(B1364,Bounties!A:D,3,FALSE)</f>
        <v>Research</v>
      </c>
      <c r="N1364" s="1" t="str">
        <f>VLOOKUP(B1364,Bounties!A:D,4,FALSE)</f>
        <v>Anti-Scam</v>
      </c>
      <c r="O1364" s="1" t="str">
        <f t="shared" ref="O1364:P1364" si="1368">IF(ISBLANK(K1364),M1364,K1364)</f>
        <v>Research</v>
      </c>
      <c r="P1364" s="1" t="str">
        <f t="shared" si="1368"/>
        <v>Anti-Scam</v>
      </c>
      <c r="Q1364" s="61" t="str">
        <f t="shared" si="3"/>
        <v>2022</v>
      </c>
      <c r="R1364" s="62">
        <f t="shared" si="4"/>
        <v>8</v>
      </c>
      <c r="S1364" s="61" t="str">
        <f t="shared" si="5"/>
        <v>2022-Q3</v>
      </c>
      <c r="T1364" s="63" t="str">
        <f t="shared" si="6"/>
        <v>2022-08</v>
      </c>
      <c r="U1364" s="64" t="str">
        <f t="shared" si="7"/>
        <v>2022-H2</v>
      </c>
      <c r="V1364" s="9" t="str">
        <f>VLOOKUP(B1364,Bounties!A:E,2,FALSE)</f>
        <v>Anti-Scam Bounty</v>
      </c>
    </row>
    <row r="1365" hidden="1">
      <c r="A1365" s="67">
        <f>HYPERLINK("https://polkadot.subsquare.io/treasury/child-bounties/29", 29)</f>
        <v>29</v>
      </c>
      <c r="B1365" s="1">
        <v>11.0</v>
      </c>
      <c r="C1365" s="1" t="s">
        <v>2414</v>
      </c>
      <c r="D1365" s="1" t="s">
        <v>1339</v>
      </c>
      <c r="E1365" s="5">
        <v>49.6093266</v>
      </c>
      <c r="F1365" s="4">
        <v>393.84800085587915</v>
      </c>
      <c r="G1365" s="1" t="s">
        <v>2438</v>
      </c>
      <c r="H1365" s="95">
        <v>44773.0</v>
      </c>
      <c r="I1365" s="95">
        <v>44781.0</v>
      </c>
      <c r="J1365" s="4">
        <v>456.85094577998433</v>
      </c>
      <c r="K1365" s="1"/>
      <c r="L1365" s="1"/>
      <c r="M1365" s="1" t="str">
        <f>VLOOKUP(B1365,Bounties!A:D,3,FALSE)</f>
        <v>Research</v>
      </c>
      <c r="N1365" s="1" t="str">
        <f>VLOOKUP(B1365,Bounties!A:D,4,FALSE)</f>
        <v>Anti-Scam</v>
      </c>
      <c r="O1365" s="1" t="str">
        <f t="shared" ref="O1365:P1365" si="1369">IF(ISBLANK(K1365),M1365,K1365)</f>
        <v>Research</v>
      </c>
      <c r="P1365" s="1" t="str">
        <f t="shared" si="1369"/>
        <v>Anti-Scam</v>
      </c>
      <c r="Q1365" s="61" t="str">
        <f t="shared" si="3"/>
        <v>2022</v>
      </c>
      <c r="R1365" s="62">
        <f t="shared" si="4"/>
        <v>8</v>
      </c>
      <c r="S1365" s="61" t="str">
        <f t="shared" si="5"/>
        <v>2022-Q3</v>
      </c>
      <c r="T1365" s="63" t="str">
        <f t="shared" si="6"/>
        <v>2022-08</v>
      </c>
      <c r="U1365" s="64" t="str">
        <f t="shared" si="7"/>
        <v>2022-H2</v>
      </c>
      <c r="V1365" s="9" t="str">
        <f>VLOOKUP(B1365,Bounties!A:E,2,FALSE)</f>
        <v>Anti-Scam Bounty</v>
      </c>
    </row>
    <row r="1366" hidden="1">
      <c r="A1366" s="67">
        <f>HYPERLINK("https://polkadot.subsquare.io/treasury/child-bounties/28", 28)</f>
        <v>28</v>
      </c>
      <c r="B1366" s="1">
        <v>11.0</v>
      </c>
      <c r="C1366" s="1" t="s">
        <v>2414</v>
      </c>
      <c r="D1366" s="1" t="s">
        <v>1338</v>
      </c>
      <c r="E1366" s="5">
        <v>62.0116581917</v>
      </c>
      <c r="F1366" s="4">
        <v>492.31000060700575</v>
      </c>
      <c r="G1366" s="1" t="s">
        <v>2534</v>
      </c>
      <c r="H1366" s="95">
        <v>44773.0</v>
      </c>
      <c r="I1366" s="95">
        <v>44781.0</v>
      </c>
      <c r="J1366" s="4">
        <v>571.0636816880973</v>
      </c>
      <c r="K1366" s="1"/>
      <c r="L1366" s="1"/>
      <c r="M1366" s="1" t="str">
        <f>VLOOKUP(B1366,Bounties!A:D,3,FALSE)</f>
        <v>Research</v>
      </c>
      <c r="N1366" s="1" t="str">
        <f>VLOOKUP(B1366,Bounties!A:D,4,FALSE)</f>
        <v>Anti-Scam</v>
      </c>
      <c r="O1366" s="1" t="str">
        <f t="shared" ref="O1366:P1366" si="1370">IF(ISBLANK(K1366),M1366,K1366)</f>
        <v>Research</v>
      </c>
      <c r="P1366" s="1" t="str">
        <f t="shared" si="1370"/>
        <v>Anti-Scam</v>
      </c>
      <c r="Q1366" s="61" t="str">
        <f t="shared" si="3"/>
        <v>2022</v>
      </c>
      <c r="R1366" s="62">
        <f t="shared" si="4"/>
        <v>8</v>
      </c>
      <c r="S1366" s="61" t="str">
        <f t="shared" si="5"/>
        <v>2022-Q3</v>
      </c>
      <c r="T1366" s="63" t="str">
        <f t="shared" si="6"/>
        <v>2022-08</v>
      </c>
      <c r="U1366" s="64" t="str">
        <f t="shared" si="7"/>
        <v>2022-H2</v>
      </c>
      <c r="V1366" s="9" t="str">
        <f>VLOOKUP(B1366,Bounties!A:E,2,FALSE)</f>
        <v>Anti-Scam Bounty</v>
      </c>
    </row>
    <row r="1367" hidden="1">
      <c r="A1367" s="67">
        <f>HYPERLINK("https://polkadot.subsquare.io/treasury/child-bounties/27", 27)</f>
        <v>27</v>
      </c>
      <c r="B1367" s="1">
        <v>11.0</v>
      </c>
      <c r="C1367" s="1" t="s">
        <v>2414</v>
      </c>
      <c r="D1367" s="1" t="s">
        <v>1337</v>
      </c>
      <c r="E1367" s="5">
        <v>27.23</v>
      </c>
      <c r="F1367" s="4">
        <v>216.17872683048247</v>
      </c>
      <c r="G1367" s="1" t="s">
        <v>2437</v>
      </c>
      <c r="H1367" s="95">
        <v>44773.0</v>
      </c>
      <c r="I1367" s="95">
        <v>44781.0</v>
      </c>
      <c r="J1367" s="4">
        <v>250.76033290863037</v>
      </c>
      <c r="K1367" s="1"/>
      <c r="L1367" s="1"/>
      <c r="M1367" s="1" t="str">
        <f>VLOOKUP(B1367,Bounties!A:D,3,FALSE)</f>
        <v>Research</v>
      </c>
      <c r="N1367" s="1" t="str">
        <f>VLOOKUP(B1367,Bounties!A:D,4,FALSE)</f>
        <v>Anti-Scam</v>
      </c>
      <c r="O1367" s="1" t="str">
        <f t="shared" ref="O1367:P1367" si="1371">IF(ISBLANK(K1367),M1367,K1367)</f>
        <v>Research</v>
      </c>
      <c r="P1367" s="1" t="str">
        <f t="shared" si="1371"/>
        <v>Anti-Scam</v>
      </c>
      <c r="Q1367" s="61" t="str">
        <f t="shared" si="3"/>
        <v>2022</v>
      </c>
      <c r="R1367" s="62">
        <f t="shared" si="4"/>
        <v>8</v>
      </c>
      <c r="S1367" s="61" t="str">
        <f t="shared" si="5"/>
        <v>2022-Q3</v>
      </c>
      <c r="T1367" s="63" t="str">
        <f t="shared" si="6"/>
        <v>2022-08</v>
      </c>
      <c r="U1367" s="64" t="str">
        <f t="shared" si="7"/>
        <v>2022-H2</v>
      </c>
      <c r="V1367" s="9" t="str">
        <f>VLOOKUP(B1367,Bounties!A:E,2,FALSE)</f>
        <v>Anti-Scam Bounty</v>
      </c>
    </row>
    <row r="1368" hidden="1">
      <c r="A1368" s="67">
        <f>HYPERLINK("https://polkadot.subsquare.io/treasury/child-bounties/26", 26)</f>
        <v>26</v>
      </c>
      <c r="B1368" s="1">
        <v>11.0</v>
      </c>
      <c r="C1368" s="1" t="s">
        <v>2414</v>
      </c>
      <c r="D1368" s="1" t="s">
        <v>1336</v>
      </c>
      <c r="E1368" s="5">
        <v>163.92</v>
      </c>
      <c r="F1368" s="4">
        <v>1190.3077181625365</v>
      </c>
      <c r="G1368" s="1" t="s">
        <v>2437</v>
      </c>
      <c r="H1368" s="95">
        <v>44749.0</v>
      </c>
      <c r="I1368" s="95">
        <v>44759.0</v>
      </c>
      <c r="J1368" s="4">
        <v>1223.5777053451536</v>
      </c>
      <c r="K1368" s="1"/>
      <c r="L1368" s="1"/>
      <c r="M1368" s="1" t="str">
        <f>VLOOKUP(B1368,Bounties!A:D,3,FALSE)</f>
        <v>Research</v>
      </c>
      <c r="N1368" s="1" t="str">
        <f>VLOOKUP(B1368,Bounties!A:D,4,FALSE)</f>
        <v>Anti-Scam</v>
      </c>
      <c r="O1368" s="1" t="str">
        <f t="shared" ref="O1368:P1368" si="1372">IF(ISBLANK(K1368),M1368,K1368)</f>
        <v>Research</v>
      </c>
      <c r="P1368" s="1" t="str">
        <f t="shared" si="1372"/>
        <v>Anti-Scam</v>
      </c>
      <c r="Q1368" s="61" t="str">
        <f t="shared" si="3"/>
        <v>2022</v>
      </c>
      <c r="R1368" s="62">
        <f t="shared" si="4"/>
        <v>7</v>
      </c>
      <c r="S1368" s="61" t="str">
        <f t="shared" si="5"/>
        <v>2022-Q3</v>
      </c>
      <c r="T1368" s="63" t="str">
        <f t="shared" si="6"/>
        <v>2022-07</v>
      </c>
      <c r="U1368" s="64" t="str">
        <f t="shared" si="7"/>
        <v>2022-H2</v>
      </c>
      <c r="V1368" s="9" t="str">
        <f>VLOOKUP(B1368,Bounties!A:E,2,FALSE)</f>
        <v>Anti-Scam Bounty</v>
      </c>
    </row>
    <row r="1369" hidden="1">
      <c r="A1369" s="67">
        <f>HYPERLINK("https://polkadot.subsquare.io/treasury/child-bounties/25", 25)</f>
        <v>25</v>
      </c>
      <c r="B1369" s="1">
        <v>11.0</v>
      </c>
      <c r="C1369" s="1" t="s">
        <v>2414</v>
      </c>
      <c r="D1369" s="1" t="s">
        <v>1335</v>
      </c>
      <c r="E1369" s="5">
        <v>852.58</v>
      </c>
      <c r="F1369" s="4">
        <v>6191.023391599655</v>
      </c>
      <c r="G1369" s="1" t="s">
        <v>2463</v>
      </c>
      <c r="H1369" s="95">
        <v>44749.0</v>
      </c>
      <c r="I1369" s="95">
        <v>44760.0</v>
      </c>
      <c r="J1369" s="4">
        <v>6364.067106046677</v>
      </c>
      <c r="K1369" s="1"/>
      <c r="L1369" s="1"/>
      <c r="M1369" s="1" t="str">
        <f>VLOOKUP(B1369,Bounties!A:D,3,FALSE)</f>
        <v>Research</v>
      </c>
      <c r="N1369" s="1" t="str">
        <f>VLOOKUP(B1369,Bounties!A:D,4,FALSE)</f>
        <v>Anti-Scam</v>
      </c>
      <c r="O1369" s="1" t="str">
        <f t="shared" ref="O1369:P1369" si="1373">IF(ISBLANK(K1369),M1369,K1369)</f>
        <v>Research</v>
      </c>
      <c r="P1369" s="1" t="str">
        <f t="shared" si="1373"/>
        <v>Anti-Scam</v>
      </c>
      <c r="Q1369" s="61" t="str">
        <f t="shared" si="3"/>
        <v>2022</v>
      </c>
      <c r="R1369" s="62">
        <f t="shared" si="4"/>
        <v>7</v>
      </c>
      <c r="S1369" s="61" t="str">
        <f t="shared" si="5"/>
        <v>2022-Q3</v>
      </c>
      <c r="T1369" s="63" t="str">
        <f t="shared" si="6"/>
        <v>2022-07</v>
      </c>
      <c r="U1369" s="64" t="str">
        <f t="shared" si="7"/>
        <v>2022-H2</v>
      </c>
      <c r="V1369" s="9" t="str">
        <f>VLOOKUP(B1369,Bounties!A:E,2,FALSE)</f>
        <v>Anti-Scam Bounty</v>
      </c>
    </row>
    <row r="1370" hidden="1">
      <c r="A1370" s="67">
        <f>HYPERLINK("https://polkadot.subsquare.io/treasury/child-bounties/24", 24)</f>
        <v>24</v>
      </c>
      <c r="B1370" s="1">
        <v>11.0</v>
      </c>
      <c r="C1370" s="1" t="s">
        <v>2414</v>
      </c>
      <c r="D1370" s="1" t="s">
        <v>1334</v>
      </c>
      <c r="E1370" s="5">
        <v>1211.21</v>
      </c>
      <c r="F1370" s="4">
        <v>8795.220908465386</v>
      </c>
      <c r="G1370" s="1" t="s">
        <v>2438</v>
      </c>
      <c r="H1370" s="95">
        <v>44749.0</v>
      </c>
      <c r="I1370" s="95">
        <v>44759.0</v>
      </c>
      <c r="J1370" s="4">
        <v>9041.05388293743</v>
      </c>
      <c r="K1370" s="1"/>
      <c r="L1370" s="1"/>
      <c r="M1370" s="1" t="str">
        <f>VLOOKUP(B1370,Bounties!A:D,3,FALSE)</f>
        <v>Research</v>
      </c>
      <c r="N1370" s="1" t="str">
        <f>VLOOKUP(B1370,Bounties!A:D,4,FALSE)</f>
        <v>Anti-Scam</v>
      </c>
      <c r="O1370" s="1" t="str">
        <f t="shared" ref="O1370:P1370" si="1374">IF(ISBLANK(K1370),M1370,K1370)</f>
        <v>Research</v>
      </c>
      <c r="P1370" s="1" t="str">
        <f t="shared" si="1374"/>
        <v>Anti-Scam</v>
      </c>
      <c r="Q1370" s="61" t="str">
        <f t="shared" si="3"/>
        <v>2022</v>
      </c>
      <c r="R1370" s="62">
        <f t="shared" si="4"/>
        <v>7</v>
      </c>
      <c r="S1370" s="61" t="str">
        <f t="shared" si="5"/>
        <v>2022-Q3</v>
      </c>
      <c r="T1370" s="63" t="str">
        <f t="shared" si="6"/>
        <v>2022-07</v>
      </c>
      <c r="U1370" s="64" t="str">
        <f t="shared" si="7"/>
        <v>2022-H2</v>
      </c>
      <c r="V1370" s="9" t="str">
        <f>VLOOKUP(B1370,Bounties!A:E,2,FALSE)</f>
        <v>Anti-Scam Bounty</v>
      </c>
    </row>
    <row r="1371" hidden="1">
      <c r="A1371" s="67">
        <f>HYPERLINK("https://polkadot.subsquare.io/treasury/child-bounties/23", 23)</f>
        <v>23</v>
      </c>
      <c r="B1371" s="1">
        <v>11.0</v>
      </c>
      <c r="C1371" s="1" t="s">
        <v>2414</v>
      </c>
      <c r="D1371" s="1" t="s">
        <v>1333</v>
      </c>
      <c r="E1371" s="5">
        <v>71.367399372</v>
      </c>
      <c r="F1371" s="4">
        <v>488.8251615260304</v>
      </c>
      <c r="G1371" s="1" t="s">
        <v>2534</v>
      </c>
      <c r="H1371" s="95">
        <v>44745.0</v>
      </c>
      <c r="I1371" s="95">
        <v>44753.0</v>
      </c>
      <c r="J1371" s="4">
        <v>479.48800799462566</v>
      </c>
      <c r="K1371" s="1"/>
      <c r="L1371" s="1"/>
      <c r="M1371" s="1" t="str">
        <f>VLOOKUP(B1371,Bounties!A:D,3,FALSE)</f>
        <v>Research</v>
      </c>
      <c r="N1371" s="1" t="str">
        <f>VLOOKUP(B1371,Bounties!A:D,4,FALSE)</f>
        <v>Anti-Scam</v>
      </c>
      <c r="O1371" s="1" t="str">
        <f t="shared" ref="O1371:P1371" si="1375">IF(ISBLANK(K1371),M1371,K1371)</f>
        <v>Research</v>
      </c>
      <c r="P1371" s="1" t="str">
        <f t="shared" si="1375"/>
        <v>Anti-Scam</v>
      </c>
      <c r="Q1371" s="61" t="str">
        <f t="shared" si="3"/>
        <v>2022</v>
      </c>
      <c r="R1371" s="62">
        <f t="shared" si="4"/>
        <v>7</v>
      </c>
      <c r="S1371" s="61" t="str">
        <f t="shared" si="5"/>
        <v>2022-Q3</v>
      </c>
      <c r="T1371" s="63" t="str">
        <f t="shared" si="6"/>
        <v>2022-07</v>
      </c>
      <c r="U1371" s="64" t="str">
        <f t="shared" si="7"/>
        <v>2022-H2</v>
      </c>
      <c r="V1371" s="9" t="str">
        <f>VLOOKUP(B1371,Bounties!A:E,2,FALSE)</f>
        <v>Anti-Scam Bounty</v>
      </c>
    </row>
    <row r="1372" hidden="1">
      <c r="A1372" s="67">
        <f>HYPERLINK("https://polkadot.subsquare.io/treasury/child-bounties/22", 22)</f>
        <v>22</v>
      </c>
      <c r="B1372" s="1">
        <v>11.0</v>
      </c>
      <c r="C1372" s="1" t="s">
        <v>2414</v>
      </c>
      <c r="D1372" s="1" t="s">
        <v>1332</v>
      </c>
      <c r="E1372" s="5">
        <v>57.0450656</v>
      </c>
      <c r="F1372" s="4">
        <v>390.7255084472549</v>
      </c>
      <c r="G1372" s="1" t="s">
        <v>2463</v>
      </c>
      <c r="H1372" s="95">
        <v>44744.0</v>
      </c>
      <c r="I1372" s="95">
        <v>44772.0</v>
      </c>
      <c r="J1372" s="4">
        <v>452.88026637419586</v>
      </c>
      <c r="K1372" s="1"/>
      <c r="L1372" s="1"/>
      <c r="M1372" s="1" t="str">
        <f>VLOOKUP(B1372,Bounties!A:D,3,FALSE)</f>
        <v>Research</v>
      </c>
      <c r="N1372" s="1" t="str">
        <f>VLOOKUP(B1372,Bounties!A:D,4,FALSE)</f>
        <v>Anti-Scam</v>
      </c>
      <c r="O1372" s="1" t="str">
        <f t="shared" ref="O1372:P1372" si="1376">IF(ISBLANK(K1372),M1372,K1372)</f>
        <v>Research</v>
      </c>
      <c r="P1372" s="1" t="str">
        <f t="shared" si="1376"/>
        <v>Anti-Scam</v>
      </c>
      <c r="Q1372" s="61" t="str">
        <f t="shared" si="3"/>
        <v>2022</v>
      </c>
      <c r="R1372" s="62">
        <f t="shared" si="4"/>
        <v>7</v>
      </c>
      <c r="S1372" s="61" t="str">
        <f t="shared" si="5"/>
        <v>2022-Q3</v>
      </c>
      <c r="T1372" s="63" t="str">
        <f t="shared" si="6"/>
        <v>2022-07</v>
      </c>
      <c r="U1372" s="64" t="str">
        <f t="shared" si="7"/>
        <v>2022-H2</v>
      </c>
      <c r="V1372" s="9" t="str">
        <f>VLOOKUP(B1372,Bounties!A:E,2,FALSE)</f>
        <v>Anti-Scam Bounty</v>
      </c>
    </row>
    <row r="1373" hidden="1">
      <c r="A1373" s="67">
        <f>HYPERLINK("https://polkadot.subsquare.io/treasury/child-bounties/21", 21)</f>
        <v>21</v>
      </c>
      <c r="B1373" s="1">
        <v>11.0</v>
      </c>
      <c r="C1373" s="1" t="s">
        <v>2414</v>
      </c>
      <c r="D1373" s="1" t="s">
        <v>1331</v>
      </c>
      <c r="E1373" s="5">
        <v>57.0450656</v>
      </c>
      <c r="F1373" s="4">
        <v>390.7255084472549</v>
      </c>
      <c r="G1373" s="1" t="s">
        <v>2438</v>
      </c>
      <c r="H1373" s="95">
        <v>44744.0</v>
      </c>
      <c r="I1373" s="95">
        <v>44759.0</v>
      </c>
      <c r="J1373" s="4">
        <v>425.8118012939957</v>
      </c>
      <c r="K1373" s="1"/>
      <c r="L1373" s="1"/>
      <c r="M1373" s="1" t="str">
        <f>VLOOKUP(B1373,Bounties!A:D,3,FALSE)</f>
        <v>Research</v>
      </c>
      <c r="N1373" s="1" t="str">
        <f>VLOOKUP(B1373,Bounties!A:D,4,FALSE)</f>
        <v>Anti-Scam</v>
      </c>
      <c r="O1373" s="1" t="str">
        <f t="shared" ref="O1373:P1373" si="1377">IF(ISBLANK(K1373),M1373,K1373)</f>
        <v>Research</v>
      </c>
      <c r="P1373" s="1" t="str">
        <f t="shared" si="1377"/>
        <v>Anti-Scam</v>
      </c>
      <c r="Q1373" s="61" t="str">
        <f t="shared" si="3"/>
        <v>2022</v>
      </c>
      <c r="R1373" s="62">
        <f t="shared" si="4"/>
        <v>7</v>
      </c>
      <c r="S1373" s="61" t="str">
        <f t="shared" si="5"/>
        <v>2022-Q3</v>
      </c>
      <c r="T1373" s="63" t="str">
        <f t="shared" si="6"/>
        <v>2022-07</v>
      </c>
      <c r="U1373" s="64" t="str">
        <f t="shared" si="7"/>
        <v>2022-H2</v>
      </c>
      <c r="V1373" s="9" t="str">
        <f>VLOOKUP(B1373,Bounties!A:E,2,FALSE)</f>
        <v>Anti-Scam Bounty</v>
      </c>
    </row>
    <row r="1374" hidden="1">
      <c r="A1374" s="67">
        <f>HYPERLINK("https://polkadot.subsquare.io/treasury/child-bounties/20", 20)</f>
        <v>20</v>
      </c>
      <c r="B1374" s="1">
        <v>11.0</v>
      </c>
      <c r="C1374" s="1" t="s">
        <v>2414</v>
      </c>
      <c r="D1374" s="1" t="s">
        <v>1330</v>
      </c>
      <c r="E1374" s="5">
        <v>71.367399372</v>
      </c>
      <c r="F1374" s="4">
        <v>488.8251615260304</v>
      </c>
      <c r="G1374" s="1" t="s">
        <v>2550</v>
      </c>
      <c r="H1374" s="95">
        <v>44744.0</v>
      </c>
      <c r="I1374" s="95">
        <v>44780.0</v>
      </c>
      <c r="J1374" s="4">
        <v>678.138055020363</v>
      </c>
      <c r="K1374" s="1"/>
      <c r="L1374" s="1"/>
      <c r="M1374" s="1" t="str">
        <f>VLOOKUP(B1374,Bounties!A:D,3,FALSE)</f>
        <v>Research</v>
      </c>
      <c r="N1374" s="1" t="str">
        <f>VLOOKUP(B1374,Bounties!A:D,4,FALSE)</f>
        <v>Anti-Scam</v>
      </c>
      <c r="O1374" s="1" t="str">
        <f t="shared" ref="O1374:P1374" si="1378">IF(ISBLANK(K1374),M1374,K1374)</f>
        <v>Research</v>
      </c>
      <c r="P1374" s="1" t="str">
        <f t="shared" si="1378"/>
        <v>Anti-Scam</v>
      </c>
      <c r="Q1374" s="61" t="str">
        <f t="shared" si="3"/>
        <v>2022</v>
      </c>
      <c r="R1374" s="62">
        <f t="shared" si="4"/>
        <v>8</v>
      </c>
      <c r="S1374" s="61" t="str">
        <f t="shared" si="5"/>
        <v>2022-Q3</v>
      </c>
      <c r="T1374" s="63" t="str">
        <f t="shared" si="6"/>
        <v>2022-08</v>
      </c>
      <c r="U1374" s="64" t="str">
        <f t="shared" si="7"/>
        <v>2022-H2</v>
      </c>
      <c r="V1374" s="9" t="str">
        <f>VLOOKUP(B1374,Bounties!A:E,2,FALSE)</f>
        <v>Anti-Scam Bounty</v>
      </c>
    </row>
    <row r="1375" hidden="1">
      <c r="A1375" s="67">
        <f>HYPERLINK("https://polkadot.subsquare.io/treasury/child-bounties/19", 19)</f>
        <v>19</v>
      </c>
      <c r="B1375" s="1">
        <v>11.0</v>
      </c>
      <c r="C1375" s="1" t="s">
        <v>2414</v>
      </c>
      <c r="D1375" s="1" t="s">
        <v>1329</v>
      </c>
      <c r="E1375" s="5">
        <v>100.17</v>
      </c>
      <c r="F1375" s="4">
        <v>742.1105630779266</v>
      </c>
      <c r="G1375" s="1" t="s">
        <v>2463</v>
      </c>
      <c r="H1375" s="95">
        <v>44732.0</v>
      </c>
      <c r="I1375" s="95">
        <v>44745.0</v>
      </c>
      <c r="J1375" s="4">
        <v>686.106217417717</v>
      </c>
      <c r="K1375" s="1"/>
      <c r="L1375" s="1"/>
      <c r="M1375" s="1" t="str">
        <f>VLOOKUP(B1375,Bounties!A:D,3,FALSE)</f>
        <v>Research</v>
      </c>
      <c r="N1375" s="1" t="str">
        <f>VLOOKUP(B1375,Bounties!A:D,4,FALSE)</f>
        <v>Anti-Scam</v>
      </c>
      <c r="O1375" s="1" t="str">
        <f t="shared" ref="O1375:P1375" si="1379">IF(ISBLANK(K1375),M1375,K1375)</f>
        <v>Research</v>
      </c>
      <c r="P1375" s="1" t="str">
        <f t="shared" si="1379"/>
        <v>Anti-Scam</v>
      </c>
      <c r="Q1375" s="61" t="str">
        <f t="shared" si="3"/>
        <v>2022</v>
      </c>
      <c r="R1375" s="62">
        <f t="shared" si="4"/>
        <v>7</v>
      </c>
      <c r="S1375" s="61" t="str">
        <f t="shared" si="5"/>
        <v>2022-Q3</v>
      </c>
      <c r="T1375" s="63" t="str">
        <f t="shared" si="6"/>
        <v>2022-07</v>
      </c>
      <c r="U1375" s="64" t="str">
        <f t="shared" si="7"/>
        <v>2022-H2</v>
      </c>
      <c r="V1375" s="9" t="str">
        <f>VLOOKUP(B1375,Bounties!A:E,2,FALSE)</f>
        <v>Anti-Scam Bounty</v>
      </c>
    </row>
    <row r="1376" hidden="1">
      <c r="A1376" s="67">
        <f>HYPERLINK("https://polkadot.subsquare.io/treasury/child-bounties/18", 18)</f>
        <v>18</v>
      </c>
      <c r="B1376" s="1">
        <v>11.0</v>
      </c>
      <c r="C1376" s="1" t="s">
        <v>2414</v>
      </c>
      <c r="D1376" s="1" t="s">
        <v>1328</v>
      </c>
      <c r="E1376" s="5">
        <v>15.0</v>
      </c>
      <c r="F1376" s="4">
        <v>140.1749610900879</v>
      </c>
      <c r="G1376" s="1" t="s">
        <v>2463</v>
      </c>
      <c r="H1376" s="95">
        <v>44714.0</v>
      </c>
      <c r="I1376" s="95">
        <v>44725.0</v>
      </c>
      <c r="J1376" s="4">
        <v>127.6541805267334</v>
      </c>
      <c r="K1376" s="1"/>
      <c r="L1376" s="1"/>
      <c r="M1376" s="1" t="str">
        <f>VLOOKUP(B1376,Bounties!A:D,3,FALSE)</f>
        <v>Research</v>
      </c>
      <c r="N1376" s="1" t="str">
        <f>VLOOKUP(B1376,Bounties!A:D,4,FALSE)</f>
        <v>Anti-Scam</v>
      </c>
      <c r="O1376" s="1" t="str">
        <f t="shared" ref="O1376:P1376" si="1380">IF(ISBLANK(K1376),M1376,K1376)</f>
        <v>Research</v>
      </c>
      <c r="P1376" s="1" t="str">
        <f t="shared" si="1380"/>
        <v>Anti-Scam</v>
      </c>
      <c r="Q1376" s="61" t="str">
        <f t="shared" si="3"/>
        <v>2022</v>
      </c>
      <c r="R1376" s="62">
        <f t="shared" si="4"/>
        <v>6</v>
      </c>
      <c r="S1376" s="61" t="str">
        <f t="shared" si="5"/>
        <v>2022-Q2</v>
      </c>
      <c r="T1376" s="63" t="str">
        <f t="shared" si="6"/>
        <v>2022-06</v>
      </c>
      <c r="U1376" s="64" t="str">
        <f t="shared" si="7"/>
        <v>2022-H1</v>
      </c>
      <c r="V1376" s="9" t="str">
        <f>VLOOKUP(B1376,Bounties!A:E,2,FALSE)</f>
        <v>Anti-Scam Bounty</v>
      </c>
    </row>
    <row r="1377" hidden="1">
      <c r="A1377" s="67">
        <f>HYPERLINK("https://polkadot.subsquare.io/treasury/child-bounties/17", 17)</f>
        <v>17</v>
      </c>
      <c r="B1377" s="1">
        <v>11.0</v>
      </c>
      <c r="C1377" s="1" t="s">
        <v>2414</v>
      </c>
      <c r="D1377" s="1" t="s">
        <v>1327</v>
      </c>
      <c r="E1377" s="5">
        <v>15.0</v>
      </c>
      <c r="F1377" s="4">
        <v>140.1749610900879</v>
      </c>
      <c r="G1377" s="1" t="s">
        <v>2438</v>
      </c>
      <c r="H1377" s="95">
        <v>44714.0</v>
      </c>
      <c r="I1377" s="95">
        <v>44723.0</v>
      </c>
      <c r="J1377" s="4">
        <v>110.48185586929321</v>
      </c>
      <c r="K1377" s="1"/>
      <c r="L1377" s="1"/>
      <c r="M1377" s="1" t="str">
        <f>VLOOKUP(B1377,Bounties!A:D,3,FALSE)</f>
        <v>Research</v>
      </c>
      <c r="N1377" s="1" t="str">
        <f>VLOOKUP(B1377,Bounties!A:D,4,FALSE)</f>
        <v>Anti-Scam</v>
      </c>
      <c r="O1377" s="1" t="str">
        <f t="shared" ref="O1377:P1377" si="1381">IF(ISBLANK(K1377),M1377,K1377)</f>
        <v>Research</v>
      </c>
      <c r="P1377" s="1" t="str">
        <f t="shared" si="1381"/>
        <v>Anti-Scam</v>
      </c>
      <c r="Q1377" s="61" t="str">
        <f t="shared" si="3"/>
        <v>2022</v>
      </c>
      <c r="R1377" s="62">
        <f t="shared" si="4"/>
        <v>6</v>
      </c>
      <c r="S1377" s="61" t="str">
        <f t="shared" si="5"/>
        <v>2022-Q2</v>
      </c>
      <c r="T1377" s="63" t="str">
        <f t="shared" si="6"/>
        <v>2022-06</v>
      </c>
      <c r="U1377" s="64" t="str">
        <f t="shared" si="7"/>
        <v>2022-H1</v>
      </c>
      <c r="V1377" s="9" t="str">
        <f>VLOOKUP(B1377,Bounties!A:E,2,FALSE)</f>
        <v>Anti-Scam Bounty</v>
      </c>
    </row>
    <row r="1378" hidden="1">
      <c r="A1378" s="67">
        <f>HYPERLINK("https://polkadot.subsquare.io/treasury/child-bounties/16", 16)</f>
        <v>16</v>
      </c>
      <c r="B1378" s="1">
        <v>11.0</v>
      </c>
      <c r="C1378" s="1" t="s">
        <v>2414</v>
      </c>
      <c r="D1378" s="1" t="s">
        <v>1326</v>
      </c>
      <c r="E1378" s="5">
        <v>220.01</v>
      </c>
      <c r="F1378" s="4">
        <v>2074.8246640491484</v>
      </c>
      <c r="G1378" s="1" t="s">
        <v>2463</v>
      </c>
      <c r="H1378" s="95">
        <v>44714.0</v>
      </c>
      <c r="I1378" s="95">
        <v>44725.0</v>
      </c>
      <c r="J1378" s="4">
        <v>1872.3464171791077</v>
      </c>
      <c r="K1378" s="1"/>
      <c r="L1378" s="1"/>
      <c r="M1378" s="1" t="str">
        <f>VLOOKUP(B1378,Bounties!A:D,3,FALSE)</f>
        <v>Research</v>
      </c>
      <c r="N1378" s="1" t="str">
        <f>VLOOKUP(B1378,Bounties!A:D,4,FALSE)</f>
        <v>Anti-Scam</v>
      </c>
      <c r="O1378" s="1" t="str">
        <f t="shared" ref="O1378:P1378" si="1382">IF(ISBLANK(K1378),M1378,K1378)</f>
        <v>Research</v>
      </c>
      <c r="P1378" s="1" t="str">
        <f t="shared" si="1382"/>
        <v>Anti-Scam</v>
      </c>
      <c r="Q1378" s="61" t="str">
        <f t="shared" si="3"/>
        <v>2022</v>
      </c>
      <c r="R1378" s="62">
        <f t="shared" si="4"/>
        <v>6</v>
      </c>
      <c r="S1378" s="61" t="str">
        <f t="shared" si="5"/>
        <v>2022-Q2</v>
      </c>
      <c r="T1378" s="63" t="str">
        <f t="shared" si="6"/>
        <v>2022-06</v>
      </c>
      <c r="U1378" s="64" t="str">
        <f t="shared" si="7"/>
        <v>2022-H1</v>
      </c>
      <c r="V1378" s="9" t="str">
        <f>VLOOKUP(B1378,Bounties!A:E,2,FALSE)</f>
        <v>Anti-Scam Bounty</v>
      </c>
    </row>
    <row r="1379" hidden="1">
      <c r="A1379" s="67">
        <f>HYPERLINK("https://polkadot.subsquare.io/treasury/child-bounties/15", 15)</f>
        <v>15</v>
      </c>
      <c r="B1379" s="1">
        <v>11.0</v>
      </c>
      <c r="C1379" s="1" t="s">
        <v>2414</v>
      </c>
      <c r="D1379" s="1" t="s">
        <v>1325</v>
      </c>
      <c r="E1379" s="5">
        <v>443.75</v>
      </c>
      <c r="F1379" s="4">
        <v>4184.825438261032</v>
      </c>
      <c r="G1379" s="1" t="s">
        <v>2438</v>
      </c>
      <c r="H1379" s="95">
        <v>44714.0</v>
      </c>
      <c r="I1379" s="95">
        <v>44724.0</v>
      </c>
      <c r="J1379" s="4">
        <v>3776.436173915863</v>
      </c>
      <c r="K1379" s="1"/>
      <c r="L1379" s="1"/>
      <c r="M1379" s="1" t="str">
        <f>VLOOKUP(B1379,Bounties!A:D,3,FALSE)</f>
        <v>Research</v>
      </c>
      <c r="N1379" s="1" t="str">
        <f>VLOOKUP(B1379,Bounties!A:D,4,FALSE)</f>
        <v>Anti-Scam</v>
      </c>
      <c r="O1379" s="1" t="str">
        <f t="shared" ref="O1379:P1379" si="1383">IF(ISBLANK(K1379),M1379,K1379)</f>
        <v>Research</v>
      </c>
      <c r="P1379" s="1" t="str">
        <f t="shared" si="1383"/>
        <v>Anti-Scam</v>
      </c>
      <c r="Q1379" s="61" t="str">
        <f t="shared" si="3"/>
        <v>2022</v>
      </c>
      <c r="R1379" s="62">
        <f t="shared" si="4"/>
        <v>6</v>
      </c>
      <c r="S1379" s="61" t="str">
        <f t="shared" si="5"/>
        <v>2022-Q2</v>
      </c>
      <c r="T1379" s="63" t="str">
        <f t="shared" si="6"/>
        <v>2022-06</v>
      </c>
      <c r="U1379" s="64" t="str">
        <f t="shared" si="7"/>
        <v>2022-H1</v>
      </c>
      <c r="V1379" s="9" t="str">
        <f>VLOOKUP(B1379,Bounties!A:E,2,FALSE)</f>
        <v>Anti-Scam Bounty</v>
      </c>
    </row>
    <row r="1380" hidden="1">
      <c r="A1380" s="67">
        <f>HYPERLINK("https://polkadot.subsquare.io/treasury/child-bounties/14", 14)</f>
        <v>14</v>
      </c>
      <c r="B1380" s="1">
        <v>11.0</v>
      </c>
      <c r="C1380" s="1" t="s">
        <v>2414</v>
      </c>
      <c r="D1380" s="1" t="s">
        <v>1324</v>
      </c>
      <c r="E1380" s="5">
        <v>25.0</v>
      </c>
      <c r="F1380" s="4">
        <v>234.42325592041016</v>
      </c>
      <c r="G1380" s="1" t="s">
        <v>2534</v>
      </c>
      <c r="H1380" s="95">
        <v>44712.0</v>
      </c>
      <c r="I1380" s="95">
        <v>44721.0</v>
      </c>
      <c r="J1380" s="4">
        <v>200.40442943572998</v>
      </c>
      <c r="K1380" s="1"/>
      <c r="L1380" s="1"/>
      <c r="M1380" s="1" t="str">
        <f>VLOOKUP(B1380,Bounties!A:D,3,FALSE)</f>
        <v>Research</v>
      </c>
      <c r="N1380" s="1" t="str">
        <f>VLOOKUP(B1380,Bounties!A:D,4,FALSE)</f>
        <v>Anti-Scam</v>
      </c>
      <c r="O1380" s="1" t="str">
        <f t="shared" ref="O1380:P1380" si="1384">IF(ISBLANK(K1380),M1380,K1380)</f>
        <v>Research</v>
      </c>
      <c r="P1380" s="1" t="str">
        <f t="shared" si="1384"/>
        <v>Anti-Scam</v>
      </c>
      <c r="Q1380" s="61" t="str">
        <f t="shared" si="3"/>
        <v>2022</v>
      </c>
      <c r="R1380" s="62">
        <f t="shared" si="4"/>
        <v>6</v>
      </c>
      <c r="S1380" s="61" t="str">
        <f t="shared" si="5"/>
        <v>2022-Q2</v>
      </c>
      <c r="T1380" s="63" t="str">
        <f t="shared" si="6"/>
        <v>2022-06</v>
      </c>
      <c r="U1380" s="64" t="str">
        <f t="shared" si="7"/>
        <v>2022-H1</v>
      </c>
      <c r="V1380" s="9" t="str">
        <f>VLOOKUP(B1380,Bounties!A:E,2,FALSE)</f>
        <v>Anti-Scam Bounty</v>
      </c>
    </row>
    <row r="1381" hidden="1">
      <c r="A1381" s="67">
        <f>HYPERLINK("https://polkadot.subsquare.io/treasury/child-bounties/13", 13)</f>
        <v>13</v>
      </c>
      <c r="B1381" s="1">
        <v>11.0</v>
      </c>
      <c r="C1381" s="1" t="s">
        <v>2414</v>
      </c>
      <c r="D1381" s="1" t="s">
        <v>1323</v>
      </c>
      <c r="E1381" s="5">
        <v>25.0</v>
      </c>
      <c r="F1381" s="4">
        <v>234.42325592041016</v>
      </c>
      <c r="G1381" s="1" t="s">
        <v>2550</v>
      </c>
      <c r="H1381" s="95">
        <v>44712.0</v>
      </c>
      <c r="I1381" s="95">
        <v>44723.0</v>
      </c>
      <c r="J1381" s="4">
        <v>184.13642644882202</v>
      </c>
      <c r="K1381" s="1"/>
      <c r="L1381" s="1"/>
      <c r="M1381" s="1" t="str">
        <f>VLOOKUP(B1381,Bounties!A:D,3,FALSE)</f>
        <v>Research</v>
      </c>
      <c r="N1381" s="1" t="str">
        <f>VLOOKUP(B1381,Bounties!A:D,4,FALSE)</f>
        <v>Anti-Scam</v>
      </c>
      <c r="O1381" s="1" t="str">
        <f t="shared" ref="O1381:P1381" si="1385">IF(ISBLANK(K1381),M1381,K1381)</f>
        <v>Research</v>
      </c>
      <c r="P1381" s="1" t="str">
        <f t="shared" si="1385"/>
        <v>Anti-Scam</v>
      </c>
      <c r="Q1381" s="61" t="str">
        <f t="shared" si="3"/>
        <v>2022</v>
      </c>
      <c r="R1381" s="62">
        <f t="shared" si="4"/>
        <v>6</v>
      </c>
      <c r="S1381" s="61" t="str">
        <f t="shared" si="5"/>
        <v>2022-Q2</v>
      </c>
      <c r="T1381" s="63" t="str">
        <f t="shared" si="6"/>
        <v>2022-06</v>
      </c>
      <c r="U1381" s="64" t="str">
        <f t="shared" si="7"/>
        <v>2022-H1</v>
      </c>
      <c r="V1381" s="9" t="str">
        <f>VLOOKUP(B1381,Bounties!A:E,2,FALSE)</f>
        <v>Anti-Scam Bounty</v>
      </c>
    </row>
    <row r="1382" hidden="1">
      <c r="A1382" s="67">
        <f>HYPERLINK("https://polkadot.subsquare.io/treasury/child-bounties/12", 12)</f>
        <v>12</v>
      </c>
      <c r="B1382" s="1">
        <v>11.0</v>
      </c>
      <c r="C1382" s="1" t="s">
        <v>2414</v>
      </c>
      <c r="D1382" s="1" t="s">
        <v>1322</v>
      </c>
      <c r="E1382" s="5">
        <v>15.0</v>
      </c>
      <c r="F1382" s="4">
        <v>147.99872875213623</v>
      </c>
      <c r="G1382" s="1" t="s">
        <v>2463</v>
      </c>
      <c r="H1382" s="95">
        <v>44703.0</v>
      </c>
      <c r="I1382" s="95">
        <v>44714.0</v>
      </c>
      <c r="J1382" s="4">
        <v>141.45888805389404</v>
      </c>
      <c r="K1382" s="1"/>
      <c r="L1382" s="1"/>
      <c r="M1382" s="1" t="str">
        <f>VLOOKUP(B1382,Bounties!A:D,3,FALSE)</f>
        <v>Research</v>
      </c>
      <c r="N1382" s="1" t="str">
        <f>VLOOKUP(B1382,Bounties!A:D,4,FALSE)</f>
        <v>Anti-Scam</v>
      </c>
      <c r="O1382" s="1" t="str">
        <f t="shared" ref="O1382:P1382" si="1386">IF(ISBLANK(K1382),M1382,K1382)</f>
        <v>Research</v>
      </c>
      <c r="P1382" s="1" t="str">
        <f t="shared" si="1386"/>
        <v>Anti-Scam</v>
      </c>
      <c r="Q1382" s="61" t="str">
        <f t="shared" si="3"/>
        <v>2022</v>
      </c>
      <c r="R1382" s="62">
        <f t="shared" si="4"/>
        <v>6</v>
      </c>
      <c r="S1382" s="61" t="str">
        <f t="shared" si="5"/>
        <v>2022-Q2</v>
      </c>
      <c r="T1382" s="63" t="str">
        <f t="shared" si="6"/>
        <v>2022-06</v>
      </c>
      <c r="U1382" s="64" t="str">
        <f t="shared" si="7"/>
        <v>2022-H1</v>
      </c>
      <c r="V1382" s="9" t="str">
        <f>VLOOKUP(B1382,Bounties!A:E,2,FALSE)</f>
        <v>Anti-Scam Bounty</v>
      </c>
    </row>
    <row r="1383" hidden="1">
      <c r="A1383" s="67">
        <f>HYPERLINK("https://polkadot.subsquare.io/treasury/child-bounties/11", 11)</f>
        <v>11</v>
      </c>
      <c r="B1383" s="1">
        <v>11.0</v>
      </c>
      <c r="C1383" s="1" t="s">
        <v>2414</v>
      </c>
      <c r="D1383" s="1" t="s">
        <v>1321</v>
      </c>
      <c r="E1383" s="5">
        <v>15.0</v>
      </c>
      <c r="F1383" s="4">
        <v>147.99872875213623</v>
      </c>
      <c r="G1383" s="1" t="s">
        <v>2438</v>
      </c>
      <c r="H1383" s="95">
        <v>44703.0</v>
      </c>
      <c r="I1383" s="95">
        <v>44711.0</v>
      </c>
      <c r="J1383" s="4">
        <v>148.4652042388916</v>
      </c>
      <c r="K1383" s="1"/>
      <c r="L1383" s="1"/>
      <c r="M1383" s="1" t="str">
        <f>VLOOKUP(B1383,Bounties!A:D,3,FALSE)</f>
        <v>Research</v>
      </c>
      <c r="N1383" s="1" t="str">
        <f>VLOOKUP(B1383,Bounties!A:D,4,FALSE)</f>
        <v>Anti-Scam</v>
      </c>
      <c r="O1383" s="1" t="str">
        <f t="shared" ref="O1383:P1383" si="1387">IF(ISBLANK(K1383),M1383,K1383)</f>
        <v>Research</v>
      </c>
      <c r="P1383" s="1" t="str">
        <f t="shared" si="1387"/>
        <v>Anti-Scam</v>
      </c>
      <c r="Q1383" s="61" t="str">
        <f t="shared" si="3"/>
        <v>2022</v>
      </c>
      <c r="R1383" s="62">
        <f t="shared" si="4"/>
        <v>5</v>
      </c>
      <c r="S1383" s="61" t="str">
        <f t="shared" si="5"/>
        <v>2022-Q2</v>
      </c>
      <c r="T1383" s="63" t="str">
        <f t="shared" si="6"/>
        <v>2022-05</v>
      </c>
      <c r="U1383" s="64" t="str">
        <f t="shared" si="7"/>
        <v>2022-H1</v>
      </c>
      <c r="V1383" s="9" t="str">
        <f>VLOOKUP(B1383,Bounties!A:E,2,FALSE)</f>
        <v>Anti-Scam Bounty</v>
      </c>
    </row>
    <row r="1384" hidden="1">
      <c r="A1384" s="67">
        <f>HYPERLINK("https://polkadot.subsquare.io/treasury/child-bounties/10", 10)</f>
        <v>10</v>
      </c>
      <c r="B1384" s="1">
        <v>11.0</v>
      </c>
      <c r="C1384" s="1" t="s">
        <v>2414</v>
      </c>
      <c r="D1384" s="1" t="s">
        <v>1320</v>
      </c>
      <c r="E1384" s="5">
        <v>15.0</v>
      </c>
      <c r="F1384" s="4">
        <v>147.99872875213623</v>
      </c>
      <c r="G1384" s="1" t="s">
        <v>2779</v>
      </c>
      <c r="H1384" s="95">
        <v>44703.0</v>
      </c>
      <c r="I1384" s="95">
        <v>44734.0</v>
      </c>
      <c r="J1384" s="4">
        <v>123.0886173248291</v>
      </c>
      <c r="K1384" s="1"/>
      <c r="L1384" s="1"/>
      <c r="M1384" s="1" t="str">
        <f>VLOOKUP(B1384,Bounties!A:D,3,FALSE)</f>
        <v>Research</v>
      </c>
      <c r="N1384" s="1" t="str">
        <f>VLOOKUP(B1384,Bounties!A:D,4,FALSE)</f>
        <v>Anti-Scam</v>
      </c>
      <c r="O1384" s="1" t="str">
        <f t="shared" ref="O1384:P1384" si="1388">IF(ISBLANK(K1384),M1384,K1384)</f>
        <v>Research</v>
      </c>
      <c r="P1384" s="1" t="str">
        <f t="shared" si="1388"/>
        <v>Anti-Scam</v>
      </c>
      <c r="Q1384" s="61" t="str">
        <f t="shared" si="3"/>
        <v>2022</v>
      </c>
      <c r="R1384" s="62">
        <f t="shared" si="4"/>
        <v>6</v>
      </c>
      <c r="S1384" s="61" t="str">
        <f t="shared" si="5"/>
        <v>2022-Q2</v>
      </c>
      <c r="T1384" s="63" t="str">
        <f t="shared" si="6"/>
        <v>2022-06</v>
      </c>
      <c r="U1384" s="64" t="str">
        <f t="shared" si="7"/>
        <v>2022-H1</v>
      </c>
      <c r="V1384" s="9" t="str">
        <f>VLOOKUP(B1384,Bounties!A:E,2,FALSE)</f>
        <v>Anti-Scam Bounty</v>
      </c>
    </row>
    <row r="1385" hidden="1">
      <c r="A1385" s="67">
        <f>HYPERLINK("https://polkadot.subsquare.io/treasury/child-bounties/9", 9)</f>
        <v>9</v>
      </c>
      <c r="B1385" s="1">
        <v>11.0</v>
      </c>
      <c r="C1385" s="1" t="s">
        <v>2414</v>
      </c>
      <c r="D1385" s="1" t="s">
        <v>1319</v>
      </c>
      <c r="E1385" s="5">
        <v>15.0</v>
      </c>
      <c r="F1385" s="4">
        <v>147.99872875213623</v>
      </c>
      <c r="G1385" s="1" t="s">
        <v>2780</v>
      </c>
      <c r="H1385" s="95">
        <v>44703.0</v>
      </c>
      <c r="I1385" s="95">
        <v>45014.0</v>
      </c>
      <c r="J1385" s="4">
        <v>95.11535882949829</v>
      </c>
      <c r="K1385" s="1"/>
      <c r="L1385" s="1"/>
      <c r="M1385" s="1" t="str">
        <f>VLOOKUP(B1385,Bounties!A:D,3,FALSE)</f>
        <v>Research</v>
      </c>
      <c r="N1385" s="1" t="str">
        <f>VLOOKUP(B1385,Bounties!A:D,4,FALSE)</f>
        <v>Anti-Scam</v>
      </c>
      <c r="O1385" s="1" t="str">
        <f t="shared" ref="O1385:P1385" si="1389">IF(ISBLANK(K1385),M1385,K1385)</f>
        <v>Research</v>
      </c>
      <c r="P1385" s="1" t="str">
        <f t="shared" si="1389"/>
        <v>Anti-Scam</v>
      </c>
      <c r="Q1385" s="61" t="str">
        <f t="shared" si="3"/>
        <v>2023</v>
      </c>
      <c r="R1385" s="62">
        <f t="shared" si="4"/>
        <v>3</v>
      </c>
      <c r="S1385" s="61" t="str">
        <f t="shared" si="5"/>
        <v>2023-Q1</v>
      </c>
      <c r="T1385" s="63" t="str">
        <f t="shared" si="6"/>
        <v>2023-03</v>
      </c>
      <c r="U1385" s="64" t="str">
        <f t="shared" si="7"/>
        <v>2023-H1</v>
      </c>
      <c r="V1385" s="9" t="str">
        <f>VLOOKUP(B1385,Bounties!A:E,2,FALSE)</f>
        <v>Anti-Scam Bounty</v>
      </c>
    </row>
    <row r="1386" hidden="1">
      <c r="A1386" s="67">
        <f>HYPERLINK("https://polkadot.subsquare.io/treasury/child-bounties/8", 8)</f>
        <v>8</v>
      </c>
      <c r="B1386" s="1">
        <v>11.0</v>
      </c>
      <c r="C1386" s="1" t="s">
        <v>2414</v>
      </c>
      <c r="D1386" s="1" t="s">
        <v>1318</v>
      </c>
      <c r="E1386" s="5">
        <v>168.145</v>
      </c>
      <c r="F1386" s="4">
        <v>1855.3516045331955</v>
      </c>
      <c r="G1386" s="1" t="s">
        <v>2780</v>
      </c>
      <c r="H1386" s="95">
        <v>44695.0</v>
      </c>
      <c r="I1386" s="95">
        <v>44707.0</v>
      </c>
      <c r="J1386" s="4">
        <v>1678.2008754825592</v>
      </c>
      <c r="K1386" s="1"/>
      <c r="L1386" s="1"/>
      <c r="M1386" s="1" t="str">
        <f>VLOOKUP(B1386,Bounties!A:D,3,FALSE)</f>
        <v>Research</v>
      </c>
      <c r="N1386" s="1" t="str">
        <f>VLOOKUP(B1386,Bounties!A:D,4,FALSE)</f>
        <v>Anti-Scam</v>
      </c>
      <c r="O1386" s="1" t="str">
        <f t="shared" ref="O1386:P1386" si="1390">IF(ISBLANK(K1386),M1386,K1386)</f>
        <v>Research</v>
      </c>
      <c r="P1386" s="1" t="str">
        <f t="shared" si="1390"/>
        <v>Anti-Scam</v>
      </c>
      <c r="Q1386" s="61" t="str">
        <f t="shared" si="3"/>
        <v>2022</v>
      </c>
      <c r="R1386" s="62">
        <f t="shared" si="4"/>
        <v>5</v>
      </c>
      <c r="S1386" s="61" t="str">
        <f t="shared" si="5"/>
        <v>2022-Q2</v>
      </c>
      <c r="T1386" s="63" t="str">
        <f t="shared" si="6"/>
        <v>2022-05</v>
      </c>
      <c r="U1386" s="64" t="str">
        <f t="shared" si="7"/>
        <v>2022-H1</v>
      </c>
      <c r="V1386" s="9" t="str">
        <f>VLOOKUP(B1386,Bounties!A:E,2,FALSE)</f>
        <v>Anti-Scam Bounty</v>
      </c>
    </row>
    <row r="1387" hidden="1">
      <c r="A1387" s="67">
        <f>HYPERLINK("https://polkadot.subsquare.io/treasury/child-bounties/7", 7)</f>
        <v>7</v>
      </c>
      <c r="B1387" s="1">
        <v>11.0</v>
      </c>
      <c r="C1387" s="1" t="s">
        <v>2414</v>
      </c>
      <c r="D1387" s="1" t="s">
        <v>1317</v>
      </c>
      <c r="E1387" s="5">
        <v>554.47625</v>
      </c>
      <c r="F1387" s="4">
        <v>6118.221773546935</v>
      </c>
      <c r="G1387" s="1" t="s">
        <v>2438</v>
      </c>
      <c r="H1387" s="95">
        <v>44695.0</v>
      </c>
      <c r="I1387" s="95">
        <v>44708.0</v>
      </c>
      <c r="J1387" s="4">
        <v>5796.991513363124</v>
      </c>
      <c r="K1387" s="1"/>
      <c r="L1387" s="1"/>
      <c r="M1387" s="1" t="str">
        <f>VLOOKUP(B1387,Bounties!A:D,3,FALSE)</f>
        <v>Research</v>
      </c>
      <c r="N1387" s="1" t="str">
        <f>VLOOKUP(B1387,Bounties!A:D,4,FALSE)</f>
        <v>Anti-Scam</v>
      </c>
      <c r="O1387" s="1" t="str">
        <f t="shared" ref="O1387:P1387" si="1391">IF(ISBLANK(K1387),M1387,K1387)</f>
        <v>Research</v>
      </c>
      <c r="P1387" s="1" t="str">
        <f t="shared" si="1391"/>
        <v>Anti-Scam</v>
      </c>
      <c r="Q1387" s="61" t="str">
        <f t="shared" si="3"/>
        <v>2022</v>
      </c>
      <c r="R1387" s="62">
        <f t="shared" si="4"/>
        <v>5</v>
      </c>
      <c r="S1387" s="61" t="str">
        <f t="shared" si="5"/>
        <v>2022-Q2</v>
      </c>
      <c r="T1387" s="63" t="str">
        <f t="shared" si="6"/>
        <v>2022-05</v>
      </c>
      <c r="U1387" s="64" t="str">
        <f t="shared" si="7"/>
        <v>2022-H1</v>
      </c>
      <c r="V1387" s="9" t="str">
        <f>VLOOKUP(B1387,Bounties!A:E,2,FALSE)</f>
        <v>Anti-Scam Bounty</v>
      </c>
    </row>
    <row r="1388" hidden="1">
      <c r="A1388" s="67">
        <f>HYPERLINK("https://polkadot.subsquare.io/treasury/child-bounties/6", 6)</f>
        <v>6</v>
      </c>
      <c r="B1388" s="1">
        <v>11.0</v>
      </c>
      <c r="C1388" s="1" t="s">
        <v>2414</v>
      </c>
      <c r="D1388" s="1" t="s">
        <v>1316</v>
      </c>
      <c r="E1388" s="5">
        <v>494.47625</v>
      </c>
      <c r="F1388" s="4">
        <v>5456.167616289854</v>
      </c>
      <c r="G1388" s="1" t="s">
        <v>2463</v>
      </c>
      <c r="H1388" s="95">
        <v>44695.0</v>
      </c>
      <c r="I1388" s="95">
        <v>44706.0</v>
      </c>
      <c r="J1388" s="4">
        <v>4515.508999841213</v>
      </c>
      <c r="K1388" s="1"/>
      <c r="L1388" s="1"/>
      <c r="M1388" s="1" t="str">
        <f>VLOOKUP(B1388,Bounties!A:D,3,FALSE)</f>
        <v>Research</v>
      </c>
      <c r="N1388" s="1" t="str">
        <f>VLOOKUP(B1388,Bounties!A:D,4,FALSE)</f>
        <v>Anti-Scam</v>
      </c>
      <c r="O1388" s="1" t="str">
        <f t="shared" ref="O1388:P1388" si="1392">IF(ISBLANK(K1388),M1388,K1388)</f>
        <v>Research</v>
      </c>
      <c r="P1388" s="1" t="str">
        <f t="shared" si="1392"/>
        <v>Anti-Scam</v>
      </c>
      <c r="Q1388" s="61" t="str">
        <f t="shared" si="3"/>
        <v>2022</v>
      </c>
      <c r="R1388" s="62">
        <f t="shared" si="4"/>
        <v>5</v>
      </c>
      <c r="S1388" s="61" t="str">
        <f t="shared" si="5"/>
        <v>2022-Q2</v>
      </c>
      <c r="T1388" s="63" t="str">
        <f t="shared" si="6"/>
        <v>2022-05</v>
      </c>
      <c r="U1388" s="64" t="str">
        <f t="shared" si="7"/>
        <v>2022-H1</v>
      </c>
      <c r="V1388" s="9" t="str">
        <f>VLOOKUP(B1388,Bounties!A:E,2,FALSE)</f>
        <v>Anti-Scam Bounty</v>
      </c>
    </row>
    <row r="1389" hidden="1">
      <c r="A1389" s="67">
        <f>HYPERLINK("https://polkadot.subsquare.io/treasury/child-bounties/5", 5)</f>
        <v>5</v>
      </c>
      <c r="B1389" s="1">
        <v>11.0</v>
      </c>
      <c r="C1389" s="1" t="s">
        <v>2414</v>
      </c>
      <c r="D1389" s="1" t="s">
        <v>1315</v>
      </c>
      <c r="E1389" s="5">
        <v>464.0325</v>
      </c>
      <c r="F1389" s="4">
        <v>5120.244095456601</v>
      </c>
      <c r="G1389" s="1" t="s">
        <v>2779</v>
      </c>
      <c r="H1389" s="95">
        <v>44695.0</v>
      </c>
      <c r="I1389" s="95">
        <v>44711.0</v>
      </c>
      <c r="J1389" s="4">
        <v>4592.845325732232</v>
      </c>
      <c r="K1389" s="1"/>
      <c r="L1389" s="1"/>
      <c r="M1389" s="1" t="str">
        <f>VLOOKUP(B1389,Bounties!A:D,3,FALSE)</f>
        <v>Research</v>
      </c>
      <c r="N1389" s="1" t="str">
        <f>VLOOKUP(B1389,Bounties!A:D,4,FALSE)</f>
        <v>Anti-Scam</v>
      </c>
      <c r="O1389" s="1" t="str">
        <f t="shared" ref="O1389:P1389" si="1393">IF(ISBLANK(K1389),M1389,K1389)</f>
        <v>Research</v>
      </c>
      <c r="P1389" s="1" t="str">
        <f t="shared" si="1393"/>
        <v>Anti-Scam</v>
      </c>
      <c r="Q1389" s="61" t="str">
        <f t="shared" si="3"/>
        <v>2022</v>
      </c>
      <c r="R1389" s="62">
        <f t="shared" si="4"/>
        <v>5</v>
      </c>
      <c r="S1389" s="61" t="str">
        <f t="shared" si="5"/>
        <v>2022-Q2</v>
      </c>
      <c r="T1389" s="63" t="str">
        <f t="shared" si="6"/>
        <v>2022-05</v>
      </c>
      <c r="U1389" s="64" t="str">
        <f t="shared" si="7"/>
        <v>2022-H1</v>
      </c>
      <c r="V1389" s="9" t="str">
        <f>VLOOKUP(B1389,Bounties!A:E,2,FALSE)</f>
        <v>Anti-Scam Bounty</v>
      </c>
    </row>
    <row r="1390" hidden="1">
      <c r="A1390" s="67">
        <f>HYPERLINK("https://polkadot.subsquare.io/treasury/child-bounties/4", 4)</f>
        <v>4</v>
      </c>
      <c r="B1390" s="1">
        <v>11.0</v>
      </c>
      <c r="C1390" s="1" t="s">
        <v>2414</v>
      </c>
      <c r="D1390" s="1" t="s">
        <v>1314</v>
      </c>
      <c r="E1390" s="5">
        <v>27.0</v>
      </c>
      <c r="F1390" s="4">
        <v>306.4683952331543</v>
      </c>
      <c r="G1390" s="1" t="s">
        <v>2534</v>
      </c>
      <c r="H1390" s="95">
        <v>44692.0</v>
      </c>
      <c r="I1390" s="95">
        <v>44701.0</v>
      </c>
      <c r="J1390" s="4">
        <v>266.9479465484619</v>
      </c>
      <c r="K1390" s="1"/>
      <c r="L1390" s="1"/>
      <c r="M1390" s="1" t="str">
        <f>VLOOKUP(B1390,Bounties!A:D,3,FALSE)</f>
        <v>Research</v>
      </c>
      <c r="N1390" s="1" t="str">
        <f>VLOOKUP(B1390,Bounties!A:D,4,FALSE)</f>
        <v>Anti-Scam</v>
      </c>
      <c r="O1390" s="1" t="str">
        <f t="shared" ref="O1390:P1390" si="1394">IF(ISBLANK(K1390),M1390,K1390)</f>
        <v>Research</v>
      </c>
      <c r="P1390" s="1" t="str">
        <f t="shared" si="1394"/>
        <v>Anti-Scam</v>
      </c>
      <c r="Q1390" s="61" t="str">
        <f t="shared" si="3"/>
        <v>2022</v>
      </c>
      <c r="R1390" s="62">
        <f t="shared" si="4"/>
        <v>5</v>
      </c>
      <c r="S1390" s="61" t="str">
        <f t="shared" si="5"/>
        <v>2022-Q2</v>
      </c>
      <c r="T1390" s="63" t="str">
        <f t="shared" si="6"/>
        <v>2022-05</v>
      </c>
      <c r="U1390" s="64" t="str">
        <f t="shared" si="7"/>
        <v>2022-H1</v>
      </c>
      <c r="V1390" s="9" t="str">
        <f>VLOOKUP(B1390,Bounties!A:E,2,FALSE)</f>
        <v>Anti-Scam Bounty</v>
      </c>
    </row>
    <row r="1391" hidden="1">
      <c r="A1391" s="67">
        <f>HYPERLINK("https://polkadot.subsquare.io/treasury/child-bounties/3", 3)</f>
        <v>3</v>
      </c>
      <c r="B1391" s="1">
        <v>11.0</v>
      </c>
      <c r="C1391" s="1" t="s">
        <v>2414</v>
      </c>
      <c r="D1391" s="1" t="s">
        <v>1313</v>
      </c>
      <c r="E1391" s="5">
        <v>27.0</v>
      </c>
      <c r="F1391" s="4">
        <v>283.31911182403564</v>
      </c>
      <c r="G1391" s="1" t="s">
        <v>2550</v>
      </c>
      <c r="H1391" s="95">
        <v>44692.0</v>
      </c>
      <c r="I1391" s="95">
        <v>44703.0</v>
      </c>
      <c r="J1391" s="4">
        <v>266.3977117538452</v>
      </c>
      <c r="K1391" s="1"/>
      <c r="L1391" s="1"/>
      <c r="M1391" s="1" t="str">
        <f>VLOOKUP(B1391,Bounties!A:D,3,FALSE)</f>
        <v>Research</v>
      </c>
      <c r="N1391" s="1" t="str">
        <f>VLOOKUP(B1391,Bounties!A:D,4,FALSE)</f>
        <v>Anti-Scam</v>
      </c>
      <c r="O1391" s="1" t="str">
        <f t="shared" ref="O1391:P1391" si="1395">IF(ISBLANK(K1391),M1391,K1391)</f>
        <v>Research</v>
      </c>
      <c r="P1391" s="1" t="str">
        <f t="shared" si="1395"/>
        <v>Anti-Scam</v>
      </c>
      <c r="Q1391" s="61" t="str">
        <f t="shared" si="3"/>
        <v>2022</v>
      </c>
      <c r="R1391" s="62">
        <f t="shared" si="4"/>
        <v>5</v>
      </c>
      <c r="S1391" s="61" t="str">
        <f t="shared" si="5"/>
        <v>2022-Q2</v>
      </c>
      <c r="T1391" s="63" t="str">
        <f t="shared" si="6"/>
        <v>2022-05</v>
      </c>
      <c r="U1391" s="64" t="str">
        <f t="shared" si="7"/>
        <v>2022-H1</v>
      </c>
      <c r="V1391" s="9" t="str">
        <f>VLOOKUP(B1391,Bounties!A:E,2,FALSE)</f>
        <v>Anti-Scam Bounty</v>
      </c>
    </row>
    <row r="1392" hidden="1">
      <c r="A1392" s="67">
        <f>HYPERLINK("https://polkadot.subsquare.io/treasury/child-bounties/2", 2)</f>
        <v>2</v>
      </c>
      <c r="B1392" s="1">
        <v>11.0</v>
      </c>
      <c r="C1392" s="1" t="s">
        <v>2414</v>
      </c>
      <c r="D1392" s="1" t="s">
        <v>1312</v>
      </c>
      <c r="E1392" s="5">
        <v>373.0</v>
      </c>
      <c r="F1392" s="4">
        <v>5138.318881988525</v>
      </c>
      <c r="G1392" s="1" t="s">
        <v>2438</v>
      </c>
      <c r="H1392" s="95">
        <v>44685.0</v>
      </c>
      <c r="I1392" s="95">
        <v>44695.0</v>
      </c>
      <c r="J1392" s="4">
        <v>3962.9887590408325</v>
      </c>
      <c r="K1392" s="1"/>
      <c r="L1392" s="1"/>
      <c r="M1392" s="1" t="str">
        <f>VLOOKUP(B1392,Bounties!A:D,3,FALSE)</f>
        <v>Research</v>
      </c>
      <c r="N1392" s="1" t="str">
        <f>VLOOKUP(B1392,Bounties!A:D,4,FALSE)</f>
        <v>Anti-Scam</v>
      </c>
      <c r="O1392" s="1" t="str">
        <f t="shared" ref="O1392:P1392" si="1396">IF(ISBLANK(K1392),M1392,K1392)</f>
        <v>Research</v>
      </c>
      <c r="P1392" s="1" t="str">
        <f t="shared" si="1396"/>
        <v>Anti-Scam</v>
      </c>
      <c r="Q1392" s="61" t="str">
        <f t="shared" si="3"/>
        <v>2022</v>
      </c>
      <c r="R1392" s="62">
        <f t="shared" si="4"/>
        <v>5</v>
      </c>
      <c r="S1392" s="61" t="str">
        <f t="shared" si="5"/>
        <v>2022-Q2</v>
      </c>
      <c r="T1392" s="63" t="str">
        <f t="shared" si="6"/>
        <v>2022-05</v>
      </c>
      <c r="U1392" s="64" t="str">
        <f t="shared" si="7"/>
        <v>2022-H1</v>
      </c>
      <c r="V1392" s="9" t="str">
        <f>VLOOKUP(B1392,Bounties!A:E,2,FALSE)</f>
        <v>Anti-Scam Bounty</v>
      </c>
    </row>
    <row r="1393" hidden="1">
      <c r="A1393" s="67">
        <f>HYPERLINK("https://polkadot.subsquare.io/treasury/child-bounties/1", 1)</f>
        <v>1</v>
      </c>
      <c r="B1393" s="1">
        <v>11.0</v>
      </c>
      <c r="C1393" s="1" t="s">
        <v>2414</v>
      </c>
      <c r="D1393" s="1" t="s">
        <v>1311</v>
      </c>
      <c r="E1393" s="5">
        <v>238.0</v>
      </c>
      <c r="F1393" s="4">
        <v>3278.605613708496</v>
      </c>
      <c r="G1393" s="1" t="s">
        <v>2463</v>
      </c>
      <c r="H1393" s="95">
        <v>44685.0</v>
      </c>
      <c r="I1393" s="95">
        <v>44694.0</v>
      </c>
      <c r="J1393" s="4">
        <v>2528.6630687713623</v>
      </c>
      <c r="K1393" s="1"/>
      <c r="L1393" s="1"/>
      <c r="M1393" s="1" t="str">
        <f>VLOOKUP(B1393,Bounties!A:D,3,FALSE)</f>
        <v>Research</v>
      </c>
      <c r="N1393" s="1" t="str">
        <f>VLOOKUP(B1393,Bounties!A:D,4,FALSE)</f>
        <v>Anti-Scam</v>
      </c>
      <c r="O1393" s="1" t="str">
        <f t="shared" ref="O1393:P1393" si="1397">IF(ISBLANK(K1393),M1393,K1393)</f>
        <v>Research</v>
      </c>
      <c r="P1393" s="1" t="str">
        <f t="shared" si="1397"/>
        <v>Anti-Scam</v>
      </c>
      <c r="Q1393" s="61" t="str">
        <f t="shared" si="3"/>
        <v>2022</v>
      </c>
      <c r="R1393" s="62">
        <f t="shared" si="4"/>
        <v>5</v>
      </c>
      <c r="S1393" s="61" t="str">
        <f t="shared" si="5"/>
        <v>2022-Q2</v>
      </c>
      <c r="T1393" s="63" t="str">
        <f t="shared" si="6"/>
        <v>2022-05</v>
      </c>
      <c r="U1393" s="64" t="str">
        <f t="shared" si="7"/>
        <v>2022-H1</v>
      </c>
      <c r="V1393" s="9" t="str">
        <f>VLOOKUP(B1393,Bounties!A:E,2,FALSE)</f>
        <v>Anti-Scam Bounty</v>
      </c>
    </row>
    <row r="1394" hidden="1">
      <c r="A1394" s="67">
        <f>HYPERLINK("https://polkadot.subsquare.io/treasury/child-bounties/0", 0)</f>
        <v>0</v>
      </c>
      <c r="B1394" s="1">
        <v>11.0</v>
      </c>
      <c r="C1394" s="1" t="s">
        <v>2414</v>
      </c>
      <c r="D1394" s="1" t="s">
        <v>1310</v>
      </c>
      <c r="E1394" s="5">
        <v>140.0</v>
      </c>
      <c r="F1394" s="4">
        <v>2003.8342475891113</v>
      </c>
      <c r="G1394" s="1" t="s">
        <v>2779</v>
      </c>
      <c r="H1394" s="95">
        <v>44684.0</v>
      </c>
      <c r="I1394" s="95">
        <v>44694.0</v>
      </c>
      <c r="J1394" s="4">
        <v>1487.4488639831543</v>
      </c>
      <c r="K1394" s="1"/>
      <c r="L1394" s="1"/>
      <c r="M1394" s="1" t="str">
        <f>VLOOKUP(B1394,Bounties!A:D,3,FALSE)</f>
        <v>Research</v>
      </c>
      <c r="N1394" s="1" t="str">
        <f>VLOOKUP(B1394,Bounties!A:D,4,FALSE)</f>
        <v>Anti-Scam</v>
      </c>
      <c r="O1394" s="1" t="str">
        <f t="shared" ref="O1394:P1394" si="1398">IF(ISBLANK(K1394),M1394,K1394)</f>
        <v>Research</v>
      </c>
      <c r="P1394" s="1" t="str">
        <f t="shared" si="1398"/>
        <v>Anti-Scam</v>
      </c>
      <c r="Q1394" s="61" t="str">
        <f t="shared" si="3"/>
        <v>2022</v>
      </c>
      <c r="R1394" s="62">
        <f t="shared" si="4"/>
        <v>5</v>
      </c>
      <c r="S1394" s="61" t="str">
        <f t="shared" si="5"/>
        <v>2022-Q2</v>
      </c>
      <c r="T1394" s="63" t="str">
        <f t="shared" si="6"/>
        <v>2022-05</v>
      </c>
      <c r="U1394" s="64" t="str">
        <f t="shared" si="7"/>
        <v>2022-H1</v>
      </c>
      <c r="V1394" s="9" t="str">
        <f>VLOOKUP(B1394,Bounties!A:E,2,FALSE)</f>
        <v>Anti-Scam Bounty</v>
      </c>
    </row>
  </sheetData>
  <autoFilter ref="$A$1:$Z$1394">
    <filterColumn colId="1">
      <filters>
        <filter val="13"/>
      </filters>
    </filterColumn>
  </autoFilter>
  <dataValidations>
    <dataValidation type="list" allowBlank="1" showErrorMessage="1" sqref="L210:L212 L256:L260 L399 L408 L414 L417:L421 L508 L549:L552 L562:L563 L621:L622 L677 L695 L698 L749">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Operations,Security,Advertising/Sponsorships,Adv"&amp;"ertising/Influencers,Advertising/Digital Ads,Advertising/Physical Ads,Advertising/Platform Integrations"</formula1>
    </dataValidation>
    <dataValidation type="list" allowBlank="1" showErrorMessage="1" sqref="K210:K212 K256:K260 K399 K408 K414 K417:K421 K508 K549:K552 K562:K563 K621:K622 K677 K695 K698 K749">
      <formula1>"Development,Operations,Outreach,Research,Talent &amp; Education,Economy"</formula1>
    </dataValidation>
  </dataValidations>
  <hyperlinks>
    <hyperlink r:id="rId1" ref="D1188"/>
    <hyperlink r:id="rId2" ref="D1362"/>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7.14"/>
    <col customWidth="1" min="3" max="3" width="22.86"/>
    <col customWidth="1" min="4" max="4" width="26.43"/>
  </cols>
  <sheetData>
    <row r="1">
      <c r="A1" s="101" t="s">
        <v>945</v>
      </c>
      <c r="B1" s="101" t="s">
        <v>1844</v>
      </c>
      <c r="C1" s="96" t="s">
        <v>64</v>
      </c>
      <c r="D1" s="96" t="s">
        <v>79</v>
      </c>
      <c r="E1" s="102" t="s">
        <v>2781</v>
      </c>
    </row>
    <row r="2">
      <c r="A2" s="103">
        <v>10.0</v>
      </c>
      <c r="B2" s="81" t="s">
        <v>2782</v>
      </c>
      <c r="C2" s="81" t="s">
        <v>48</v>
      </c>
      <c r="D2" s="81" t="s">
        <v>1040</v>
      </c>
      <c r="E2" s="104">
        <v>846050.0</v>
      </c>
    </row>
    <row r="3">
      <c r="A3" s="105">
        <v>11.0</v>
      </c>
      <c r="B3" s="70" t="s">
        <v>165</v>
      </c>
      <c r="C3" s="70" t="s">
        <v>50</v>
      </c>
      <c r="D3" s="70" t="s">
        <v>157</v>
      </c>
      <c r="E3" s="106">
        <v>65070.0</v>
      </c>
    </row>
    <row r="4">
      <c r="A4" s="103">
        <v>17.0</v>
      </c>
      <c r="B4" s="81" t="s">
        <v>159</v>
      </c>
      <c r="C4" s="81" t="s">
        <v>81</v>
      </c>
      <c r="D4" s="89" t="s">
        <v>97</v>
      </c>
      <c r="E4" s="104">
        <v>39610.0</v>
      </c>
    </row>
    <row r="5">
      <c r="A5" s="105">
        <v>19.0</v>
      </c>
      <c r="B5" s="70" t="s">
        <v>164</v>
      </c>
      <c r="C5" s="70" t="s">
        <v>46</v>
      </c>
      <c r="D5" s="70" t="s">
        <v>114</v>
      </c>
      <c r="E5" s="106">
        <v>135890.0</v>
      </c>
    </row>
    <row r="6">
      <c r="A6" s="103">
        <v>22.0</v>
      </c>
      <c r="B6" s="81" t="s">
        <v>160</v>
      </c>
      <c r="C6" s="81" t="s">
        <v>46</v>
      </c>
      <c r="D6" s="81" t="s">
        <v>112</v>
      </c>
      <c r="E6" s="104">
        <v>382870.0</v>
      </c>
    </row>
    <row r="7">
      <c r="A7" s="105">
        <v>24.0</v>
      </c>
      <c r="B7" s="70" t="s">
        <v>168</v>
      </c>
      <c r="C7" s="70" t="s">
        <v>81</v>
      </c>
      <c r="D7" s="70" t="s">
        <v>93</v>
      </c>
      <c r="E7" s="106">
        <v>23260.0</v>
      </c>
    </row>
    <row r="8">
      <c r="A8" s="103">
        <v>27.0</v>
      </c>
      <c r="B8" s="81" t="s">
        <v>167</v>
      </c>
      <c r="C8" s="81" t="s">
        <v>46</v>
      </c>
      <c r="D8" s="81" t="s">
        <v>119</v>
      </c>
      <c r="E8" s="104">
        <v>65910.0</v>
      </c>
    </row>
    <row r="9">
      <c r="A9" s="105">
        <v>31.0</v>
      </c>
      <c r="B9" s="70" t="s">
        <v>172</v>
      </c>
      <c r="C9" s="70" t="s">
        <v>49</v>
      </c>
      <c r="D9" s="70" t="s">
        <v>140</v>
      </c>
      <c r="E9" s="106">
        <v>35550.0</v>
      </c>
    </row>
    <row r="10">
      <c r="A10" s="103">
        <v>32.0</v>
      </c>
      <c r="B10" s="81" t="s">
        <v>170</v>
      </c>
      <c r="C10" s="81" t="s">
        <v>49</v>
      </c>
      <c r="D10" s="81" t="s">
        <v>140</v>
      </c>
      <c r="E10" s="104">
        <v>7130.0</v>
      </c>
    </row>
    <row r="11">
      <c r="A11" s="105">
        <v>33.0</v>
      </c>
      <c r="B11" s="70" t="s">
        <v>158</v>
      </c>
      <c r="C11" s="70" t="s">
        <v>81</v>
      </c>
      <c r="D11" s="70" t="s">
        <v>94</v>
      </c>
      <c r="E11" s="106">
        <v>429660.0</v>
      </c>
    </row>
    <row r="12">
      <c r="A12" s="103">
        <v>36.0</v>
      </c>
      <c r="B12" s="81" t="s">
        <v>2783</v>
      </c>
      <c r="C12" s="81" t="s">
        <v>46</v>
      </c>
      <c r="D12" s="81" t="s">
        <v>116</v>
      </c>
      <c r="E12" s="104">
        <v>568950.0</v>
      </c>
    </row>
    <row r="13">
      <c r="A13" s="105">
        <v>37.0</v>
      </c>
      <c r="B13" s="70" t="s">
        <v>166</v>
      </c>
      <c r="C13" s="70" t="s">
        <v>49</v>
      </c>
      <c r="D13" s="70" t="s">
        <v>144</v>
      </c>
      <c r="E13" s="106">
        <v>92770.0</v>
      </c>
    </row>
    <row r="14">
      <c r="A14" s="103">
        <v>38.0</v>
      </c>
      <c r="B14" s="81" t="s">
        <v>174</v>
      </c>
      <c r="C14" s="81" t="s">
        <v>46</v>
      </c>
      <c r="D14" s="81" t="s">
        <v>126</v>
      </c>
      <c r="E14" s="104">
        <v>99999.0</v>
      </c>
    </row>
    <row r="15">
      <c r="A15" s="105">
        <v>39.0</v>
      </c>
      <c r="B15" s="70" t="s">
        <v>2784</v>
      </c>
      <c r="C15" s="70" t="s">
        <v>81</v>
      </c>
      <c r="D15" s="70" t="s">
        <v>88</v>
      </c>
      <c r="E15" s="106">
        <v>95000.0</v>
      </c>
    </row>
    <row r="16">
      <c r="A16" s="103">
        <v>40.0</v>
      </c>
      <c r="B16" s="81" t="s">
        <v>2785</v>
      </c>
      <c r="C16" s="81" t="s">
        <v>81</v>
      </c>
      <c r="D16" s="81" t="s">
        <v>88</v>
      </c>
      <c r="E16" s="104">
        <v>15000.0</v>
      </c>
    </row>
    <row r="17">
      <c r="A17" s="105">
        <v>42.0</v>
      </c>
      <c r="B17" s="70" t="s">
        <v>171</v>
      </c>
      <c r="C17" s="70" t="s">
        <v>81</v>
      </c>
      <c r="D17" s="70" t="s">
        <v>89</v>
      </c>
      <c r="E17" s="106">
        <v>42140.0</v>
      </c>
    </row>
    <row r="18">
      <c r="A18" s="103">
        <v>43.0</v>
      </c>
      <c r="B18" s="81" t="s">
        <v>173</v>
      </c>
      <c r="C18" s="81" t="s">
        <v>81</v>
      </c>
      <c r="D18" s="89" t="s">
        <v>97</v>
      </c>
      <c r="E18" s="104">
        <v>4000.0</v>
      </c>
    </row>
    <row r="19">
      <c r="A19" s="105">
        <v>44.0</v>
      </c>
      <c r="B19" s="70" t="s">
        <v>2786</v>
      </c>
      <c r="C19" s="70" t="s">
        <v>50</v>
      </c>
      <c r="D19" s="70" t="s">
        <v>151</v>
      </c>
      <c r="E19" s="106">
        <v>30581.0</v>
      </c>
    </row>
    <row r="20">
      <c r="A20" s="103">
        <v>46.0</v>
      </c>
      <c r="B20" s="81" t="s">
        <v>162</v>
      </c>
      <c r="C20" s="81" t="s">
        <v>81</v>
      </c>
      <c r="D20" s="81" t="s">
        <v>94</v>
      </c>
      <c r="E20" s="104">
        <v>130380.0</v>
      </c>
    </row>
    <row r="21">
      <c r="A21" s="105">
        <v>49.0</v>
      </c>
      <c r="B21" s="70" t="s">
        <v>2787</v>
      </c>
      <c r="C21" s="70" t="s">
        <v>46</v>
      </c>
      <c r="D21" s="70" t="s">
        <v>112</v>
      </c>
      <c r="E21" s="106">
        <v>30000.0</v>
      </c>
    </row>
    <row r="22">
      <c r="A22" s="103">
        <v>50.0</v>
      </c>
      <c r="B22" s="81" t="s">
        <v>169</v>
      </c>
      <c r="C22" s="81" t="s">
        <v>49</v>
      </c>
      <c r="D22" s="81" t="s">
        <v>140</v>
      </c>
      <c r="E22" s="104">
        <v>415860.0</v>
      </c>
    </row>
    <row r="23">
      <c r="A23" s="68">
        <v>13.0</v>
      </c>
      <c r="B23" s="1" t="s">
        <v>2788</v>
      </c>
    </row>
    <row r="25">
      <c r="E25" s="34">
        <f>SUM(E2:E22)</f>
        <v>3555680</v>
      </c>
    </row>
  </sheetData>
  <dataValidations>
    <dataValidation type="list" allowBlank="1" showErrorMessage="1" sqref="D4 D18">
      <formula1>"Other,Polkadot Protocol &amp; SDK,Smart Contracts,SDKs,Protocol Subsidies,Privacy,ZK,Staking,Wallets,Explorers,Software Services,Light Clients,Bridge,Multisig,Indexing,RPCs and Nodes,Software Development,Data Services,Snapshots,UIs,Governance,Events,Events/Co"&amp;"nference Hosting,Events/Conference Attendance &amp; Side Events,Events/Meetups,Education,Anti-Scam,Research,Community Building,Events/Meetups,Infrastructure,Media,Business Development,Incubation,Games,Ecosystem Services,Advertising/Sponsorships,Advertising/In"&amp;"fluencers,Advertising/Digital Ads,Advertising/Platform Integrations,Advertising/Physical Ads,Recruiting,Trainings &amp; Hackathon,Security,Stablecoins,Loans,Market Operations"</formula1>
    </dataValidation>
    <dataValidation type="list" allowBlank="1" showErrorMessage="1" sqref="C2:C22">
      <formula1>"Development,Operations,Outreach,Research,Talent &amp; Education,Economy"</formula1>
    </dataValidation>
    <dataValidation type="list" allowBlank="1" showErrorMessage="1" sqref="D2:D3 D5:D17 D19:D22">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Operations,Security,Ecosystem Services,Events/Lo"&amp;"cal Outreach &amp; Meetups"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s>
  <drawing r:id="rId2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8.0"/>
    <col customWidth="1" min="5" max="5" width="14.86"/>
    <col customWidth="1" min="6" max="6" width="26.14"/>
  </cols>
  <sheetData>
    <row r="1">
      <c r="A1" s="1" t="s">
        <v>175</v>
      </c>
      <c r="B1" s="5" t="s">
        <v>3</v>
      </c>
      <c r="C1" s="4" t="s">
        <v>1824</v>
      </c>
      <c r="D1" s="1" t="s">
        <v>1823</v>
      </c>
      <c r="E1" s="1" t="s">
        <v>64</v>
      </c>
      <c r="F1" s="1" t="s">
        <v>79</v>
      </c>
    </row>
    <row r="2">
      <c r="A2" s="68">
        <v>28.0</v>
      </c>
      <c r="B2" s="5">
        <v>33600.0</v>
      </c>
      <c r="C2" s="4">
        <v>328746.0</v>
      </c>
      <c r="D2" s="69">
        <v>45378.0</v>
      </c>
      <c r="E2" s="70" t="s">
        <v>81</v>
      </c>
      <c r="F2" s="70" t="s">
        <v>88</v>
      </c>
    </row>
    <row r="3">
      <c r="B3" s="7"/>
      <c r="C3" s="3"/>
    </row>
    <row r="4">
      <c r="B4" s="7"/>
      <c r="C4" s="3"/>
    </row>
    <row r="5">
      <c r="B5" s="7"/>
      <c r="C5" s="3"/>
    </row>
    <row r="6">
      <c r="B6" s="7"/>
      <c r="C6" s="3"/>
      <c r="F6" s="1" t="s">
        <v>2789</v>
      </c>
    </row>
    <row r="7">
      <c r="B7" s="7"/>
      <c r="C7" s="3"/>
    </row>
    <row r="8">
      <c r="B8" s="7"/>
      <c r="C8" s="3"/>
    </row>
    <row r="9">
      <c r="B9" s="7"/>
      <c r="C9" s="3"/>
    </row>
    <row r="10">
      <c r="B10" s="7"/>
      <c r="C10" s="3"/>
    </row>
    <row r="11">
      <c r="B11" s="7"/>
      <c r="C11" s="3"/>
    </row>
    <row r="12">
      <c r="B12" s="7"/>
      <c r="C12" s="3"/>
    </row>
    <row r="13">
      <c r="B13" s="7"/>
      <c r="C13" s="3"/>
    </row>
    <row r="14">
      <c r="B14" s="7"/>
      <c r="C14" s="3"/>
    </row>
    <row r="15">
      <c r="B15" s="7"/>
      <c r="C15" s="3"/>
    </row>
    <row r="16">
      <c r="B16" s="7"/>
      <c r="C16" s="3"/>
    </row>
    <row r="17">
      <c r="B17" s="7"/>
      <c r="C17" s="3"/>
    </row>
    <row r="18">
      <c r="B18" s="7"/>
      <c r="C18" s="3"/>
    </row>
    <row r="19">
      <c r="B19" s="7"/>
      <c r="C19" s="3"/>
    </row>
    <row r="20">
      <c r="B20" s="7"/>
      <c r="C20" s="3"/>
    </row>
    <row r="21">
      <c r="B21" s="7"/>
      <c r="C21" s="3"/>
    </row>
    <row r="22">
      <c r="B22" s="7"/>
      <c r="C22" s="3"/>
    </row>
    <row r="23">
      <c r="B23" s="7"/>
      <c r="C23" s="3"/>
    </row>
    <row r="24">
      <c r="B24" s="7"/>
      <c r="C24" s="3"/>
    </row>
    <row r="25">
      <c r="B25" s="7"/>
      <c r="C25" s="3"/>
    </row>
    <row r="26">
      <c r="B26" s="7"/>
      <c r="C26" s="3"/>
    </row>
    <row r="27">
      <c r="B27" s="7"/>
      <c r="C27" s="3"/>
    </row>
    <row r="28">
      <c r="B28" s="7"/>
      <c r="C28" s="3"/>
    </row>
    <row r="29">
      <c r="B29" s="7"/>
      <c r="C29" s="3"/>
    </row>
    <row r="30">
      <c r="B30" s="7"/>
      <c r="C30" s="3"/>
    </row>
    <row r="31">
      <c r="B31" s="7"/>
      <c r="C31" s="3"/>
    </row>
    <row r="32">
      <c r="B32" s="7"/>
      <c r="C32" s="3"/>
    </row>
    <row r="33">
      <c r="B33" s="7"/>
      <c r="C33" s="3"/>
    </row>
    <row r="34">
      <c r="B34" s="7"/>
      <c r="C34" s="3"/>
    </row>
    <row r="35">
      <c r="B35" s="7"/>
      <c r="C35" s="3"/>
    </row>
    <row r="36">
      <c r="B36" s="7"/>
      <c r="C36" s="3"/>
    </row>
    <row r="37">
      <c r="B37" s="7"/>
      <c r="C37" s="3"/>
    </row>
    <row r="38">
      <c r="B38" s="7"/>
      <c r="C38" s="3"/>
    </row>
    <row r="39">
      <c r="B39" s="7"/>
      <c r="C39" s="3"/>
    </row>
    <row r="40">
      <c r="B40" s="7"/>
      <c r="C40" s="3"/>
    </row>
    <row r="41">
      <c r="B41" s="7"/>
      <c r="C41" s="3"/>
    </row>
    <row r="42">
      <c r="B42" s="7"/>
      <c r="C42" s="3"/>
    </row>
    <row r="43">
      <c r="B43" s="7"/>
      <c r="C43" s="3"/>
    </row>
    <row r="44">
      <c r="B44" s="7"/>
      <c r="C44" s="3"/>
    </row>
    <row r="45">
      <c r="B45" s="7"/>
      <c r="C45" s="3"/>
    </row>
    <row r="46">
      <c r="B46" s="7"/>
      <c r="C46" s="3"/>
    </row>
    <row r="47">
      <c r="B47" s="7"/>
      <c r="C47" s="3"/>
    </row>
    <row r="48">
      <c r="B48" s="7"/>
      <c r="C48" s="3"/>
    </row>
    <row r="49">
      <c r="B49" s="7"/>
      <c r="C49" s="3"/>
    </row>
    <row r="50">
      <c r="B50" s="7"/>
      <c r="C50" s="3"/>
    </row>
    <row r="51">
      <c r="B51" s="7"/>
      <c r="C51" s="3"/>
    </row>
    <row r="52">
      <c r="B52" s="7"/>
      <c r="C52" s="3"/>
    </row>
    <row r="53">
      <c r="B53" s="7"/>
      <c r="C53" s="3"/>
    </row>
    <row r="54">
      <c r="B54" s="7"/>
      <c r="C54" s="3"/>
    </row>
    <row r="55">
      <c r="B55" s="7"/>
      <c r="C55" s="3"/>
    </row>
    <row r="56">
      <c r="B56" s="7"/>
      <c r="C56" s="3"/>
    </row>
    <row r="57">
      <c r="B57" s="7"/>
      <c r="C57" s="3"/>
    </row>
    <row r="58">
      <c r="B58" s="7"/>
      <c r="C58" s="3"/>
    </row>
    <row r="59">
      <c r="B59" s="7"/>
      <c r="C59" s="3"/>
    </row>
    <row r="60">
      <c r="B60" s="7"/>
      <c r="C60" s="3"/>
    </row>
    <row r="61">
      <c r="B61" s="7"/>
      <c r="C61" s="3"/>
    </row>
    <row r="62">
      <c r="B62" s="7"/>
      <c r="C62" s="3"/>
    </row>
    <row r="63">
      <c r="B63" s="7"/>
      <c r="C63" s="3"/>
    </row>
    <row r="64">
      <c r="B64" s="7"/>
      <c r="C64" s="3"/>
    </row>
    <row r="65">
      <c r="B65" s="7"/>
      <c r="C65" s="3"/>
    </row>
    <row r="66">
      <c r="B66" s="7"/>
      <c r="C66" s="3"/>
    </row>
    <row r="67">
      <c r="B67" s="7"/>
      <c r="C67" s="3"/>
    </row>
    <row r="68">
      <c r="B68" s="7"/>
      <c r="C68" s="3"/>
    </row>
    <row r="69">
      <c r="B69" s="7"/>
      <c r="C69" s="3"/>
    </row>
    <row r="70">
      <c r="B70" s="7"/>
      <c r="C70" s="3"/>
    </row>
    <row r="71">
      <c r="B71" s="7"/>
      <c r="C71" s="3"/>
    </row>
    <row r="72">
      <c r="B72" s="7"/>
      <c r="C72" s="3"/>
    </row>
    <row r="73">
      <c r="B73" s="7"/>
      <c r="C73" s="3"/>
    </row>
    <row r="74">
      <c r="B74" s="7"/>
      <c r="C74" s="3"/>
    </row>
    <row r="75">
      <c r="B75" s="7"/>
      <c r="C75" s="3"/>
    </row>
    <row r="76">
      <c r="B76" s="7"/>
      <c r="C76" s="3"/>
    </row>
    <row r="77">
      <c r="B77" s="7"/>
      <c r="C77" s="3"/>
    </row>
    <row r="78">
      <c r="B78" s="7"/>
      <c r="C78" s="3"/>
    </row>
    <row r="79">
      <c r="B79" s="7"/>
      <c r="C79" s="3"/>
    </row>
    <row r="80">
      <c r="B80" s="7"/>
      <c r="C80" s="3"/>
    </row>
    <row r="81">
      <c r="B81" s="7"/>
      <c r="C81" s="3"/>
    </row>
    <row r="82">
      <c r="B82" s="7"/>
      <c r="C82" s="3"/>
    </row>
    <row r="83">
      <c r="B83" s="7"/>
      <c r="C83" s="3"/>
    </row>
    <row r="84">
      <c r="B84" s="7"/>
      <c r="C84" s="3"/>
    </row>
    <row r="85">
      <c r="B85" s="7"/>
      <c r="C85" s="3"/>
    </row>
    <row r="86">
      <c r="B86" s="7"/>
      <c r="C86" s="3"/>
    </row>
    <row r="87">
      <c r="B87" s="7"/>
      <c r="C87" s="3"/>
    </row>
    <row r="88">
      <c r="B88" s="7"/>
      <c r="C88" s="3"/>
    </row>
    <row r="89">
      <c r="B89" s="7"/>
      <c r="C89" s="3"/>
    </row>
    <row r="90">
      <c r="B90" s="7"/>
      <c r="C90" s="3"/>
    </row>
    <row r="91">
      <c r="B91" s="7"/>
      <c r="C91" s="3"/>
    </row>
    <row r="92">
      <c r="B92" s="7"/>
      <c r="C92" s="3"/>
    </row>
    <row r="93">
      <c r="B93" s="7"/>
      <c r="C93" s="3"/>
    </row>
    <row r="94">
      <c r="B94" s="7"/>
      <c r="C94" s="3"/>
    </row>
    <row r="95">
      <c r="B95" s="7"/>
      <c r="C95" s="3"/>
    </row>
    <row r="96">
      <c r="B96" s="7"/>
      <c r="C96" s="3"/>
    </row>
    <row r="97">
      <c r="B97" s="7"/>
      <c r="C97" s="3"/>
    </row>
    <row r="98">
      <c r="B98" s="7"/>
      <c r="C98" s="3"/>
    </row>
    <row r="99">
      <c r="B99" s="7"/>
      <c r="C99" s="3"/>
    </row>
    <row r="100">
      <c r="B100" s="7"/>
      <c r="C100" s="3"/>
    </row>
    <row r="101">
      <c r="B101" s="7"/>
      <c r="C101" s="3"/>
    </row>
    <row r="102">
      <c r="B102" s="7"/>
      <c r="C102" s="3"/>
    </row>
    <row r="103">
      <c r="B103" s="7"/>
      <c r="C103" s="3"/>
    </row>
    <row r="104">
      <c r="B104" s="7"/>
      <c r="C104" s="3"/>
    </row>
    <row r="105">
      <c r="B105" s="7"/>
      <c r="C105" s="3"/>
    </row>
    <row r="106">
      <c r="B106" s="7"/>
      <c r="C106" s="3"/>
    </row>
    <row r="107">
      <c r="B107" s="7"/>
      <c r="C107" s="3"/>
    </row>
    <row r="108">
      <c r="B108" s="7"/>
      <c r="C108" s="3"/>
    </row>
    <row r="109">
      <c r="B109" s="7"/>
      <c r="C109" s="3"/>
    </row>
    <row r="110">
      <c r="B110" s="7"/>
      <c r="C110" s="3"/>
    </row>
    <row r="111">
      <c r="B111" s="7"/>
      <c r="C111" s="3"/>
    </row>
    <row r="112">
      <c r="B112" s="7"/>
      <c r="C112" s="3"/>
    </row>
    <row r="113">
      <c r="B113" s="7"/>
      <c r="C113" s="3"/>
    </row>
    <row r="114">
      <c r="B114" s="7"/>
      <c r="C114" s="3"/>
    </row>
    <row r="115">
      <c r="B115" s="7"/>
      <c r="C115" s="3"/>
    </row>
    <row r="116">
      <c r="B116" s="7"/>
      <c r="C116" s="3"/>
    </row>
    <row r="117">
      <c r="B117" s="7"/>
      <c r="C117" s="3"/>
    </row>
    <row r="118">
      <c r="B118" s="7"/>
      <c r="C118" s="3"/>
    </row>
    <row r="119">
      <c r="B119" s="7"/>
      <c r="C119" s="3"/>
    </row>
    <row r="120">
      <c r="B120" s="7"/>
      <c r="C120" s="3"/>
    </row>
    <row r="121">
      <c r="B121" s="7"/>
      <c r="C121" s="3"/>
    </row>
    <row r="122">
      <c r="B122" s="7"/>
      <c r="C122" s="3"/>
    </row>
    <row r="123">
      <c r="B123" s="7"/>
      <c r="C123" s="3"/>
    </row>
    <row r="124">
      <c r="B124" s="7"/>
      <c r="C124" s="3"/>
    </row>
    <row r="125">
      <c r="B125" s="7"/>
      <c r="C125" s="3"/>
    </row>
    <row r="126">
      <c r="B126" s="7"/>
      <c r="C126" s="3"/>
    </row>
    <row r="127">
      <c r="B127" s="7"/>
      <c r="C127" s="3"/>
    </row>
    <row r="128">
      <c r="B128" s="7"/>
      <c r="C128" s="3"/>
    </row>
    <row r="129">
      <c r="B129" s="7"/>
      <c r="C129" s="3"/>
    </row>
    <row r="130">
      <c r="B130" s="7"/>
      <c r="C130" s="3"/>
    </row>
    <row r="131">
      <c r="B131" s="7"/>
      <c r="C131" s="3"/>
    </row>
    <row r="132">
      <c r="B132" s="7"/>
      <c r="C132" s="3"/>
    </row>
    <row r="133">
      <c r="B133" s="7"/>
      <c r="C133" s="3"/>
    </row>
    <row r="134">
      <c r="B134" s="7"/>
      <c r="C134" s="3"/>
    </row>
    <row r="135">
      <c r="B135" s="7"/>
      <c r="C135" s="3"/>
    </row>
    <row r="136">
      <c r="B136" s="7"/>
      <c r="C136" s="3"/>
    </row>
    <row r="137">
      <c r="B137" s="7"/>
      <c r="C137" s="3"/>
    </row>
    <row r="138">
      <c r="B138" s="7"/>
      <c r="C138" s="3"/>
    </row>
    <row r="139">
      <c r="B139" s="7"/>
      <c r="C139" s="3"/>
    </row>
    <row r="140">
      <c r="B140" s="7"/>
      <c r="C140" s="3"/>
    </row>
    <row r="141">
      <c r="B141" s="7"/>
      <c r="C141" s="3"/>
    </row>
    <row r="142">
      <c r="B142" s="7"/>
      <c r="C142" s="3"/>
    </row>
    <row r="143">
      <c r="B143" s="7"/>
      <c r="C143" s="3"/>
    </row>
    <row r="144">
      <c r="B144" s="7"/>
      <c r="C144" s="3"/>
    </row>
    <row r="145">
      <c r="B145" s="7"/>
      <c r="C145" s="3"/>
    </row>
    <row r="146">
      <c r="B146" s="7"/>
      <c r="C146" s="3"/>
    </row>
    <row r="147">
      <c r="B147" s="7"/>
      <c r="C147" s="3"/>
    </row>
    <row r="148">
      <c r="B148" s="7"/>
      <c r="C148" s="3"/>
    </row>
    <row r="149">
      <c r="B149" s="7"/>
      <c r="C149" s="3"/>
    </row>
    <row r="150">
      <c r="B150" s="7"/>
      <c r="C150" s="3"/>
    </row>
    <row r="151">
      <c r="B151" s="7"/>
      <c r="C151" s="3"/>
    </row>
    <row r="152">
      <c r="B152" s="7"/>
      <c r="C152" s="3"/>
    </row>
    <row r="153">
      <c r="B153" s="7"/>
      <c r="C153" s="3"/>
    </row>
    <row r="154">
      <c r="B154" s="7"/>
      <c r="C154" s="3"/>
    </row>
    <row r="155">
      <c r="B155" s="7"/>
      <c r="C155" s="3"/>
    </row>
    <row r="156">
      <c r="B156" s="7"/>
      <c r="C156" s="3"/>
    </row>
    <row r="157">
      <c r="B157" s="7"/>
      <c r="C157" s="3"/>
    </row>
    <row r="158">
      <c r="B158" s="7"/>
      <c r="C158" s="3"/>
    </row>
    <row r="159">
      <c r="B159" s="7"/>
      <c r="C159" s="3"/>
    </row>
    <row r="160">
      <c r="B160" s="7"/>
      <c r="C160" s="3"/>
    </row>
    <row r="161">
      <c r="B161" s="7"/>
      <c r="C161" s="3"/>
    </row>
    <row r="162">
      <c r="B162" s="7"/>
      <c r="C162" s="3"/>
    </row>
    <row r="163">
      <c r="B163" s="7"/>
      <c r="C163" s="3"/>
    </row>
    <row r="164">
      <c r="B164" s="7"/>
      <c r="C164" s="3"/>
    </row>
    <row r="165">
      <c r="B165" s="7"/>
      <c r="C165" s="3"/>
    </row>
    <row r="166">
      <c r="B166" s="7"/>
      <c r="C166" s="3"/>
    </row>
    <row r="167">
      <c r="B167" s="7"/>
      <c r="C167" s="3"/>
    </row>
    <row r="168">
      <c r="B168" s="7"/>
      <c r="C168" s="3"/>
    </row>
    <row r="169">
      <c r="B169" s="7"/>
      <c r="C169" s="3"/>
    </row>
    <row r="170">
      <c r="B170" s="7"/>
      <c r="C170" s="3"/>
    </row>
    <row r="171">
      <c r="B171" s="7"/>
      <c r="C171" s="3"/>
    </row>
    <row r="172">
      <c r="B172" s="7"/>
      <c r="C172" s="3"/>
    </row>
    <row r="173">
      <c r="B173" s="7"/>
      <c r="C173" s="3"/>
    </row>
    <row r="174">
      <c r="B174" s="7"/>
      <c r="C174" s="3"/>
    </row>
    <row r="175">
      <c r="B175" s="7"/>
      <c r="C175" s="3"/>
    </row>
    <row r="176">
      <c r="B176" s="7"/>
      <c r="C176" s="3"/>
    </row>
    <row r="177">
      <c r="B177" s="7"/>
      <c r="C177" s="3"/>
    </row>
    <row r="178">
      <c r="B178" s="7"/>
      <c r="C178" s="3"/>
    </row>
    <row r="179">
      <c r="B179" s="7"/>
      <c r="C179" s="3"/>
    </row>
    <row r="180">
      <c r="B180" s="7"/>
      <c r="C180" s="3"/>
    </row>
    <row r="181">
      <c r="B181" s="7"/>
      <c r="C181" s="3"/>
    </row>
    <row r="182">
      <c r="B182" s="7"/>
      <c r="C182" s="3"/>
    </row>
    <row r="183">
      <c r="B183" s="7"/>
      <c r="C183" s="3"/>
    </row>
    <row r="184">
      <c r="B184" s="7"/>
      <c r="C184" s="3"/>
    </row>
    <row r="185">
      <c r="B185" s="7"/>
      <c r="C185" s="3"/>
    </row>
    <row r="186">
      <c r="B186" s="7"/>
      <c r="C186" s="3"/>
    </row>
    <row r="187">
      <c r="B187" s="7"/>
      <c r="C187" s="3"/>
    </row>
    <row r="188">
      <c r="B188" s="7"/>
      <c r="C188" s="3"/>
    </row>
    <row r="189">
      <c r="B189" s="7"/>
      <c r="C189" s="3"/>
    </row>
    <row r="190">
      <c r="B190" s="7"/>
      <c r="C190" s="3"/>
    </row>
    <row r="191">
      <c r="B191" s="7"/>
      <c r="C191" s="3"/>
    </row>
    <row r="192">
      <c r="B192" s="7"/>
      <c r="C192" s="3"/>
    </row>
    <row r="193">
      <c r="B193" s="7"/>
      <c r="C193" s="3"/>
    </row>
    <row r="194">
      <c r="B194" s="7"/>
      <c r="C194" s="3"/>
    </row>
    <row r="195">
      <c r="B195" s="7"/>
      <c r="C195" s="3"/>
    </row>
    <row r="196">
      <c r="B196" s="7"/>
      <c r="C196" s="3"/>
    </row>
    <row r="197">
      <c r="B197" s="7"/>
      <c r="C197" s="3"/>
    </row>
    <row r="198">
      <c r="B198" s="7"/>
      <c r="C198" s="3"/>
    </row>
    <row r="199">
      <c r="B199" s="7"/>
      <c r="C199" s="3"/>
    </row>
    <row r="200">
      <c r="B200" s="7"/>
      <c r="C200" s="3"/>
    </row>
    <row r="201">
      <c r="B201" s="7"/>
      <c r="C201" s="3"/>
    </row>
    <row r="202">
      <c r="B202" s="7"/>
      <c r="C202" s="3"/>
    </row>
    <row r="203">
      <c r="B203" s="7"/>
      <c r="C203" s="3"/>
    </row>
    <row r="204">
      <c r="B204" s="7"/>
      <c r="C204" s="3"/>
    </row>
    <row r="205">
      <c r="B205" s="7"/>
      <c r="C205" s="3"/>
    </row>
    <row r="206">
      <c r="B206" s="7"/>
      <c r="C206" s="3"/>
    </row>
    <row r="207">
      <c r="B207" s="7"/>
      <c r="C207" s="3"/>
    </row>
    <row r="208">
      <c r="B208" s="7"/>
      <c r="C208" s="3"/>
    </row>
    <row r="209">
      <c r="B209" s="7"/>
      <c r="C209" s="3"/>
    </row>
    <row r="210">
      <c r="B210" s="7"/>
      <c r="C210" s="3"/>
    </row>
    <row r="211">
      <c r="B211" s="7"/>
      <c r="C211" s="3"/>
    </row>
    <row r="212">
      <c r="B212" s="7"/>
      <c r="C212" s="3"/>
    </row>
    <row r="213">
      <c r="B213" s="7"/>
      <c r="C213" s="3"/>
    </row>
    <row r="214">
      <c r="B214" s="7"/>
      <c r="C214" s="3"/>
    </row>
    <row r="215">
      <c r="B215" s="7"/>
      <c r="C215" s="3"/>
    </row>
    <row r="216">
      <c r="B216" s="7"/>
      <c r="C216" s="3"/>
    </row>
    <row r="217">
      <c r="B217" s="7"/>
      <c r="C217" s="3"/>
    </row>
    <row r="218">
      <c r="B218" s="7"/>
      <c r="C218" s="3"/>
    </row>
    <row r="219">
      <c r="B219" s="7"/>
      <c r="C219" s="3"/>
    </row>
    <row r="220">
      <c r="B220" s="7"/>
      <c r="C220" s="3"/>
    </row>
    <row r="221">
      <c r="B221" s="7"/>
      <c r="C221" s="3"/>
    </row>
    <row r="222">
      <c r="B222" s="7"/>
      <c r="C222" s="3"/>
    </row>
    <row r="223">
      <c r="B223" s="7"/>
      <c r="C223" s="3"/>
    </row>
    <row r="224">
      <c r="B224" s="7"/>
      <c r="C224" s="3"/>
    </row>
    <row r="225">
      <c r="B225" s="7"/>
      <c r="C225" s="3"/>
    </row>
    <row r="226">
      <c r="B226" s="7"/>
      <c r="C226" s="3"/>
    </row>
    <row r="227">
      <c r="B227" s="7"/>
      <c r="C227" s="3"/>
    </row>
    <row r="228">
      <c r="B228" s="7"/>
      <c r="C228" s="3"/>
    </row>
    <row r="229">
      <c r="B229" s="7"/>
      <c r="C229" s="3"/>
    </row>
    <row r="230">
      <c r="B230" s="7"/>
      <c r="C230" s="3"/>
    </row>
    <row r="231">
      <c r="B231" s="7"/>
      <c r="C231" s="3"/>
    </row>
    <row r="232">
      <c r="B232" s="7"/>
      <c r="C232" s="3"/>
    </row>
    <row r="233">
      <c r="B233" s="7"/>
      <c r="C233" s="3"/>
    </row>
    <row r="234">
      <c r="B234" s="7"/>
      <c r="C234" s="3"/>
    </row>
    <row r="235">
      <c r="B235" s="7"/>
      <c r="C235" s="3"/>
    </row>
    <row r="236">
      <c r="B236" s="7"/>
      <c r="C236" s="3"/>
    </row>
    <row r="237">
      <c r="B237" s="7"/>
      <c r="C237" s="3"/>
    </row>
    <row r="238">
      <c r="B238" s="7"/>
      <c r="C238" s="3"/>
    </row>
    <row r="239">
      <c r="B239" s="7"/>
      <c r="C239" s="3"/>
    </row>
    <row r="240">
      <c r="B240" s="7"/>
      <c r="C240" s="3"/>
    </row>
    <row r="241">
      <c r="B241" s="7"/>
      <c r="C241" s="3"/>
    </row>
    <row r="242">
      <c r="B242" s="7"/>
      <c r="C242" s="3"/>
    </row>
    <row r="243">
      <c r="B243" s="7"/>
      <c r="C243" s="3"/>
    </row>
    <row r="244">
      <c r="B244" s="7"/>
      <c r="C244" s="3"/>
    </row>
    <row r="245">
      <c r="B245" s="7"/>
      <c r="C245" s="3"/>
    </row>
    <row r="246">
      <c r="B246" s="7"/>
      <c r="C246" s="3"/>
    </row>
    <row r="247">
      <c r="B247" s="7"/>
      <c r="C247" s="3"/>
    </row>
    <row r="248">
      <c r="B248" s="7"/>
      <c r="C248" s="3"/>
    </row>
    <row r="249">
      <c r="B249" s="7"/>
      <c r="C249" s="3"/>
    </row>
    <row r="250">
      <c r="B250" s="7"/>
      <c r="C250" s="3"/>
    </row>
    <row r="251">
      <c r="B251" s="7"/>
      <c r="C251" s="3"/>
    </row>
    <row r="252">
      <c r="B252" s="7"/>
      <c r="C252" s="3"/>
    </row>
    <row r="253">
      <c r="B253" s="7"/>
      <c r="C253" s="3"/>
    </row>
    <row r="254">
      <c r="B254" s="7"/>
      <c r="C254" s="3"/>
    </row>
    <row r="255">
      <c r="B255" s="7"/>
      <c r="C255" s="3"/>
    </row>
    <row r="256">
      <c r="B256" s="7"/>
      <c r="C256" s="3"/>
    </row>
    <row r="257">
      <c r="B257" s="7"/>
      <c r="C257" s="3"/>
    </row>
    <row r="258">
      <c r="B258" s="7"/>
      <c r="C258" s="3"/>
    </row>
    <row r="259">
      <c r="B259" s="7"/>
      <c r="C259" s="3"/>
    </row>
    <row r="260">
      <c r="B260" s="7"/>
      <c r="C260" s="3"/>
    </row>
    <row r="261">
      <c r="B261" s="7"/>
      <c r="C261" s="3"/>
    </row>
    <row r="262">
      <c r="B262" s="7"/>
      <c r="C262" s="3"/>
    </row>
    <row r="263">
      <c r="B263" s="7"/>
      <c r="C263" s="3"/>
    </row>
    <row r="264">
      <c r="B264" s="7"/>
      <c r="C264" s="3"/>
    </row>
    <row r="265">
      <c r="B265" s="7"/>
      <c r="C265" s="3"/>
    </row>
    <row r="266">
      <c r="B266" s="7"/>
      <c r="C266" s="3"/>
    </row>
    <row r="267">
      <c r="B267" s="7"/>
      <c r="C267" s="3"/>
    </row>
    <row r="268">
      <c r="B268" s="7"/>
      <c r="C268" s="3"/>
    </row>
    <row r="269">
      <c r="B269" s="7"/>
      <c r="C269" s="3"/>
    </row>
    <row r="270">
      <c r="B270" s="7"/>
      <c r="C270" s="3"/>
    </row>
    <row r="271">
      <c r="B271" s="7"/>
      <c r="C271" s="3"/>
    </row>
    <row r="272">
      <c r="B272" s="7"/>
      <c r="C272" s="3"/>
    </row>
    <row r="273">
      <c r="B273" s="7"/>
      <c r="C273" s="3"/>
    </row>
    <row r="274">
      <c r="B274" s="7"/>
      <c r="C274" s="3"/>
    </row>
    <row r="275">
      <c r="B275" s="7"/>
      <c r="C275" s="3"/>
    </row>
    <row r="276">
      <c r="B276" s="7"/>
      <c r="C276" s="3"/>
    </row>
    <row r="277">
      <c r="B277" s="7"/>
      <c r="C277" s="3"/>
    </row>
    <row r="278">
      <c r="B278" s="7"/>
      <c r="C278" s="3"/>
    </row>
    <row r="279">
      <c r="B279" s="7"/>
      <c r="C279" s="3"/>
    </row>
    <row r="280">
      <c r="B280" s="7"/>
      <c r="C280" s="3"/>
    </row>
    <row r="281">
      <c r="B281" s="7"/>
      <c r="C281" s="3"/>
    </row>
    <row r="282">
      <c r="B282" s="7"/>
      <c r="C282" s="3"/>
    </row>
    <row r="283">
      <c r="B283" s="7"/>
      <c r="C283" s="3"/>
    </row>
    <row r="284">
      <c r="B284" s="7"/>
      <c r="C284" s="3"/>
    </row>
    <row r="285">
      <c r="B285" s="7"/>
      <c r="C285" s="3"/>
    </row>
    <row r="286">
      <c r="B286" s="7"/>
      <c r="C286" s="3"/>
    </row>
    <row r="287">
      <c r="B287" s="7"/>
      <c r="C287" s="3"/>
    </row>
    <row r="288">
      <c r="B288" s="7"/>
      <c r="C288" s="3"/>
    </row>
    <row r="289">
      <c r="B289" s="7"/>
      <c r="C289" s="3"/>
    </row>
    <row r="290">
      <c r="B290" s="7"/>
      <c r="C290" s="3"/>
    </row>
    <row r="291">
      <c r="B291" s="7"/>
      <c r="C291" s="3"/>
    </row>
    <row r="292">
      <c r="B292" s="7"/>
      <c r="C292" s="3"/>
    </row>
    <row r="293">
      <c r="B293" s="7"/>
      <c r="C293" s="3"/>
    </row>
    <row r="294">
      <c r="B294" s="7"/>
      <c r="C294" s="3"/>
    </row>
    <row r="295">
      <c r="B295" s="7"/>
      <c r="C295" s="3"/>
    </row>
    <row r="296">
      <c r="B296" s="7"/>
      <c r="C296" s="3"/>
    </row>
    <row r="297">
      <c r="B297" s="7"/>
      <c r="C297" s="3"/>
    </row>
    <row r="298">
      <c r="B298" s="7"/>
      <c r="C298" s="3"/>
    </row>
    <row r="299">
      <c r="B299" s="7"/>
      <c r="C299" s="3"/>
    </row>
    <row r="300">
      <c r="B300" s="7"/>
      <c r="C300" s="3"/>
    </row>
    <row r="301">
      <c r="B301" s="7"/>
      <c r="C301" s="3"/>
    </row>
    <row r="302">
      <c r="B302" s="7"/>
      <c r="C302" s="3"/>
    </row>
    <row r="303">
      <c r="B303" s="7"/>
      <c r="C303" s="3"/>
    </row>
    <row r="304">
      <c r="B304" s="7"/>
      <c r="C304" s="3"/>
    </row>
    <row r="305">
      <c r="B305" s="7"/>
      <c r="C305" s="3"/>
    </row>
    <row r="306">
      <c r="B306" s="7"/>
      <c r="C306" s="3"/>
    </row>
    <row r="307">
      <c r="B307" s="7"/>
      <c r="C307" s="3"/>
    </row>
    <row r="308">
      <c r="B308" s="7"/>
      <c r="C308" s="3"/>
    </row>
    <row r="309">
      <c r="B309" s="7"/>
      <c r="C309" s="3"/>
    </row>
    <row r="310">
      <c r="B310" s="7"/>
      <c r="C310" s="3"/>
    </row>
    <row r="311">
      <c r="B311" s="7"/>
      <c r="C311" s="3"/>
    </row>
    <row r="312">
      <c r="B312" s="7"/>
      <c r="C312" s="3"/>
    </row>
    <row r="313">
      <c r="B313" s="7"/>
      <c r="C313" s="3"/>
    </row>
    <row r="314">
      <c r="B314" s="7"/>
      <c r="C314" s="3"/>
    </row>
    <row r="315">
      <c r="B315" s="7"/>
      <c r="C315" s="3"/>
    </row>
    <row r="316">
      <c r="B316" s="7"/>
      <c r="C316" s="3"/>
    </row>
    <row r="317">
      <c r="B317" s="7"/>
      <c r="C317" s="3"/>
    </row>
    <row r="318">
      <c r="B318" s="7"/>
      <c r="C318" s="3"/>
    </row>
    <row r="319">
      <c r="B319" s="7"/>
      <c r="C319" s="3"/>
    </row>
    <row r="320">
      <c r="B320" s="7"/>
      <c r="C320" s="3"/>
    </row>
    <row r="321">
      <c r="B321" s="7"/>
      <c r="C321" s="3"/>
    </row>
    <row r="322">
      <c r="B322" s="7"/>
      <c r="C322" s="3"/>
    </row>
    <row r="323">
      <c r="B323" s="7"/>
      <c r="C323" s="3"/>
    </row>
    <row r="324">
      <c r="B324" s="7"/>
      <c r="C324" s="3"/>
    </row>
    <row r="325">
      <c r="B325" s="7"/>
      <c r="C325" s="3"/>
    </row>
    <row r="326">
      <c r="B326" s="7"/>
      <c r="C326" s="3"/>
    </row>
    <row r="327">
      <c r="B327" s="7"/>
      <c r="C327" s="3"/>
    </row>
    <row r="328">
      <c r="B328" s="7"/>
      <c r="C328" s="3"/>
    </row>
    <row r="329">
      <c r="B329" s="7"/>
      <c r="C329" s="3"/>
    </row>
    <row r="330">
      <c r="B330" s="7"/>
      <c r="C330" s="3"/>
    </row>
    <row r="331">
      <c r="B331" s="7"/>
      <c r="C331" s="3"/>
    </row>
    <row r="332">
      <c r="B332" s="7"/>
      <c r="C332" s="3"/>
    </row>
    <row r="333">
      <c r="B333" s="7"/>
      <c r="C333" s="3"/>
    </row>
    <row r="334">
      <c r="B334" s="7"/>
      <c r="C334" s="3"/>
    </row>
    <row r="335">
      <c r="B335" s="7"/>
      <c r="C335" s="3"/>
    </row>
    <row r="336">
      <c r="B336" s="7"/>
      <c r="C336" s="3"/>
    </row>
    <row r="337">
      <c r="B337" s="7"/>
      <c r="C337" s="3"/>
    </row>
    <row r="338">
      <c r="B338" s="7"/>
      <c r="C338" s="3"/>
    </row>
    <row r="339">
      <c r="B339" s="7"/>
      <c r="C339" s="3"/>
    </row>
    <row r="340">
      <c r="B340" s="7"/>
      <c r="C340" s="3"/>
    </row>
    <row r="341">
      <c r="B341" s="7"/>
      <c r="C341" s="3"/>
    </row>
    <row r="342">
      <c r="B342" s="7"/>
      <c r="C342" s="3"/>
    </row>
    <row r="343">
      <c r="B343" s="7"/>
      <c r="C343" s="3"/>
    </row>
    <row r="344">
      <c r="B344" s="7"/>
      <c r="C344" s="3"/>
    </row>
    <row r="345">
      <c r="B345" s="7"/>
      <c r="C345" s="3"/>
    </row>
    <row r="346">
      <c r="B346" s="7"/>
      <c r="C346" s="3"/>
    </row>
    <row r="347">
      <c r="B347" s="7"/>
      <c r="C347" s="3"/>
    </row>
    <row r="348">
      <c r="B348" s="7"/>
      <c r="C348" s="3"/>
    </row>
    <row r="349">
      <c r="B349" s="7"/>
      <c r="C349" s="3"/>
    </row>
    <row r="350">
      <c r="B350" s="7"/>
      <c r="C350" s="3"/>
    </row>
    <row r="351">
      <c r="B351" s="7"/>
      <c r="C351" s="3"/>
    </row>
    <row r="352">
      <c r="B352" s="7"/>
      <c r="C352" s="3"/>
    </row>
    <row r="353">
      <c r="B353" s="7"/>
      <c r="C353" s="3"/>
    </row>
    <row r="354">
      <c r="B354" s="7"/>
      <c r="C354" s="3"/>
    </row>
    <row r="355">
      <c r="B355" s="7"/>
      <c r="C355" s="3"/>
    </row>
    <row r="356">
      <c r="B356" s="7"/>
      <c r="C356" s="3"/>
    </row>
    <row r="357">
      <c r="B357" s="7"/>
      <c r="C357" s="3"/>
    </row>
    <row r="358">
      <c r="B358" s="7"/>
      <c r="C358" s="3"/>
    </row>
    <row r="359">
      <c r="B359" s="7"/>
      <c r="C359" s="3"/>
    </row>
    <row r="360">
      <c r="B360" s="7"/>
      <c r="C360" s="3"/>
    </row>
    <row r="361">
      <c r="B361" s="7"/>
      <c r="C361" s="3"/>
    </row>
    <row r="362">
      <c r="B362" s="7"/>
      <c r="C362" s="3"/>
    </row>
    <row r="363">
      <c r="B363" s="7"/>
      <c r="C363" s="3"/>
    </row>
    <row r="364">
      <c r="B364" s="7"/>
      <c r="C364" s="3"/>
    </row>
    <row r="365">
      <c r="B365" s="7"/>
      <c r="C365" s="3"/>
    </row>
    <row r="366">
      <c r="B366" s="7"/>
      <c r="C366" s="3"/>
    </row>
    <row r="367">
      <c r="B367" s="7"/>
      <c r="C367" s="3"/>
    </row>
    <row r="368">
      <c r="B368" s="7"/>
      <c r="C368" s="3"/>
    </row>
    <row r="369">
      <c r="B369" s="7"/>
      <c r="C369" s="3"/>
    </row>
    <row r="370">
      <c r="B370" s="7"/>
      <c r="C370" s="3"/>
    </row>
    <row r="371">
      <c r="B371" s="7"/>
      <c r="C371" s="3"/>
    </row>
    <row r="372">
      <c r="B372" s="7"/>
      <c r="C372" s="3"/>
    </row>
    <row r="373">
      <c r="B373" s="7"/>
      <c r="C373" s="3"/>
    </row>
    <row r="374">
      <c r="B374" s="7"/>
      <c r="C374" s="3"/>
    </row>
    <row r="375">
      <c r="B375" s="7"/>
      <c r="C375" s="3"/>
    </row>
    <row r="376">
      <c r="B376" s="7"/>
      <c r="C376" s="3"/>
    </row>
    <row r="377">
      <c r="B377" s="7"/>
      <c r="C377" s="3"/>
    </row>
    <row r="378">
      <c r="B378" s="7"/>
      <c r="C378" s="3"/>
    </row>
    <row r="379">
      <c r="B379" s="7"/>
      <c r="C379" s="3"/>
    </row>
    <row r="380">
      <c r="B380" s="7"/>
      <c r="C380" s="3"/>
    </row>
    <row r="381">
      <c r="B381" s="7"/>
      <c r="C381" s="3"/>
    </row>
    <row r="382">
      <c r="B382" s="7"/>
      <c r="C382" s="3"/>
    </row>
    <row r="383">
      <c r="B383" s="7"/>
      <c r="C383" s="3"/>
    </row>
    <row r="384">
      <c r="B384" s="7"/>
      <c r="C384" s="3"/>
    </row>
    <row r="385">
      <c r="B385" s="7"/>
      <c r="C385" s="3"/>
    </row>
    <row r="386">
      <c r="B386" s="7"/>
      <c r="C386" s="3"/>
    </row>
    <row r="387">
      <c r="B387" s="7"/>
      <c r="C387" s="3"/>
    </row>
    <row r="388">
      <c r="B388" s="7"/>
      <c r="C388" s="3"/>
    </row>
    <row r="389">
      <c r="B389" s="7"/>
      <c r="C389" s="3"/>
    </row>
    <row r="390">
      <c r="B390" s="7"/>
      <c r="C390" s="3"/>
    </row>
    <row r="391">
      <c r="B391" s="7"/>
      <c r="C391" s="3"/>
    </row>
    <row r="392">
      <c r="B392" s="7"/>
      <c r="C392" s="3"/>
    </row>
    <row r="393">
      <c r="B393" s="7"/>
      <c r="C393" s="3"/>
    </row>
    <row r="394">
      <c r="B394" s="7"/>
      <c r="C394" s="3"/>
    </row>
    <row r="395">
      <c r="B395" s="7"/>
      <c r="C395" s="3"/>
    </row>
    <row r="396">
      <c r="B396" s="7"/>
      <c r="C396" s="3"/>
    </row>
    <row r="397">
      <c r="B397" s="7"/>
      <c r="C397" s="3"/>
    </row>
    <row r="398">
      <c r="B398" s="7"/>
      <c r="C398" s="3"/>
    </row>
    <row r="399">
      <c r="B399" s="7"/>
      <c r="C399" s="3"/>
    </row>
    <row r="400">
      <c r="B400" s="7"/>
      <c r="C400" s="3"/>
    </row>
    <row r="401">
      <c r="B401" s="7"/>
      <c r="C401" s="3"/>
    </row>
    <row r="402">
      <c r="B402" s="7"/>
      <c r="C402" s="3"/>
    </row>
    <row r="403">
      <c r="B403" s="7"/>
      <c r="C403" s="3"/>
    </row>
    <row r="404">
      <c r="B404" s="7"/>
      <c r="C404" s="3"/>
    </row>
    <row r="405">
      <c r="B405" s="7"/>
      <c r="C405" s="3"/>
    </row>
    <row r="406">
      <c r="B406" s="7"/>
      <c r="C406" s="3"/>
    </row>
    <row r="407">
      <c r="B407" s="7"/>
      <c r="C407" s="3"/>
    </row>
    <row r="408">
      <c r="B408" s="7"/>
      <c r="C408" s="3"/>
    </row>
    <row r="409">
      <c r="B409" s="7"/>
      <c r="C409" s="3"/>
    </row>
    <row r="410">
      <c r="B410" s="7"/>
      <c r="C410" s="3"/>
    </row>
    <row r="411">
      <c r="B411" s="7"/>
      <c r="C411" s="3"/>
    </row>
    <row r="412">
      <c r="B412" s="7"/>
      <c r="C412" s="3"/>
    </row>
    <row r="413">
      <c r="B413" s="7"/>
      <c r="C413" s="3"/>
    </row>
    <row r="414">
      <c r="B414" s="7"/>
      <c r="C414" s="3"/>
    </row>
    <row r="415">
      <c r="B415" s="7"/>
      <c r="C415" s="3"/>
    </row>
    <row r="416">
      <c r="B416" s="7"/>
      <c r="C416" s="3"/>
    </row>
    <row r="417">
      <c r="B417" s="7"/>
      <c r="C417" s="3"/>
    </row>
    <row r="418">
      <c r="B418" s="7"/>
      <c r="C418" s="3"/>
    </row>
    <row r="419">
      <c r="B419" s="7"/>
      <c r="C419" s="3"/>
    </row>
    <row r="420">
      <c r="B420" s="7"/>
      <c r="C420" s="3"/>
    </row>
    <row r="421">
      <c r="B421" s="7"/>
      <c r="C421" s="3"/>
    </row>
    <row r="422">
      <c r="B422" s="7"/>
      <c r="C422" s="3"/>
    </row>
    <row r="423">
      <c r="B423" s="7"/>
      <c r="C423" s="3"/>
    </row>
    <row r="424">
      <c r="B424" s="7"/>
      <c r="C424" s="3"/>
    </row>
    <row r="425">
      <c r="B425" s="7"/>
      <c r="C425" s="3"/>
    </row>
    <row r="426">
      <c r="B426" s="7"/>
      <c r="C426" s="3"/>
    </row>
    <row r="427">
      <c r="B427" s="7"/>
      <c r="C427" s="3"/>
    </row>
    <row r="428">
      <c r="B428" s="7"/>
      <c r="C428" s="3"/>
    </row>
    <row r="429">
      <c r="B429" s="7"/>
      <c r="C429" s="3"/>
    </row>
    <row r="430">
      <c r="B430" s="7"/>
      <c r="C430" s="3"/>
    </row>
    <row r="431">
      <c r="B431" s="7"/>
      <c r="C431" s="3"/>
    </row>
    <row r="432">
      <c r="B432" s="7"/>
      <c r="C432" s="3"/>
    </row>
    <row r="433">
      <c r="B433" s="7"/>
      <c r="C433" s="3"/>
    </row>
    <row r="434">
      <c r="B434" s="7"/>
      <c r="C434" s="3"/>
    </row>
    <row r="435">
      <c r="B435" s="7"/>
      <c r="C435" s="3"/>
    </row>
    <row r="436">
      <c r="B436" s="7"/>
      <c r="C436" s="3"/>
    </row>
    <row r="437">
      <c r="B437" s="7"/>
      <c r="C437" s="3"/>
    </row>
    <row r="438">
      <c r="B438" s="7"/>
      <c r="C438" s="3"/>
    </row>
    <row r="439">
      <c r="B439" s="7"/>
      <c r="C439" s="3"/>
    </row>
    <row r="440">
      <c r="B440" s="7"/>
      <c r="C440" s="3"/>
    </row>
    <row r="441">
      <c r="B441" s="7"/>
      <c r="C441" s="3"/>
    </row>
    <row r="442">
      <c r="B442" s="7"/>
      <c r="C442" s="3"/>
    </row>
    <row r="443">
      <c r="B443" s="7"/>
      <c r="C443" s="3"/>
    </row>
    <row r="444">
      <c r="B444" s="7"/>
      <c r="C444" s="3"/>
    </row>
    <row r="445">
      <c r="B445" s="7"/>
      <c r="C445" s="3"/>
    </row>
    <row r="446">
      <c r="B446" s="7"/>
      <c r="C446" s="3"/>
    </row>
    <row r="447">
      <c r="B447" s="7"/>
      <c r="C447" s="3"/>
    </row>
    <row r="448">
      <c r="B448" s="7"/>
      <c r="C448" s="3"/>
    </row>
    <row r="449">
      <c r="B449" s="7"/>
      <c r="C449" s="3"/>
    </row>
    <row r="450">
      <c r="B450" s="7"/>
      <c r="C450" s="3"/>
    </row>
    <row r="451">
      <c r="B451" s="7"/>
      <c r="C451" s="3"/>
    </row>
    <row r="452">
      <c r="B452" s="7"/>
      <c r="C452" s="3"/>
    </row>
    <row r="453">
      <c r="B453" s="7"/>
      <c r="C453" s="3"/>
    </row>
    <row r="454">
      <c r="B454" s="7"/>
      <c r="C454" s="3"/>
    </row>
    <row r="455">
      <c r="B455" s="7"/>
      <c r="C455" s="3"/>
    </row>
    <row r="456">
      <c r="B456" s="7"/>
      <c r="C456" s="3"/>
    </row>
    <row r="457">
      <c r="B457" s="7"/>
      <c r="C457" s="3"/>
    </row>
    <row r="458">
      <c r="B458" s="7"/>
      <c r="C458" s="3"/>
    </row>
    <row r="459">
      <c r="B459" s="7"/>
      <c r="C459" s="3"/>
    </row>
    <row r="460">
      <c r="B460" s="7"/>
      <c r="C460" s="3"/>
    </row>
    <row r="461">
      <c r="B461" s="7"/>
      <c r="C461" s="3"/>
    </row>
    <row r="462">
      <c r="B462" s="7"/>
      <c r="C462" s="3"/>
    </row>
    <row r="463">
      <c r="B463" s="7"/>
      <c r="C463" s="3"/>
    </row>
    <row r="464">
      <c r="B464" s="7"/>
      <c r="C464" s="3"/>
    </row>
    <row r="465">
      <c r="B465" s="7"/>
      <c r="C465" s="3"/>
    </row>
    <row r="466">
      <c r="B466" s="7"/>
      <c r="C466" s="3"/>
    </row>
    <row r="467">
      <c r="B467" s="7"/>
      <c r="C467" s="3"/>
    </row>
    <row r="468">
      <c r="B468" s="7"/>
      <c r="C468" s="3"/>
    </row>
    <row r="469">
      <c r="B469" s="7"/>
      <c r="C469" s="3"/>
    </row>
    <row r="470">
      <c r="B470" s="7"/>
      <c r="C470" s="3"/>
    </row>
    <row r="471">
      <c r="B471" s="7"/>
      <c r="C471" s="3"/>
    </row>
    <row r="472">
      <c r="B472" s="7"/>
      <c r="C472" s="3"/>
    </row>
    <row r="473">
      <c r="B473" s="7"/>
      <c r="C473" s="3"/>
    </row>
    <row r="474">
      <c r="B474" s="7"/>
      <c r="C474" s="3"/>
    </row>
    <row r="475">
      <c r="B475" s="7"/>
      <c r="C475" s="3"/>
    </row>
    <row r="476">
      <c r="B476" s="7"/>
      <c r="C476" s="3"/>
    </row>
    <row r="477">
      <c r="B477" s="7"/>
      <c r="C477" s="3"/>
    </row>
    <row r="478">
      <c r="B478" s="7"/>
      <c r="C478" s="3"/>
    </row>
    <row r="479">
      <c r="B479" s="7"/>
      <c r="C479" s="3"/>
    </row>
    <row r="480">
      <c r="B480" s="7"/>
      <c r="C480" s="3"/>
    </row>
    <row r="481">
      <c r="B481" s="7"/>
      <c r="C481" s="3"/>
    </row>
    <row r="482">
      <c r="B482" s="7"/>
      <c r="C482" s="3"/>
    </row>
    <row r="483">
      <c r="B483" s="7"/>
      <c r="C483" s="3"/>
    </row>
    <row r="484">
      <c r="B484" s="7"/>
      <c r="C484" s="3"/>
    </row>
    <row r="485">
      <c r="B485" s="7"/>
      <c r="C485" s="3"/>
    </row>
    <row r="486">
      <c r="B486" s="7"/>
      <c r="C486" s="3"/>
    </row>
    <row r="487">
      <c r="B487" s="7"/>
      <c r="C487" s="3"/>
    </row>
    <row r="488">
      <c r="B488" s="7"/>
      <c r="C488" s="3"/>
    </row>
    <row r="489">
      <c r="B489" s="7"/>
      <c r="C489" s="3"/>
    </row>
    <row r="490">
      <c r="B490" s="7"/>
      <c r="C490" s="3"/>
    </row>
    <row r="491">
      <c r="B491" s="7"/>
      <c r="C491" s="3"/>
    </row>
    <row r="492">
      <c r="B492" s="7"/>
      <c r="C492" s="3"/>
    </row>
    <row r="493">
      <c r="B493" s="7"/>
      <c r="C493" s="3"/>
    </row>
    <row r="494">
      <c r="B494" s="7"/>
      <c r="C494" s="3"/>
    </row>
    <row r="495">
      <c r="B495" s="7"/>
      <c r="C495" s="3"/>
    </row>
    <row r="496">
      <c r="B496" s="7"/>
      <c r="C496" s="3"/>
    </row>
    <row r="497">
      <c r="B497" s="7"/>
      <c r="C497" s="3"/>
    </row>
    <row r="498">
      <c r="B498" s="7"/>
      <c r="C498" s="3"/>
    </row>
    <row r="499">
      <c r="B499" s="7"/>
      <c r="C499" s="3"/>
    </row>
    <row r="500">
      <c r="B500" s="7"/>
      <c r="C500" s="3"/>
    </row>
    <row r="501">
      <c r="B501" s="7"/>
      <c r="C501" s="3"/>
    </row>
    <row r="502">
      <c r="B502" s="7"/>
      <c r="C502" s="3"/>
    </row>
    <row r="503">
      <c r="B503" s="7"/>
      <c r="C503" s="3"/>
    </row>
    <row r="504">
      <c r="B504" s="7"/>
      <c r="C504" s="3"/>
    </row>
    <row r="505">
      <c r="B505" s="7"/>
      <c r="C505" s="3"/>
    </row>
    <row r="506">
      <c r="B506" s="7"/>
      <c r="C506" s="3"/>
    </row>
    <row r="507">
      <c r="B507" s="7"/>
      <c r="C507" s="3"/>
    </row>
    <row r="508">
      <c r="B508" s="7"/>
      <c r="C508" s="3"/>
    </row>
    <row r="509">
      <c r="B509" s="7"/>
      <c r="C509" s="3"/>
    </row>
    <row r="510">
      <c r="B510" s="7"/>
      <c r="C510" s="3"/>
    </row>
    <row r="511">
      <c r="B511" s="7"/>
      <c r="C511" s="3"/>
    </row>
    <row r="512">
      <c r="B512" s="7"/>
      <c r="C512" s="3"/>
    </row>
    <row r="513">
      <c r="B513" s="7"/>
      <c r="C513" s="3"/>
    </row>
    <row r="514">
      <c r="B514" s="7"/>
      <c r="C514" s="3"/>
    </row>
    <row r="515">
      <c r="B515" s="7"/>
      <c r="C515" s="3"/>
    </row>
    <row r="516">
      <c r="B516" s="7"/>
      <c r="C516" s="3"/>
    </row>
    <row r="517">
      <c r="B517" s="7"/>
      <c r="C517" s="3"/>
    </row>
    <row r="518">
      <c r="B518" s="7"/>
      <c r="C518" s="3"/>
    </row>
    <row r="519">
      <c r="B519" s="7"/>
      <c r="C519" s="3"/>
    </row>
    <row r="520">
      <c r="B520" s="7"/>
      <c r="C520" s="3"/>
    </row>
    <row r="521">
      <c r="B521" s="7"/>
      <c r="C521" s="3"/>
    </row>
    <row r="522">
      <c r="B522" s="7"/>
      <c r="C522" s="3"/>
    </row>
    <row r="523">
      <c r="B523" s="7"/>
      <c r="C523" s="3"/>
    </row>
    <row r="524">
      <c r="B524" s="7"/>
      <c r="C524" s="3"/>
    </row>
    <row r="525">
      <c r="B525" s="7"/>
      <c r="C525" s="3"/>
    </row>
    <row r="526">
      <c r="B526" s="7"/>
      <c r="C526" s="3"/>
    </row>
    <row r="527">
      <c r="B527" s="7"/>
      <c r="C527" s="3"/>
    </row>
    <row r="528">
      <c r="B528" s="7"/>
      <c r="C528" s="3"/>
    </row>
    <row r="529">
      <c r="B529" s="7"/>
      <c r="C529" s="3"/>
    </row>
    <row r="530">
      <c r="B530" s="7"/>
      <c r="C530" s="3"/>
    </row>
    <row r="531">
      <c r="B531" s="7"/>
      <c r="C531" s="3"/>
    </row>
    <row r="532">
      <c r="B532" s="7"/>
      <c r="C532" s="3"/>
    </row>
    <row r="533">
      <c r="B533" s="7"/>
      <c r="C533" s="3"/>
    </row>
    <row r="534">
      <c r="B534" s="7"/>
      <c r="C534" s="3"/>
    </row>
    <row r="535">
      <c r="B535" s="7"/>
      <c r="C535" s="3"/>
    </row>
    <row r="536">
      <c r="B536" s="7"/>
      <c r="C536" s="3"/>
    </row>
    <row r="537">
      <c r="B537" s="7"/>
      <c r="C537" s="3"/>
    </row>
    <row r="538">
      <c r="B538" s="7"/>
      <c r="C538" s="3"/>
    </row>
    <row r="539">
      <c r="B539" s="7"/>
      <c r="C539" s="3"/>
    </row>
    <row r="540">
      <c r="B540" s="7"/>
      <c r="C540" s="3"/>
    </row>
    <row r="541">
      <c r="B541" s="7"/>
      <c r="C541" s="3"/>
    </row>
    <row r="542">
      <c r="B542" s="7"/>
      <c r="C542" s="3"/>
    </row>
    <row r="543">
      <c r="B543" s="7"/>
      <c r="C543" s="3"/>
    </row>
    <row r="544">
      <c r="B544" s="7"/>
      <c r="C544" s="3"/>
    </row>
    <row r="545">
      <c r="B545" s="7"/>
      <c r="C545" s="3"/>
    </row>
    <row r="546">
      <c r="B546" s="7"/>
      <c r="C546" s="3"/>
    </row>
    <row r="547">
      <c r="B547" s="7"/>
      <c r="C547" s="3"/>
    </row>
    <row r="548">
      <c r="B548" s="7"/>
      <c r="C548" s="3"/>
    </row>
    <row r="549">
      <c r="B549" s="7"/>
      <c r="C549" s="3"/>
    </row>
    <row r="550">
      <c r="B550" s="7"/>
      <c r="C550" s="3"/>
    </row>
    <row r="551">
      <c r="B551" s="7"/>
      <c r="C551" s="3"/>
    </row>
    <row r="552">
      <c r="B552" s="7"/>
      <c r="C552" s="3"/>
    </row>
    <row r="553">
      <c r="B553" s="7"/>
      <c r="C553" s="3"/>
    </row>
    <row r="554">
      <c r="B554" s="7"/>
      <c r="C554" s="3"/>
    </row>
    <row r="555">
      <c r="B555" s="7"/>
      <c r="C555" s="3"/>
    </row>
    <row r="556">
      <c r="B556" s="7"/>
      <c r="C556" s="3"/>
    </row>
    <row r="557">
      <c r="B557" s="7"/>
      <c r="C557" s="3"/>
    </row>
    <row r="558">
      <c r="B558" s="7"/>
      <c r="C558" s="3"/>
    </row>
    <row r="559">
      <c r="B559" s="7"/>
      <c r="C559" s="3"/>
    </row>
    <row r="560">
      <c r="B560" s="7"/>
      <c r="C560" s="3"/>
    </row>
    <row r="561">
      <c r="B561" s="7"/>
      <c r="C561" s="3"/>
    </row>
    <row r="562">
      <c r="B562" s="7"/>
      <c r="C562" s="3"/>
    </row>
    <row r="563">
      <c r="B563" s="7"/>
      <c r="C563" s="3"/>
    </row>
    <row r="564">
      <c r="B564" s="7"/>
      <c r="C564" s="3"/>
    </row>
    <row r="565">
      <c r="B565" s="7"/>
      <c r="C565" s="3"/>
    </row>
    <row r="566">
      <c r="B566" s="7"/>
      <c r="C566" s="3"/>
    </row>
    <row r="567">
      <c r="B567" s="7"/>
      <c r="C567" s="3"/>
    </row>
    <row r="568">
      <c r="B568" s="7"/>
      <c r="C568" s="3"/>
    </row>
    <row r="569">
      <c r="B569" s="7"/>
      <c r="C569" s="3"/>
    </row>
    <row r="570">
      <c r="B570" s="7"/>
      <c r="C570" s="3"/>
    </row>
    <row r="571">
      <c r="B571" s="7"/>
      <c r="C571" s="3"/>
    </row>
    <row r="572">
      <c r="B572" s="7"/>
      <c r="C572" s="3"/>
    </row>
    <row r="573">
      <c r="B573" s="7"/>
      <c r="C573" s="3"/>
    </row>
    <row r="574">
      <c r="B574" s="7"/>
      <c r="C574" s="3"/>
    </row>
    <row r="575">
      <c r="B575" s="7"/>
      <c r="C575" s="3"/>
    </row>
    <row r="576">
      <c r="B576" s="7"/>
      <c r="C576" s="3"/>
    </row>
    <row r="577">
      <c r="B577" s="7"/>
      <c r="C577" s="3"/>
    </row>
    <row r="578">
      <c r="B578" s="7"/>
      <c r="C578" s="3"/>
    </row>
    <row r="579">
      <c r="B579" s="7"/>
      <c r="C579" s="3"/>
    </row>
    <row r="580">
      <c r="B580" s="7"/>
      <c r="C580" s="3"/>
    </row>
    <row r="581">
      <c r="B581" s="7"/>
      <c r="C581" s="3"/>
    </row>
    <row r="582">
      <c r="B582" s="7"/>
      <c r="C582" s="3"/>
    </row>
    <row r="583">
      <c r="B583" s="7"/>
      <c r="C583" s="3"/>
    </row>
    <row r="584">
      <c r="B584" s="7"/>
      <c r="C584" s="3"/>
    </row>
    <row r="585">
      <c r="B585" s="7"/>
      <c r="C585" s="3"/>
    </row>
    <row r="586">
      <c r="B586" s="7"/>
      <c r="C586" s="3"/>
    </row>
    <row r="587">
      <c r="B587" s="7"/>
      <c r="C587" s="3"/>
    </row>
    <row r="588">
      <c r="B588" s="7"/>
      <c r="C588" s="3"/>
    </row>
    <row r="589">
      <c r="B589" s="7"/>
      <c r="C589" s="3"/>
    </row>
    <row r="590">
      <c r="B590" s="7"/>
      <c r="C590" s="3"/>
    </row>
    <row r="591">
      <c r="B591" s="7"/>
      <c r="C591" s="3"/>
    </row>
    <row r="592">
      <c r="B592" s="7"/>
      <c r="C592" s="3"/>
    </row>
    <row r="593">
      <c r="B593" s="7"/>
      <c r="C593" s="3"/>
    </row>
    <row r="594">
      <c r="B594" s="7"/>
      <c r="C594" s="3"/>
    </row>
    <row r="595">
      <c r="B595" s="7"/>
      <c r="C595" s="3"/>
    </row>
    <row r="596">
      <c r="B596" s="7"/>
      <c r="C596" s="3"/>
    </row>
    <row r="597">
      <c r="B597" s="7"/>
      <c r="C597" s="3"/>
    </row>
    <row r="598">
      <c r="B598" s="7"/>
      <c r="C598" s="3"/>
    </row>
    <row r="599">
      <c r="B599" s="7"/>
      <c r="C599" s="3"/>
    </row>
    <row r="600">
      <c r="B600" s="7"/>
      <c r="C600" s="3"/>
    </row>
    <row r="601">
      <c r="B601" s="7"/>
      <c r="C601" s="3"/>
    </row>
    <row r="602">
      <c r="B602" s="7"/>
      <c r="C602" s="3"/>
    </row>
    <row r="603">
      <c r="B603" s="7"/>
      <c r="C603" s="3"/>
    </row>
    <row r="604">
      <c r="B604" s="7"/>
      <c r="C604" s="3"/>
    </row>
    <row r="605">
      <c r="B605" s="7"/>
      <c r="C605" s="3"/>
    </row>
    <row r="606">
      <c r="B606" s="7"/>
      <c r="C606" s="3"/>
    </row>
    <row r="607">
      <c r="B607" s="7"/>
      <c r="C607" s="3"/>
    </row>
    <row r="608">
      <c r="B608" s="7"/>
      <c r="C608" s="3"/>
    </row>
    <row r="609">
      <c r="B609" s="7"/>
      <c r="C609" s="3"/>
    </row>
    <row r="610">
      <c r="B610" s="7"/>
      <c r="C610" s="3"/>
    </row>
    <row r="611">
      <c r="B611" s="7"/>
      <c r="C611" s="3"/>
    </row>
    <row r="612">
      <c r="B612" s="7"/>
      <c r="C612" s="3"/>
    </row>
    <row r="613">
      <c r="B613" s="7"/>
      <c r="C613" s="3"/>
    </row>
    <row r="614">
      <c r="B614" s="7"/>
      <c r="C614" s="3"/>
    </row>
    <row r="615">
      <c r="B615" s="7"/>
      <c r="C615" s="3"/>
    </row>
    <row r="616">
      <c r="B616" s="7"/>
      <c r="C616" s="3"/>
    </row>
    <row r="617">
      <c r="B617" s="7"/>
      <c r="C617" s="3"/>
    </row>
    <row r="618">
      <c r="B618" s="7"/>
      <c r="C618" s="3"/>
    </row>
    <row r="619">
      <c r="B619" s="7"/>
      <c r="C619" s="3"/>
    </row>
    <row r="620">
      <c r="B620" s="7"/>
      <c r="C620" s="3"/>
    </row>
    <row r="621">
      <c r="B621" s="7"/>
      <c r="C621" s="3"/>
    </row>
    <row r="622">
      <c r="B622" s="7"/>
      <c r="C622" s="3"/>
    </row>
    <row r="623">
      <c r="B623" s="7"/>
      <c r="C623" s="3"/>
    </row>
    <row r="624">
      <c r="B624" s="7"/>
      <c r="C624" s="3"/>
    </row>
    <row r="625">
      <c r="B625" s="7"/>
      <c r="C625" s="3"/>
    </row>
    <row r="626">
      <c r="B626" s="7"/>
      <c r="C626" s="3"/>
    </row>
    <row r="627">
      <c r="B627" s="7"/>
      <c r="C627" s="3"/>
    </row>
    <row r="628">
      <c r="B628" s="7"/>
      <c r="C628" s="3"/>
    </row>
    <row r="629">
      <c r="B629" s="7"/>
      <c r="C629" s="3"/>
    </row>
    <row r="630">
      <c r="B630" s="7"/>
      <c r="C630" s="3"/>
    </row>
    <row r="631">
      <c r="B631" s="7"/>
      <c r="C631" s="3"/>
    </row>
    <row r="632">
      <c r="B632" s="7"/>
      <c r="C632" s="3"/>
    </row>
    <row r="633">
      <c r="B633" s="7"/>
      <c r="C633" s="3"/>
    </row>
    <row r="634">
      <c r="B634" s="7"/>
      <c r="C634" s="3"/>
    </row>
    <row r="635">
      <c r="B635" s="7"/>
      <c r="C635" s="3"/>
    </row>
    <row r="636">
      <c r="B636" s="7"/>
      <c r="C636" s="3"/>
    </row>
    <row r="637">
      <c r="B637" s="7"/>
      <c r="C637" s="3"/>
    </row>
    <row r="638">
      <c r="B638" s="7"/>
      <c r="C638" s="3"/>
    </row>
    <row r="639">
      <c r="B639" s="7"/>
      <c r="C639" s="3"/>
    </row>
    <row r="640">
      <c r="B640" s="7"/>
      <c r="C640" s="3"/>
    </row>
    <row r="641">
      <c r="B641" s="7"/>
      <c r="C641" s="3"/>
    </row>
    <row r="642">
      <c r="B642" s="7"/>
      <c r="C642" s="3"/>
    </row>
    <row r="643">
      <c r="B643" s="7"/>
      <c r="C643" s="3"/>
    </row>
    <row r="644">
      <c r="B644" s="7"/>
      <c r="C644" s="3"/>
    </row>
    <row r="645">
      <c r="B645" s="7"/>
      <c r="C645" s="3"/>
    </row>
    <row r="646">
      <c r="B646" s="7"/>
      <c r="C646" s="3"/>
    </row>
    <row r="647">
      <c r="B647" s="7"/>
      <c r="C647" s="3"/>
    </row>
    <row r="648">
      <c r="B648" s="7"/>
      <c r="C648" s="3"/>
    </row>
    <row r="649">
      <c r="B649" s="7"/>
      <c r="C649" s="3"/>
    </row>
    <row r="650">
      <c r="B650" s="7"/>
      <c r="C650" s="3"/>
    </row>
    <row r="651">
      <c r="B651" s="7"/>
      <c r="C651" s="3"/>
    </row>
    <row r="652">
      <c r="B652" s="7"/>
      <c r="C652" s="3"/>
    </row>
    <row r="653">
      <c r="B653" s="7"/>
      <c r="C653" s="3"/>
    </row>
    <row r="654">
      <c r="B654" s="7"/>
      <c r="C654" s="3"/>
    </row>
    <row r="655">
      <c r="B655" s="7"/>
      <c r="C655" s="3"/>
    </row>
    <row r="656">
      <c r="B656" s="7"/>
      <c r="C656" s="3"/>
    </row>
    <row r="657">
      <c r="B657" s="7"/>
      <c r="C657" s="3"/>
    </row>
    <row r="658">
      <c r="B658" s="7"/>
      <c r="C658" s="3"/>
    </row>
    <row r="659">
      <c r="B659" s="7"/>
      <c r="C659" s="3"/>
    </row>
    <row r="660">
      <c r="B660" s="7"/>
      <c r="C660" s="3"/>
    </row>
    <row r="661">
      <c r="B661" s="7"/>
      <c r="C661" s="3"/>
    </row>
    <row r="662">
      <c r="B662" s="7"/>
      <c r="C662" s="3"/>
    </row>
    <row r="663">
      <c r="B663" s="7"/>
      <c r="C663" s="3"/>
    </row>
    <row r="664">
      <c r="B664" s="7"/>
      <c r="C664" s="3"/>
    </row>
    <row r="665">
      <c r="B665" s="7"/>
      <c r="C665" s="3"/>
    </row>
    <row r="666">
      <c r="B666" s="7"/>
      <c r="C666" s="3"/>
    </row>
    <row r="667">
      <c r="B667" s="7"/>
      <c r="C667" s="3"/>
    </row>
    <row r="668">
      <c r="B668" s="7"/>
      <c r="C668" s="3"/>
    </row>
    <row r="669">
      <c r="B669" s="7"/>
      <c r="C669" s="3"/>
    </row>
    <row r="670">
      <c r="B670" s="7"/>
      <c r="C670" s="3"/>
    </row>
    <row r="671">
      <c r="B671" s="7"/>
      <c r="C671" s="3"/>
    </row>
    <row r="672">
      <c r="B672" s="7"/>
      <c r="C672" s="3"/>
    </row>
    <row r="673">
      <c r="B673" s="7"/>
      <c r="C673" s="3"/>
    </row>
    <row r="674">
      <c r="B674" s="7"/>
      <c r="C674" s="3"/>
    </row>
    <row r="675">
      <c r="B675" s="7"/>
      <c r="C675" s="3"/>
    </row>
    <row r="676">
      <c r="B676" s="7"/>
      <c r="C676" s="3"/>
    </row>
    <row r="677">
      <c r="B677" s="7"/>
      <c r="C677" s="3"/>
    </row>
    <row r="678">
      <c r="B678" s="7"/>
      <c r="C678" s="3"/>
    </row>
    <row r="679">
      <c r="B679" s="7"/>
      <c r="C679" s="3"/>
    </row>
    <row r="680">
      <c r="B680" s="7"/>
      <c r="C680" s="3"/>
    </row>
    <row r="681">
      <c r="B681" s="7"/>
      <c r="C681" s="3"/>
    </row>
    <row r="682">
      <c r="B682" s="7"/>
      <c r="C682" s="3"/>
    </row>
    <row r="683">
      <c r="B683" s="7"/>
      <c r="C683" s="3"/>
    </row>
    <row r="684">
      <c r="B684" s="7"/>
      <c r="C684" s="3"/>
    </row>
    <row r="685">
      <c r="B685" s="7"/>
      <c r="C685" s="3"/>
    </row>
    <row r="686">
      <c r="B686" s="7"/>
      <c r="C686" s="3"/>
    </row>
    <row r="687">
      <c r="B687" s="7"/>
      <c r="C687" s="3"/>
    </row>
    <row r="688">
      <c r="B688" s="7"/>
      <c r="C688" s="3"/>
    </row>
    <row r="689">
      <c r="B689" s="7"/>
      <c r="C689" s="3"/>
    </row>
    <row r="690">
      <c r="B690" s="7"/>
      <c r="C690" s="3"/>
    </row>
    <row r="691">
      <c r="B691" s="7"/>
      <c r="C691" s="3"/>
    </row>
    <row r="692">
      <c r="B692" s="7"/>
      <c r="C692" s="3"/>
    </row>
    <row r="693">
      <c r="B693" s="7"/>
      <c r="C693" s="3"/>
    </row>
    <row r="694">
      <c r="B694" s="7"/>
      <c r="C694" s="3"/>
    </row>
    <row r="695">
      <c r="B695" s="7"/>
      <c r="C695" s="3"/>
    </row>
    <row r="696">
      <c r="B696" s="7"/>
      <c r="C696" s="3"/>
    </row>
    <row r="697">
      <c r="B697" s="7"/>
      <c r="C697" s="3"/>
    </row>
    <row r="698">
      <c r="B698" s="7"/>
      <c r="C698" s="3"/>
    </row>
    <row r="699">
      <c r="B699" s="7"/>
      <c r="C699" s="3"/>
    </row>
    <row r="700">
      <c r="B700" s="7"/>
      <c r="C700" s="3"/>
    </row>
    <row r="701">
      <c r="B701" s="7"/>
      <c r="C701" s="3"/>
    </row>
    <row r="702">
      <c r="B702" s="7"/>
      <c r="C702" s="3"/>
    </row>
    <row r="703">
      <c r="B703" s="7"/>
      <c r="C703" s="3"/>
    </row>
    <row r="704">
      <c r="B704" s="7"/>
      <c r="C704" s="3"/>
    </row>
    <row r="705">
      <c r="B705" s="7"/>
      <c r="C705" s="3"/>
    </row>
    <row r="706">
      <c r="B706" s="7"/>
      <c r="C706" s="3"/>
    </row>
    <row r="707">
      <c r="B707" s="7"/>
      <c r="C707" s="3"/>
    </row>
    <row r="708">
      <c r="B708" s="7"/>
      <c r="C708" s="3"/>
    </row>
    <row r="709">
      <c r="B709" s="7"/>
      <c r="C709" s="3"/>
    </row>
    <row r="710">
      <c r="B710" s="7"/>
      <c r="C710" s="3"/>
    </row>
    <row r="711">
      <c r="B711" s="7"/>
      <c r="C711" s="3"/>
    </row>
    <row r="712">
      <c r="B712" s="7"/>
      <c r="C712" s="3"/>
    </row>
    <row r="713">
      <c r="B713" s="7"/>
      <c r="C713" s="3"/>
    </row>
    <row r="714">
      <c r="B714" s="7"/>
      <c r="C714" s="3"/>
    </row>
    <row r="715">
      <c r="B715" s="7"/>
      <c r="C715" s="3"/>
    </row>
    <row r="716">
      <c r="B716" s="7"/>
      <c r="C716" s="3"/>
    </row>
    <row r="717">
      <c r="B717" s="7"/>
      <c r="C717" s="3"/>
    </row>
    <row r="718">
      <c r="B718" s="7"/>
      <c r="C718" s="3"/>
    </row>
    <row r="719">
      <c r="B719" s="7"/>
      <c r="C719" s="3"/>
    </row>
    <row r="720">
      <c r="B720" s="7"/>
      <c r="C720" s="3"/>
    </row>
    <row r="721">
      <c r="B721" s="7"/>
      <c r="C721" s="3"/>
    </row>
    <row r="722">
      <c r="B722" s="7"/>
      <c r="C722" s="3"/>
    </row>
    <row r="723">
      <c r="B723" s="7"/>
      <c r="C723" s="3"/>
    </row>
    <row r="724">
      <c r="B724" s="7"/>
      <c r="C724" s="3"/>
    </row>
    <row r="725">
      <c r="B725" s="7"/>
      <c r="C725" s="3"/>
    </row>
    <row r="726">
      <c r="B726" s="7"/>
      <c r="C726" s="3"/>
    </row>
    <row r="727">
      <c r="B727" s="7"/>
      <c r="C727" s="3"/>
    </row>
    <row r="728">
      <c r="B728" s="7"/>
      <c r="C728" s="3"/>
    </row>
    <row r="729">
      <c r="B729" s="7"/>
      <c r="C729" s="3"/>
    </row>
    <row r="730">
      <c r="B730" s="7"/>
      <c r="C730" s="3"/>
    </row>
    <row r="731">
      <c r="B731" s="7"/>
      <c r="C731" s="3"/>
    </row>
    <row r="732">
      <c r="B732" s="7"/>
      <c r="C732" s="3"/>
    </row>
    <row r="733">
      <c r="B733" s="7"/>
      <c r="C733" s="3"/>
    </row>
    <row r="734">
      <c r="B734" s="7"/>
      <c r="C734" s="3"/>
    </row>
    <row r="735">
      <c r="B735" s="7"/>
      <c r="C735" s="3"/>
    </row>
    <row r="736">
      <c r="B736" s="7"/>
      <c r="C736" s="3"/>
    </row>
    <row r="737">
      <c r="B737" s="7"/>
      <c r="C737" s="3"/>
    </row>
    <row r="738">
      <c r="B738" s="7"/>
      <c r="C738" s="3"/>
    </row>
    <row r="739">
      <c r="B739" s="7"/>
      <c r="C739" s="3"/>
    </row>
    <row r="740">
      <c r="B740" s="7"/>
      <c r="C740" s="3"/>
    </row>
    <row r="741">
      <c r="B741" s="7"/>
      <c r="C741" s="3"/>
    </row>
    <row r="742">
      <c r="B742" s="7"/>
      <c r="C742" s="3"/>
    </row>
    <row r="743">
      <c r="B743" s="7"/>
      <c r="C743" s="3"/>
    </row>
    <row r="744">
      <c r="B744" s="7"/>
      <c r="C744" s="3"/>
    </row>
    <row r="745">
      <c r="B745" s="7"/>
      <c r="C745" s="3"/>
    </row>
    <row r="746">
      <c r="B746" s="7"/>
      <c r="C746" s="3"/>
    </row>
    <row r="747">
      <c r="B747" s="7"/>
      <c r="C747" s="3"/>
    </row>
    <row r="748">
      <c r="B748" s="7"/>
      <c r="C748" s="3"/>
    </row>
    <row r="749">
      <c r="B749" s="7"/>
      <c r="C749" s="3"/>
    </row>
    <row r="750">
      <c r="B750" s="7"/>
      <c r="C750" s="3"/>
    </row>
    <row r="751">
      <c r="B751" s="7"/>
      <c r="C751" s="3"/>
    </row>
    <row r="752">
      <c r="B752" s="7"/>
      <c r="C752" s="3"/>
    </row>
    <row r="753">
      <c r="B753" s="7"/>
      <c r="C753" s="3"/>
    </row>
    <row r="754">
      <c r="B754" s="7"/>
      <c r="C754" s="3"/>
    </row>
    <row r="755">
      <c r="B755" s="7"/>
      <c r="C755" s="3"/>
    </row>
    <row r="756">
      <c r="B756" s="7"/>
      <c r="C756" s="3"/>
    </row>
    <row r="757">
      <c r="B757" s="7"/>
      <c r="C757" s="3"/>
    </row>
    <row r="758">
      <c r="B758" s="7"/>
      <c r="C758" s="3"/>
    </row>
    <row r="759">
      <c r="B759" s="7"/>
      <c r="C759" s="3"/>
    </row>
    <row r="760">
      <c r="B760" s="7"/>
      <c r="C760" s="3"/>
    </row>
    <row r="761">
      <c r="B761" s="7"/>
      <c r="C761" s="3"/>
    </row>
    <row r="762">
      <c r="B762" s="7"/>
      <c r="C762" s="3"/>
    </row>
    <row r="763">
      <c r="B763" s="7"/>
      <c r="C763" s="3"/>
    </row>
    <row r="764">
      <c r="B764" s="7"/>
      <c r="C764" s="3"/>
    </row>
    <row r="765">
      <c r="B765" s="7"/>
      <c r="C765" s="3"/>
    </row>
    <row r="766">
      <c r="B766" s="7"/>
      <c r="C766" s="3"/>
    </row>
    <row r="767">
      <c r="B767" s="7"/>
      <c r="C767" s="3"/>
    </row>
    <row r="768">
      <c r="B768" s="7"/>
      <c r="C768" s="3"/>
    </row>
    <row r="769">
      <c r="B769" s="7"/>
      <c r="C769" s="3"/>
    </row>
    <row r="770">
      <c r="B770" s="7"/>
      <c r="C770" s="3"/>
    </row>
    <row r="771">
      <c r="B771" s="7"/>
      <c r="C771" s="3"/>
    </row>
    <row r="772">
      <c r="B772" s="7"/>
      <c r="C772" s="3"/>
    </row>
    <row r="773">
      <c r="B773" s="7"/>
      <c r="C773" s="3"/>
    </row>
    <row r="774">
      <c r="B774" s="7"/>
      <c r="C774" s="3"/>
    </row>
    <row r="775">
      <c r="B775" s="7"/>
      <c r="C775" s="3"/>
    </row>
    <row r="776">
      <c r="B776" s="7"/>
      <c r="C776" s="3"/>
    </row>
    <row r="777">
      <c r="B777" s="7"/>
      <c r="C777" s="3"/>
    </row>
    <row r="778">
      <c r="B778" s="7"/>
      <c r="C778" s="3"/>
    </row>
    <row r="779">
      <c r="B779" s="7"/>
      <c r="C779" s="3"/>
    </row>
    <row r="780">
      <c r="B780" s="7"/>
      <c r="C780" s="3"/>
    </row>
    <row r="781">
      <c r="B781" s="7"/>
      <c r="C781" s="3"/>
    </row>
    <row r="782">
      <c r="B782" s="7"/>
      <c r="C782" s="3"/>
    </row>
    <row r="783">
      <c r="B783" s="7"/>
      <c r="C783" s="3"/>
    </row>
    <row r="784">
      <c r="B784" s="7"/>
      <c r="C784" s="3"/>
    </row>
    <row r="785">
      <c r="B785" s="7"/>
      <c r="C785" s="3"/>
    </row>
    <row r="786">
      <c r="B786" s="7"/>
      <c r="C786" s="3"/>
    </row>
    <row r="787">
      <c r="B787" s="7"/>
      <c r="C787" s="3"/>
    </row>
    <row r="788">
      <c r="B788" s="7"/>
      <c r="C788" s="3"/>
    </row>
    <row r="789">
      <c r="B789" s="7"/>
      <c r="C789" s="3"/>
    </row>
    <row r="790">
      <c r="B790" s="7"/>
      <c r="C790" s="3"/>
    </row>
    <row r="791">
      <c r="B791" s="7"/>
      <c r="C791" s="3"/>
    </row>
    <row r="792">
      <c r="B792" s="7"/>
      <c r="C792" s="3"/>
    </row>
    <row r="793">
      <c r="B793" s="7"/>
      <c r="C793" s="3"/>
    </row>
    <row r="794">
      <c r="B794" s="7"/>
      <c r="C794" s="3"/>
    </row>
    <row r="795">
      <c r="B795" s="7"/>
      <c r="C795" s="3"/>
    </row>
    <row r="796">
      <c r="B796" s="7"/>
      <c r="C796" s="3"/>
    </row>
    <row r="797">
      <c r="B797" s="7"/>
      <c r="C797" s="3"/>
    </row>
    <row r="798">
      <c r="B798" s="7"/>
      <c r="C798" s="3"/>
    </row>
    <row r="799">
      <c r="B799" s="7"/>
      <c r="C799" s="3"/>
    </row>
    <row r="800">
      <c r="B800" s="7"/>
      <c r="C800" s="3"/>
    </row>
    <row r="801">
      <c r="B801" s="7"/>
      <c r="C801" s="3"/>
    </row>
    <row r="802">
      <c r="B802" s="7"/>
      <c r="C802" s="3"/>
    </row>
    <row r="803">
      <c r="B803" s="7"/>
      <c r="C803" s="3"/>
    </row>
    <row r="804">
      <c r="B804" s="7"/>
      <c r="C804" s="3"/>
    </row>
    <row r="805">
      <c r="B805" s="7"/>
      <c r="C805" s="3"/>
    </row>
    <row r="806">
      <c r="B806" s="7"/>
      <c r="C806" s="3"/>
    </row>
    <row r="807">
      <c r="B807" s="7"/>
      <c r="C807" s="3"/>
    </row>
    <row r="808">
      <c r="B808" s="7"/>
      <c r="C808" s="3"/>
    </row>
    <row r="809">
      <c r="B809" s="7"/>
      <c r="C809" s="3"/>
    </row>
    <row r="810">
      <c r="B810" s="7"/>
      <c r="C810" s="3"/>
    </row>
    <row r="811">
      <c r="B811" s="7"/>
      <c r="C811" s="3"/>
    </row>
    <row r="812">
      <c r="B812" s="7"/>
      <c r="C812" s="3"/>
    </row>
    <row r="813">
      <c r="B813" s="7"/>
      <c r="C813" s="3"/>
    </row>
    <row r="814">
      <c r="B814" s="7"/>
      <c r="C814" s="3"/>
    </row>
    <row r="815">
      <c r="B815" s="7"/>
      <c r="C815" s="3"/>
    </row>
    <row r="816">
      <c r="B816" s="7"/>
      <c r="C816" s="3"/>
    </row>
    <row r="817">
      <c r="B817" s="7"/>
      <c r="C817" s="3"/>
    </row>
    <row r="818">
      <c r="B818" s="7"/>
      <c r="C818" s="3"/>
    </row>
    <row r="819">
      <c r="B819" s="7"/>
      <c r="C819" s="3"/>
    </row>
    <row r="820">
      <c r="B820" s="7"/>
      <c r="C820" s="3"/>
    </row>
    <row r="821">
      <c r="B821" s="7"/>
      <c r="C821" s="3"/>
    </row>
    <row r="822">
      <c r="B822" s="7"/>
      <c r="C822" s="3"/>
    </row>
    <row r="823">
      <c r="B823" s="7"/>
      <c r="C823" s="3"/>
    </row>
    <row r="824">
      <c r="B824" s="7"/>
      <c r="C824" s="3"/>
    </row>
    <row r="825">
      <c r="B825" s="7"/>
      <c r="C825" s="3"/>
    </row>
    <row r="826">
      <c r="B826" s="7"/>
      <c r="C826" s="3"/>
    </row>
    <row r="827">
      <c r="B827" s="7"/>
      <c r="C827" s="3"/>
    </row>
    <row r="828">
      <c r="B828" s="7"/>
      <c r="C828" s="3"/>
    </row>
    <row r="829">
      <c r="B829" s="7"/>
      <c r="C829" s="3"/>
    </row>
    <row r="830">
      <c r="B830" s="7"/>
      <c r="C830" s="3"/>
    </row>
    <row r="831">
      <c r="B831" s="7"/>
      <c r="C831" s="3"/>
    </row>
    <row r="832">
      <c r="B832" s="7"/>
      <c r="C832" s="3"/>
    </row>
    <row r="833">
      <c r="B833" s="7"/>
      <c r="C833" s="3"/>
    </row>
    <row r="834">
      <c r="B834" s="7"/>
      <c r="C834" s="3"/>
    </row>
    <row r="835">
      <c r="B835" s="7"/>
      <c r="C835" s="3"/>
    </row>
    <row r="836">
      <c r="B836" s="7"/>
      <c r="C836" s="3"/>
    </row>
    <row r="837">
      <c r="B837" s="7"/>
      <c r="C837" s="3"/>
    </row>
    <row r="838">
      <c r="B838" s="7"/>
      <c r="C838" s="3"/>
    </row>
    <row r="839">
      <c r="B839" s="7"/>
      <c r="C839" s="3"/>
    </row>
    <row r="840">
      <c r="B840" s="7"/>
      <c r="C840" s="3"/>
    </row>
    <row r="841">
      <c r="B841" s="7"/>
      <c r="C841" s="3"/>
    </row>
    <row r="842">
      <c r="B842" s="7"/>
      <c r="C842" s="3"/>
    </row>
    <row r="843">
      <c r="B843" s="7"/>
      <c r="C843" s="3"/>
    </row>
    <row r="844">
      <c r="B844" s="7"/>
      <c r="C844" s="3"/>
    </row>
    <row r="845">
      <c r="B845" s="7"/>
      <c r="C845" s="3"/>
    </row>
    <row r="846">
      <c r="B846" s="7"/>
      <c r="C846" s="3"/>
    </row>
    <row r="847">
      <c r="B847" s="7"/>
      <c r="C847" s="3"/>
    </row>
    <row r="848">
      <c r="B848" s="7"/>
      <c r="C848" s="3"/>
    </row>
    <row r="849">
      <c r="B849" s="7"/>
      <c r="C849" s="3"/>
    </row>
    <row r="850">
      <c r="B850" s="7"/>
      <c r="C850" s="3"/>
    </row>
    <row r="851">
      <c r="B851" s="7"/>
      <c r="C851" s="3"/>
    </row>
    <row r="852">
      <c r="B852" s="7"/>
      <c r="C852" s="3"/>
    </row>
    <row r="853">
      <c r="B853" s="7"/>
      <c r="C853" s="3"/>
    </row>
    <row r="854">
      <c r="B854" s="7"/>
      <c r="C854" s="3"/>
    </row>
    <row r="855">
      <c r="B855" s="7"/>
      <c r="C855" s="3"/>
    </row>
    <row r="856">
      <c r="B856" s="7"/>
      <c r="C856" s="3"/>
    </row>
    <row r="857">
      <c r="B857" s="7"/>
      <c r="C857" s="3"/>
    </row>
    <row r="858">
      <c r="B858" s="7"/>
      <c r="C858" s="3"/>
    </row>
    <row r="859">
      <c r="B859" s="7"/>
      <c r="C859" s="3"/>
    </row>
    <row r="860">
      <c r="B860" s="7"/>
      <c r="C860" s="3"/>
    </row>
    <row r="861">
      <c r="B861" s="7"/>
      <c r="C861" s="3"/>
    </row>
    <row r="862">
      <c r="B862" s="7"/>
      <c r="C862" s="3"/>
    </row>
    <row r="863">
      <c r="B863" s="7"/>
      <c r="C863" s="3"/>
    </row>
    <row r="864">
      <c r="B864" s="7"/>
      <c r="C864" s="3"/>
    </row>
    <row r="865">
      <c r="B865" s="7"/>
      <c r="C865" s="3"/>
    </row>
    <row r="866">
      <c r="B866" s="7"/>
      <c r="C866" s="3"/>
    </row>
    <row r="867">
      <c r="B867" s="7"/>
      <c r="C867" s="3"/>
    </row>
    <row r="868">
      <c r="B868" s="7"/>
      <c r="C868" s="3"/>
    </row>
    <row r="869">
      <c r="B869" s="7"/>
      <c r="C869" s="3"/>
    </row>
    <row r="870">
      <c r="B870" s="7"/>
      <c r="C870" s="3"/>
    </row>
    <row r="871">
      <c r="B871" s="7"/>
      <c r="C871" s="3"/>
    </row>
    <row r="872">
      <c r="B872" s="7"/>
      <c r="C872" s="3"/>
    </row>
    <row r="873">
      <c r="B873" s="7"/>
      <c r="C873" s="3"/>
    </row>
    <row r="874">
      <c r="B874" s="7"/>
      <c r="C874" s="3"/>
    </row>
    <row r="875">
      <c r="B875" s="7"/>
      <c r="C875" s="3"/>
    </row>
    <row r="876">
      <c r="B876" s="7"/>
      <c r="C876" s="3"/>
    </row>
    <row r="877">
      <c r="B877" s="7"/>
      <c r="C877" s="3"/>
    </row>
    <row r="878">
      <c r="B878" s="7"/>
      <c r="C878" s="3"/>
    </row>
    <row r="879">
      <c r="B879" s="7"/>
      <c r="C879" s="3"/>
    </row>
    <row r="880">
      <c r="B880" s="7"/>
      <c r="C880" s="3"/>
    </row>
    <row r="881">
      <c r="B881" s="7"/>
      <c r="C881" s="3"/>
    </row>
    <row r="882">
      <c r="B882" s="7"/>
      <c r="C882" s="3"/>
    </row>
    <row r="883">
      <c r="B883" s="7"/>
      <c r="C883" s="3"/>
    </row>
    <row r="884">
      <c r="B884" s="7"/>
      <c r="C884" s="3"/>
    </row>
    <row r="885">
      <c r="B885" s="7"/>
      <c r="C885" s="3"/>
    </row>
    <row r="886">
      <c r="B886" s="7"/>
      <c r="C886" s="3"/>
    </row>
    <row r="887">
      <c r="B887" s="7"/>
      <c r="C887" s="3"/>
    </row>
    <row r="888">
      <c r="B888" s="7"/>
      <c r="C888" s="3"/>
    </row>
    <row r="889">
      <c r="B889" s="7"/>
      <c r="C889" s="3"/>
    </row>
    <row r="890">
      <c r="B890" s="7"/>
      <c r="C890" s="3"/>
    </row>
    <row r="891">
      <c r="B891" s="7"/>
      <c r="C891" s="3"/>
    </row>
    <row r="892">
      <c r="B892" s="7"/>
      <c r="C892" s="3"/>
    </row>
    <row r="893">
      <c r="B893" s="7"/>
      <c r="C893" s="3"/>
    </row>
    <row r="894">
      <c r="B894" s="7"/>
      <c r="C894" s="3"/>
    </row>
    <row r="895">
      <c r="B895" s="7"/>
      <c r="C895" s="3"/>
    </row>
    <row r="896">
      <c r="B896" s="7"/>
      <c r="C896" s="3"/>
    </row>
    <row r="897">
      <c r="B897" s="7"/>
      <c r="C897" s="3"/>
    </row>
    <row r="898">
      <c r="B898" s="7"/>
      <c r="C898" s="3"/>
    </row>
    <row r="899">
      <c r="B899" s="7"/>
      <c r="C899" s="3"/>
    </row>
    <row r="900">
      <c r="B900" s="7"/>
      <c r="C900" s="3"/>
    </row>
    <row r="901">
      <c r="B901" s="7"/>
      <c r="C901" s="3"/>
    </row>
    <row r="902">
      <c r="B902" s="7"/>
      <c r="C902" s="3"/>
    </row>
    <row r="903">
      <c r="B903" s="7"/>
      <c r="C903" s="3"/>
    </row>
    <row r="904">
      <c r="B904" s="7"/>
      <c r="C904" s="3"/>
    </row>
    <row r="905">
      <c r="B905" s="7"/>
      <c r="C905" s="3"/>
    </row>
    <row r="906">
      <c r="B906" s="7"/>
      <c r="C906" s="3"/>
    </row>
    <row r="907">
      <c r="B907" s="7"/>
      <c r="C907" s="3"/>
    </row>
    <row r="908">
      <c r="B908" s="7"/>
      <c r="C908" s="3"/>
    </row>
    <row r="909">
      <c r="B909" s="7"/>
      <c r="C909" s="3"/>
    </row>
    <row r="910">
      <c r="B910" s="7"/>
      <c r="C910" s="3"/>
    </row>
    <row r="911">
      <c r="B911" s="7"/>
      <c r="C911" s="3"/>
    </row>
    <row r="912">
      <c r="B912" s="7"/>
      <c r="C912" s="3"/>
    </row>
    <row r="913">
      <c r="B913" s="7"/>
      <c r="C913" s="3"/>
    </row>
    <row r="914">
      <c r="B914" s="7"/>
      <c r="C914" s="3"/>
    </row>
    <row r="915">
      <c r="B915" s="7"/>
      <c r="C915" s="3"/>
    </row>
    <row r="916">
      <c r="B916" s="7"/>
      <c r="C916" s="3"/>
    </row>
    <row r="917">
      <c r="B917" s="7"/>
      <c r="C917" s="3"/>
    </row>
    <row r="918">
      <c r="B918" s="7"/>
      <c r="C918" s="3"/>
    </row>
    <row r="919">
      <c r="B919" s="7"/>
      <c r="C919" s="3"/>
    </row>
    <row r="920">
      <c r="B920" s="7"/>
      <c r="C920" s="3"/>
    </row>
    <row r="921">
      <c r="B921" s="7"/>
      <c r="C921" s="3"/>
    </row>
    <row r="922">
      <c r="B922" s="7"/>
      <c r="C922" s="3"/>
    </row>
    <row r="923">
      <c r="B923" s="7"/>
      <c r="C923" s="3"/>
    </row>
    <row r="924">
      <c r="B924" s="7"/>
      <c r="C924" s="3"/>
    </row>
    <row r="925">
      <c r="B925" s="7"/>
      <c r="C925" s="3"/>
    </row>
    <row r="926">
      <c r="B926" s="7"/>
      <c r="C926" s="3"/>
    </row>
    <row r="927">
      <c r="B927" s="7"/>
      <c r="C927" s="3"/>
    </row>
    <row r="928">
      <c r="B928" s="7"/>
      <c r="C928" s="3"/>
    </row>
    <row r="929">
      <c r="B929" s="7"/>
      <c r="C929" s="3"/>
    </row>
    <row r="930">
      <c r="B930" s="7"/>
      <c r="C930" s="3"/>
    </row>
    <row r="931">
      <c r="B931" s="7"/>
      <c r="C931" s="3"/>
    </row>
    <row r="932">
      <c r="B932" s="7"/>
      <c r="C932" s="3"/>
    </row>
    <row r="933">
      <c r="B933" s="7"/>
      <c r="C933" s="3"/>
    </row>
    <row r="934">
      <c r="B934" s="7"/>
      <c r="C934" s="3"/>
    </row>
    <row r="935">
      <c r="B935" s="7"/>
      <c r="C935" s="3"/>
    </row>
    <row r="936">
      <c r="B936" s="7"/>
      <c r="C936" s="3"/>
    </row>
    <row r="937">
      <c r="B937" s="7"/>
      <c r="C937" s="3"/>
    </row>
    <row r="938">
      <c r="B938" s="7"/>
      <c r="C938" s="3"/>
    </row>
    <row r="939">
      <c r="B939" s="7"/>
      <c r="C939" s="3"/>
    </row>
    <row r="940">
      <c r="B940" s="7"/>
      <c r="C940" s="3"/>
    </row>
    <row r="941">
      <c r="B941" s="7"/>
      <c r="C941" s="3"/>
    </row>
    <row r="942">
      <c r="B942" s="7"/>
      <c r="C942" s="3"/>
    </row>
    <row r="943">
      <c r="B943" s="7"/>
      <c r="C943" s="3"/>
    </row>
    <row r="944">
      <c r="B944" s="7"/>
      <c r="C944" s="3"/>
    </row>
    <row r="945">
      <c r="B945" s="7"/>
      <c r="C945" s="3"/>
    </row>
    <row r="946">
      <c r="B946" s="7"/>
      <c r="C946" s="3"/>
    </row>
    <row r="947">
      <c r="B947" s="7"/>
      <c r="C947" s="3"/>
    </row>
    <row r="948">
      <c r="B948" s="7"/>
      <c r="C948" s="3"/>
    </row>
    <row r="949">
      <c r="B949" s="7"/>
      <c r="C949" s="3"/>
    </row>
    <row r="950">
      <c r="B950" s="7"/>
      <c r="C950" s="3"/>
    </row>
    <row r="951">
      <c r="B951" s="7"/>
      <c r="C951" s="3"/>
    </row>
    <row r="952">
      <c r="B952" s="7"/>
      <c r="C952" s="3"/>
    </row>
    <row r="953">
      <c r="B953" s="7"/>
      <c r="C953" s="3"/>
    </row>
    <row r="954">
      <c r="B954" s="7"/>
      <c r="C954" s="3"/>
    </row>
    <row r="955">
      <c r="B955" s="7"/>
      <c r="C955" s="3"/>
    </row>
    <row r="956">
      <c r="B956" s="7"/>
      <c r="C956" s="3"/>
    </row>
    <row r="957">
      <c r="B957" s="7"/>
      <c r="C957" s="3"/>
    </row>
    <row r="958">
      <c r="B958" s="7"/>
      <c r="C958" s="3"/>
    </row>
    <row r="959">
      <c r="B959" s="7"/>
      <c r="C959" s="3"/>
    </row>
    <row r="960">
      <c r="B960" s="7"/>
      <c r="C960" s="3"/>
    </row>
    <row r="961">
      <c r="B961" s="7"/>
      <c r="C961" s="3"/>
    </row>
    <row r="962">
      <c r="B962" s="7"/>
      <c r="C962" s="3"/>
    </row>
    <row r="963">
      <c r="B963" s="7"/>
      <c r="C963" s="3"/>
    </row>
    <row r="964">
      <c r="B964" s="7"/>
      <c r="C964" s="3"/>
    </row>
    <row r="965">
      <c r="B965" s="7"/>
      <c r="C965" s="3"/>
    </row>
    <row r="966">
      <c r="B966" s="7"/>
      <c r="C966" s="3"/>
    </row>
    <row r="967">
      <c r="B967" s="7"/>
      <c r="C967" s="3"/>
    </row>
    <row r="968">
      <c r="B968" s="7"/>
      <c r="C968" s="3"/>
    </row>
    <row r="969">
      <c r="B969" s="7"/>
      <c r="C969" s="3"/>
    </row>
    <row r="970">
      <c r="B970" s="7"/>
      <c r="C970" s="3"/>
    </row>
    <row r="971">
      <c r="B971" s="7"/>
      <c r="C971" s="3"/>
    </row>
    <row r="972">
      <c r="B972" s="7"/>
      <c r="C972" s="3"/>
    </row>
    <row r="973">
      <c r="B973" s="7"/>
      <c r="C973" s="3"/>
    </row>
    <row r="974">
      <c r="B974" s="7"/>
      <c r="C974" s="3"/>
    </row>
    <row r="975">
      <c r="B975" s="7"/>
      <c r="C975" s="3"/>
    </row>
    <row r="976">
      <c r="B976" s="7"/>
      <c r="C976" s="3"/>
    </row>
    <row r="977">
      <c r="B977" s="7"/>
      <c r="C977" s="3"/>
    </row>
    <row r="978">
      <c r="B978" s="7"/>
      <c r="C978" s="3"/>
    </row>
    <row r="979">
      <c r="B979" s="7"/>
      <c r="C979" s="3"/>
    </row>
    <row r="980">
      <c r="B980" s="7"/>
      <c r="C980" s="3"/>
    </row>
    <row r="981">
      <c r="B981" s="7"/>
      <c r="C981" s="3"/>
    </row>
    <row r="982">
      <c r="B982" s="7"/>
      <c r="C982" s="3"/>
    </row>
    <row r="983">
      <c r="B983" s="7"/>
      <c r="C983" s="3"/>
    </row>
    <row r="984">
      <c r="B984" s="7"/>
      <c r="C984" s="3"/>
    </row>
    <row r="985">
      <c r="B985" s="7"/>
      <c r="C985" s="3"/>
    </row>
    <row r="986">
      <c r="B986" s="7"/>
      <c r="C986" s="3"/>
    </row>
    <row r="987">
      <c r="B987" s="7"/>
      <c r="C987" s="3"/>
    </row>
    <row r="988">
      <c r="B988" s="7"/>
      <c r="C988" s="3"/>
    </row>
    <row r="989">
      <c r="B989" s="7"/>
      <c r="C989" s="3"/>
    </row>
    <row r="990">
      <c r="B990" s="7"/>
      <c r="C990" s="3"/>
    </row>
    <row r="991">
      <c r="B991" s="7"/>
      <c r="C991" s="3"/>
    </row>
    <row r="992">
      <c r="B992" s="7"/>
      <c r="C992" s="3"/>
    </row>
    <row r="993">
      <c r="B993" s="7"/>
      <c r="C993" s="3"/>
    </row>
    <row r="994">
      <c r="B994" s="7"/>
      <c r="C994" s="3"/>
    </row>
    <row r="995">
      <c r="B995" s="7"/>
      <c r="C995" s="3"/>
    </row>
    <row r="996">
      <c r="B996" s="7"/>
      <c r="C996" s="3"/>
    </row>
    <row r="997">
      <c r="B997" s="7"/>
      <c r="C997" s="3"/>
    </row>
    <row r="998">
      <c r="B998" s="7"/>
      <c r="C998" s="3"/>
    </row>
    <row r="999">
      <c r="B999" s="7"/>
      <c r="C999" s="3"/>
    </row>
    <row r="1000">
      <c r="B1000" s="7"/>
      <c r="C1000" s="3"/>
    </row>
  </sheetData>
  <dataValidations>
    <dataValidation type="list" allowBlank="1" showErrorMessage="1" sqref="E2">
      <formula1>"Development,Operations,Outreach,Research,Talent &amp; Education,Economy"</formula1>
    </dataValidation>
    <dataValidation type="list" allowBlank="1" showErrorMessage="1" sqref="F2">
      <formula1>"Smart Contracts,Explorers,RPCs and Nodes,SDKs,Protocol Subsidies,Events,Privacy,ZK,Trainings/Hackathon,Governance,Education,Wallets,Snapshots,Anti-Scam,Staking,Research,Multisig,Other,Conference Attendance,Conference Hosting,Substrate,Indexing,Software Se"&amp;"rvices,Bridge,Light Clients,Polkadot SDK,Recruiting,Community Building,Media,Software Development,Business Development,Incubation,Advertising,Infrastructure,Local Outreach,Games,UIs,Loans,Stablecoins,Market Operations,Security,Ecosystem Services"</formula1>
    </dataValidation>
  </dataValidations>
  <hyperlinks>
    <hyperlink r:id="rId1" ref="A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178</v>
      </c>
      <c r="B1" s="1" t="s">
        <v>2790</v>
      </c>
      <c r="C1" s="1" t="s">
        <v>2791</v>
      </c>
      <c r="E1" s="1" t="s">
        <v>2792</v>
      </c>
      <c r="F1" s="7"/>
      <c r="G1" s="7"/>
      <c r="H1" s="7"/>
      <c r="I1" s="7"/>
    </row>
    <row r="2">
      <c r="A2" s="107">
        <v>45444.0</v>
      </c>
      <c r="B2" s="1" t="s">
        <v>2793</v>
      </c>
      <c r="C2" s="1">
        <v>3880.73649461549</v>
      </c>
      <c r="L2" s="1" t="s">
        <v>2795</v>
      </c>
    </row>
    <row r="3">
      <c r="A3" s="107">
        <v>45444.0</v>
      </c>
      <c r="B3" s="1" t="s">
        <v>2796</v>
      </c>
      <c r="C3" s="1">
        <v>227511.394267592</v>
      </c>
    </row>
    <row r="4">
      <c r="A4" s="107">
        <v>45444.0</v>
      </c>
      <c r="B4" s="1" t="s">
        <v>2797</v>
      </c>
      <c r="C4" s="1">
        <v>10.0</v>
      </c>
      <c r="L4" s="7">
        <f t="shared" ref="L4:L17" si="1">H4+I4</f>
        <v>0</v>
      </c>
    </row>
    <row r="5">
      <c r="A5" s="107">
        <v>45444.0</v>
      </c>
      <c r="B5" s="1" t="s">
        <v>2798</v>
      </c>
      <c r="C5" s="1">
        <v>7217.0</v>
      </c>
      <c r="L5" s="7">
        <f t="shared" si="1"/>
        <v>0</v>
      </c>
    </row>
    <row r="6">
      <c r="A6" s="107">
        <v>45444.0</v>
      </c>
      <c r="B6" s="1" t="s">
        <v>2799</v>
      </c>
      <c r="C6" s="1">
        <v>-135185.010790384</v>
      </c>
      <c r="L6" s="7">
        <f t="shared" si="1"/>
        <v>19224.9535</v>
      </c>
    </row>
    <row r="7">
      <c r="A7" s="107">
        <v>45444.0</v>
      </c>
      <c r="B7" s="1" t="s">
        <v>2800</v>
      </c>
      <c r="C7" s="1">
        <v>-230882.042384654</v>
      </c>
      <c r="L7" s="7">
        <f t="shared" si="1"/>
        <v>0</v>
      </c>
    </row>
    <row r="8">
      <c r="A8" s="107">
        <v>45444.0</v>
      </c>
      <c r="B8" s="1" t="s">
        <v>2801</v>
      </c>
      <c r="C8" s="1">
        <v>-1871353.2385729</v>
      </c>
      <c r="L8" s="7">
        <f t="shared" si="1"/>
        <v>75419</v>
      </c>
    </row>
    <row r="9">
      <c r="A9" s="107">
        <v>45413.0</v>
      </c>
      <c r="B9" s="1" t="s">
        <v>2796</v>
      </c>
      <c r="C9" s="1">
        <v>556335.165316746</v>
      </c>
      <c r="L9" s="7">
        <f t="shared" si="1"/>
        <v>6203.45</v>
      </c>
    </row>
    <row r="10">
      <c r="A10" s="107">
        <v>45413.0</v>
      </c>
      <c r="B10" s="1" t="s">
        <v>2793</v>
      </c>
      <c r="C10" s="1">
        <v>5921.2515006542</v>
      </c>
      <c r="L10" s="7">
        <f t="shared" si="1"/>
        <v>0</v>
      </c>
    </row>
    <row r="11">
      <c r="A11" s="107">
        <v>45413.0</v>
      </c>
      <c r="B11" s="1" t="s">
        <v>2798</v>
      </c>
      <c r="C11" s="1">
        <v>103894.346225235</v>
      </c>
      <c r="L11" s="7">
        <f t="shared" si="1"/>
        <v>15135</v>
      </c>
    </row>
    <row r="12">
      <c r="A12" s="107">
        <v>45413.0</v>
      </c>
      <c r="B12" s="1" t="s">
        <v>2799</v>
      </c>
      <c r="C12" s="1">
        <v>-471888.948110687</v>
      </c>
      <c r="L12" s="7">
        <f t="shared" si="1"/>
        <v>47.05</v>
      </c>
    </row>
    <row r="13">
      <c r="A13" s="107">
        <v>45413.0</v>
      </c>
      <c r="B13" s="1" t="s">
        <v>2801</v>
      </c>
      <c r="C13" s="1">
        <v>-3337982.463518</v>
      </c>
      <c r="L13" s="7">
        <f t="shared" si="1"/>
        <v>12.13</v>
      </c>
    </row>
    <row r="14">
      <c r="A14" s="107">
        <v>45413.0</v>
      </c>
      <c r="B14" s="1" t="s">
        <v>2800</v>
      </c>
      <c r="C14" s="1">
        <v>-298052.569897118</v>
      </c>
      <c r="L14" s="7">
        <f t="shared" si="1"/>
        <v>5937</v>
      </c>
    </row>
    <row r="15">
      <c r="A15" s="107">
        <v>45383.0</v>
      </c>
      <c r="B15" s="1" t="s">
        <v>2796</v>
      </c>
      <c r="C15" s="1">
        <v>1101382.44442246</v>
      </c>
      <c r="L15" s="7">
        <f t="shared" si="1"/>
        <v>103894.3462</v>
      </c>
    </row>
    <row r="16">
      <c r="A16" s="107">
        <v>45383.0</v>
      </c>
      <c r="B16" s="1" t="s">
        <v>2793</v>
      </c>
      <c r="C16" s="1">
        <v>6559.0091820169</v>
      </c>
      <c r="L16" s="7">
        <f t="shared" si="1"/>
        <v>7227</v>
      </c>
    </row>
    <row r="17">
      <c r="A17" s="107">
        <v>45383.0</v>
      </c>
      <c r="B17" s="1" t="s">
        <v>2798</v>
      </c>
      <c r="C17" s="1">
        <v>5937.0</v>
      </c>
      <c r="L17" s="7">
        <f t="shared" si="1"/>
        <v>233099.9297</v>
      </c>
    </row>
    <row r="18">
      <c r="A18" s="107">
        <v>45383.0</v>
      </c>
      <c r="B18" s="1" t="s">
        <v>2799</v>
      </c>
      <c r="C18" s="1">
        <v>-353344.565405416</v>
      </c>
      <c r="F18" s="7"/>
      <c r="G18" s="7"/>
      <c r="H18" s="7"/>
      <c r="I18" s="7"/>
    </row>
    <row r="19">
      <c r="A19" s="107">
        <v>45383.0</v>
      </c>
      <c r="B19" s="1" t="s">
        <v>2800</v>
      </c>
      <c r="C19" s="1">
        <v>-332681.390357072</v>
      </c>
      <c r="F19" s="7"/>
      <c r="G19" s="7"/>
      <c r="H19" s="7"/>
      <c r="I19" s="7"/>
    </row>
    <row r="20">
      <c r="A20" s="107">
        <v>45383.0</v>
      </c>
      <c r="B20" s="1" t="s">
        <v>2801</v>
      </c>
      <c r="C20" s="1">
        <v>-3956485.15979</v>
      </c>
      <c r="E20" s="1" t="s">
        <v>2802</v>
      </c>
      <c r="F20" s="7"/>
      <c r="G20" s="7"/>
      <c r="H20" s="7"/>
      <c r="I20" s="7"/>
    </row>
    <row r="21">
      <c r="A21" s="107">
        <v>45352.0</v>
      </c>
      <c r="B21" s="1" t="s">
        <v>2796</v>
      </c>
      <c r="C21" s="1">
        <v>1222759.41326793</v>
      </c>
    </row>
    <row r="22">
      <c r="A22" s="107">
        <v>45352.0</v>
      </c>
      <c r="B22" s="1" t="s">
        <v>2793</v>
      </c>
      <c r="C22" s="1">
        <v>9095.0198672626</v>
      </c>
    </row>
    <row r="23">
      <c r="A23" s="107">
        <v>45352.0</v>
      </c>
      <c r="B23" s="1" t="s">
        <v>2797</v>
      </c>
      <c r="C23" s="1">
        <v>12.1300000000046</v>
      </c>
      <c r="L23" s="7">
        <f t="shared" ref="L23:L36" si="2">J23+I23</f>
        <v>-695.15</v>
      </c>
    </row>
    <row r="24">
      <c r="A24" s="107">
        <v>45352.0</v>
      </c>
      <c r="B24" s="1" t="s">
        <v>2799</v>
      </c>
      <c r="C24" s="1">
        <v>-240332.032164168</v>
      </c>
      <c r="L24" s="7">
        <f t="shared" si="2"/>
        <v>-141.9796334</v>
      </c>
    </row>
    <row r="25">
      <c r="A25" s="107">
        <v>45352.0</v>
      </c>
      <c r="B25" s="1" t="s">
        <v>2798</v>
      </c>
      <c r="C25" s="1">
        <v>-3405000.0</v>
      </c>
      <c r="L25" s="7">
        <f t="shared" si="2"/>
        <v>0</v>
      </c>
    </row>
    <row r="26">
      <c r="A26" s="107">
        <v>45352.0</v>
      </c>
      <c r="B26" s="1" t="s">
        <v>2800</v>
      </c>
      <c r="C26" s="1">
        <v>-368289.741142955</v>
      </c>
      <c r="L26" s="7">
        <f t="shared" si="2"/>
        <v>0</v>
      </c>
    </row>
    <row r="27">
      <c r="A27" s="107">
        <v>45352.0</v>
      </c>
      <c r="B27" s="1" t="s">
        <v>2801</v>
      </c>
      <c r="C27" s="1">
        <v>-1287813.488651</v>
      </c>
      <c r="L27" s="7">
        <f t="shared" si="2"/>
        <v>0</v>
      </c>
    </row>
    <row r="28">
      <c r="A28" s="107">
        <v>45323.0</v>
      </c>
      <c r="B28" s="1" t="s">
        <v>2793</v>
      </c>
      <c r="C28" s="1">
        <v>7110.50735392429</v>
      </c>
      <c r="L28" s="7">
        <f t="shared" si="2"/>
        <v>0</v>
      </c>
    </row>
    <row r="29">
      <c r="A29" s="107">
        <v>45323.0</v>
      </c>
      <c r="B29" s="1" t="s">
        <v>2796</v>
      </c>
      <c r="C29" s="1">
        <v>958413.129727022</v>
      </c>
      <c r="L29" s="7">
        <f t="shared" si="2"/>
        <v>-448673.62</v>
      </c>
    </row>
    <row r="30">
      <c r="A30" s="107">
        <v>45323.0</v>
      </c>
      <c r="B30" s="1" t="s">
        <v>2798</v>
      </c>
      <c r="C30" s="1">
        <v>47.05</v>
      </c>
      <c r="L30" s="7">
        <f t="shared" si="2"/>
        <v>0</v>
      </c>
    </row>
    <row r="31">
      <c r="A31" s="107">
        <v>45323.0</v>
      </c>
      <c r="B31" s="1" t="s">
        <v>2799</v>
      </c>
      <c r="C31" s="1">
        <v>-219450.433813827</v>
      </c>
      <c r="L31" s="7">
        <f t="shared" si="2"/>
        <v>0</v>
      </c>
    </row>
    <row r="32">
      <c r="A32" s="107">
        <v>45323.0</v>
      </c>
      <c r="B32" s="1" t="s">
        <v>2800</v>
      </c>
      <c r="C32" s="1">
        <v>-844982.423937498</v>
      </c>
      <c r="L32" s="7">
        <f t="shared" si="2"/>
        <v>-3405000</v>
      </c>
    </row>
    <row r="33">
      <c r="A33" s="107">
        <v>45323.0</v>
      </c>
      <c r="B33" s="1" t="s">
        <v>2801</v>
      </c>
      <c r="C33" s="1">
        <v>-1961772.46301377</v>
      </c>
      <c r="L33" s="7">
        <f t="shared" si="2"/>
        <v>0</v>
      </c>
    </row>
    <row r="34">
      <c r="A34" s="107">
        <v>45292.0</v>
      </c>
      <c r="B34" s="1" t="s">
        <v>2796</v>
      </c>
      <c r="C34" s="1">
        <v>1155588.2594424</v>
      </c>
      <c r="L34" s="7">
        <f t="shared" si="2"/>
        <v>0</v>
      </c>
    </row>
    <row r="35">
      <c r="A35" s="107">
        <v>45292.0</v>
      </c>
      <c r="B35" s="1" t="s">
        <v>2793</v>
      </c>
      <c r="C35" s="1">
        <v>6877.2804495644</v>
      </c>
      <c r="L35" s="7">
        <f t="shared" si="2"/>
        <v>0</v>
      </c>
    </row>
    <row r="36">
      <c r="A36" s="107">
        <v>45292.0</v>
      </c>
      <c r="B36" s="1" t="s">
        <v>2798</v>
      </c>
      <c r="C36" s="1">
        <v>15135.0</v>
      </c>
      <c r="L36" s="7">
        <f t="shared" si="2"/>
        <v>-3854510.75</v>
      </c>
    </row>
    <row r="37">
      <c r="A37" s="107">
        <v>45292.0</v>
      </c>
      <c r="B37" s="1" t="s">
        <v>2799</v>
      </c>
      <c r="C37" s="1">
        <v>-86689.6060738947</v>
      </c>
      <c r="F37" s="7"/>
      <c r="G37" s="7"/>
      <c r="H37" s="7"/>
      <c r="I37" s="7"/>
    </row>
    <row r="38">
      <c r="A38" s="107">
        <v>45292.0</v>
      </c>
      <c r="B38" s="1" t="s">
        <v>2800</v>
      </c>
      <c r="C38" s="1">
        <v>-431795.564524716</v>
      </c>
      <c r="F38" s="7"/>
      <c r="G38" s="7"/>
      <c r="H38" s="7"/>
      <c r="I38" s="7"/>
    </row>
    <row r="39">
      <c r="A39" s="107">
        <v>45292.0</v>
      </c>
      <c r="B39" s="1" t="s">
        <v>2801</v>
      </c>
      <c r="C39" s="1">
        <v>-1035551.1564</v>
      </c>
      <c r="F39" s="7"/>
      <c r="G39" s="7"/>
      <c r="H39" s="7"/>
      <c r="I39" s="7"/>
    </row>
    <row r="40">
      <c r="A40" s="110">
        <v>45261.0</v>
      </c>
      <c r="B40" s="1" t="s">
        <v>2793</v>
      </c>
      <c r="C40" s="1">
        <v>286012.094054346</v>
      </c>
      <c r="F40" s="7"/>
      <c r="G40" s="7"/>
      <c r="H40" s="7"/>
      <c r="I40" s="7"/>
    </row>
    <row r="41">
      <c r="A41" s="110">
        <v>45261.0</v>
      </c>
      <c r="B41" s="1" t="s">
        <v>2796</v>
      </c>
      <c r="C41" s="1">
        <v>1230252.32422189</v>
      </c>
      <c r="F41" s="7"/>
      <c r="G41" s="7"/>
      <c r="H41" s="7"/>
      <c r="I41" s="7"/>
    </row>
    <row r="42">
      <c r="A42" s="110">
        <v>45261.0</v>
      </c>
      <c r="B42" s="1" t="s">
        <v>2798</v>
      </c>
      <c r="C42" s="1">
        <v>-448673.62</v>
      </c>
      <c r="F42" s="7"/>
      <c r="G42" s="7"/>
      <c r="H42" s="7"/>
      <c r="I42" s="7"/>
    </row>
    <row r="43">
      <c r="A43" s="110">
        <v>45261.0</v>
      </c>
      <c r="B43" s="1" t="s">
        <v>2799</v>
      </c>
      <c r="C43" s="1">
        <v>-51264.9386978338</v>
      </c>
      <c r="F43" s="7"/>
      <c r="G43" s="7"/>
      <c r="H43" s="7"/>
      <c r="I43" s="7"/>
    </row>
    <row r="44">
      <c r="A44" s="110">
        <v>45261.0</v>
      </c>
      <c r="B44" s="1" t="s">
        <v>2800</v>
      </c>
      <c r="C44" s="1">
        <v>-434424.682828081</v>
      </c>
      <c r="F44" s="7"/>
      <c r="G44" s="7"/>
      <c r="H44" s="7"/>
      <c r="I44" s="7"/>
    </row>
    <row r="45">
      <c r="A45" s="110">
        <v>45261.0</v>
      </c>
      <c r="B45" s="1" t="s">
        <v>2801</v>
      </c>
      <c r="C45" s="1">
        <v>-837736.559</v>
      </c>
      <c r="F45" s="7"/>
      <c r="G45" s="7"/>
      <c r="H45" s="7"/>
      <c r="I45" s="7"/>
    </row>
    <row r="46">
      <c r="A46" s="110">
        <v>45231.0</v>
      </c>
      <c r="B46" s="1" t="s">
        <v>2793</v>
      </c>
      <c r="C46" s="1">
        <v>6254.9157596411</v>
      </c>
      <c r="F46" s="7"/>
      <c r="G46" s="7"/>
      <c r="H46" s="7"/>
      <c r="I46" s="7"/>
    </row>
    <row r="47">
      <c r="A47" s="110">
        <v>45231.0</v>
      </c>
      <c r="B47" s="1" t="s">
        <v>2796</v>
      </c>
      <c r="C47" s="1">
        <v>1247787.94106623</v>
      </c>
      <c r="F47" s="7"/>
      <c r="G47" s="7"/>
      <c r="H47" s="7"/>
      <c r="I47" s="7"/>
    </row>
    <row r="48">
      <c r="A48" s="110">
        <v>45231.0</v>
      </c>
      <c r="B48" s="1" t="s">
        <v>2798</v>
      </c>
      <c r="C48" s="1">
        <v>6102.45</v>
      </c>
      <c r="F48" s="7"/>
      <c r="G48" s="7"/>
      <c r="H48" s="7"/>
      <c r="I48" s="7"/>
    </row>
    <row r="49">
      <c r="A49" s="110">
        <v>45231.0</v>
      </c>
      <c r="B49" s="1" t="s">
        <v>2797</v>
      </c>
      <c r="C49" s="1">
        <v>101.0</v>
      </c>
      <c r="F49" s="7"/>
      <c r="G49" s="7"/>
      <c r="H49" s="7"/>
      <c r="I49" s="7"/>
    </row>
    <row r="50">
      <c r="A50" s="110">
        <v>45231.0</v>
      </c>
      <c r="B50" s="1" t="s">
        <v>2799</v>
      </c>
      <c r="C50" s="1">
        <v>-82700.6294367575</v>
      </c>
      <c r="F50" s="7"/>
      <c r="G50" s="7"/>
      <c r="H50" s="7"/>
      <c r="I50" s="7"/>
    </row>
    <row r="51">
      <c r="A51" s="110">
        <v>45231.0</v>
      </c>
      <c r="B51" s="1" t="s">
        <v>2800</v>
      </c>
      <c r="C51" s="1">
        <v>-885001.041692049</v>
      </c>
      <c r="F51" s="7"/>
      <c r="G51" s="7"/>
      <c r="H51" s="7"/>
      <c r="I51" s="7"/>
    </row>
    <row r="52">
      <c r="A52" s="110">
        <v>45231.0</v>
      </c>
      <c r="B52" s="1" t="s">
        <v>2801</v>
      </c>
      <c r="C52" s="1">
        <v>-1381319.1015423</v>
      </c>
      <c r="F52" s="7"/>
      <c r="G52" s="7"/>
      <c r="H52" s="7"/>
      <c r="I52" s="7"/>
    </row>
    <row r="53">
      <c r="A53" s="110">
        <v>45200.0</v>
      </c>
      <c r="B53" s="1" t="s">
        <v>2793</v>
      </c>
      <c r="C53" s="1">
        <v>4954.34709952149</v>
      </c>
      <c r="F53" s="7"/>
      <c r="G53" s="7"/>
      <c r="H53" s="7"/>
      <c r="I53" s="7"/>
    </row>
    <row r="54">
      <c r="A54" s="110">
        <v>45200.0</v>
      </c>
      <c r="B54" s="1" t="s">
        <v>2796</v>
      </c>
      <c r="C54" s="1">
        <v>844716.539996738</v>
      </c>
      <c r="F54" s="7"/>
      <c r="G54" s="7"/>
      <c r="H54" s="7"/>
      <c r="I54" s="7"/>
    </row>
    <row r="55">
      <c r="A55" s="110">
        <v>45200.0</v>
      </c>
      <c r="B55" s="1" t="s">
        <v>2798</v>
      </c>
      <c r="C55" s="1">
        <v>75419.0</v>
      </c>
      <c r="F55" s="7"/>
      <c r="G55" s="7"/>
      <c r="H55" s="7"/>
      <c r="I55" s="7"/>
    </row>
    <row r="56">
      <c r="A56" s="110">
        <v>45200.0</v>
      </c>
      <c r="B56" s="1" t="s">
        <v>2799</v>
      </c>
      <c r="C56" s="1">
        <v>-225339.816901209</v>
      </c>
      <c r="F56" s="7"/>
      <c r="G56" s="7"/>
      <c r="H56" s="7"/>
      <c r="I56" s="7"/>
    </row>
    <row r="57">
      <c r="A57" s="110">
        <v>45200.0</v>
      </c>
      <c r="B57" s="1" t="s">
        <v>2800</v>
      </c>
      <c r="C57" s="1">
        <v>-448198.596304195</v>
      </c>
      <c r="F57" s="7"/>
      <c r="G57" s="7"/>
      <c r="H57" s="7"/>
      <c r="I57" s="7"/>
    </row>
    <row r="58">
      <c r="A58" s="110">
        <v>45200.0</v>
      </c>
      <c r="B58" s="1" t="s">
        <v>2801</v>
      </c>
      <c r="C58" s="1">
        <v>-532545.206</v>
      </c>
      <c r="F58" s="7"/>
      <c r="G58" s="7"/>
      <c r="H58" s="7"/>
      <c r="I58" s="7"/>
    </row>
    <row r="59">
      <c r="A59" s="107">
        <v>45170.0</v>
      </c>
      <c r="B59" s="1" t="s">
        <v>2796</v>
      </c>
      <c r="C59" s="1">
        <v>590476.351780591</v>
      </c>
      <c r="F59" s="7"/>
      <c r="G59" s="7"/>
      <c r="H59" s="7"/>
      <c r="I59" s="7"/>
    </row>
    <row r="60">
      <c r="A60" s="107">
        <v>45170.0</v>
      </c>
      <c r="B60" s="1" t="s">
        <v>2793</v>
      </c>
      <c r="C60" s="1">
        <v>3785.00244916329</v>
      </c>
      <c r="F60" s="7"/>
      <c r="G60" s="7"/>
      <c r="H60" s="7"/>
      <c r="I60" s="7"/>
    </row>
    <row r="61">
      <c r="A61" s="107">
        <v>45170.0</v>
      </c>
      <c r="B61" s="1" t="s">
        <v>2799</v>
      </c>
      <c r="C61" s="1">
        <v>-94211.0449711789</v>
      </c>
      <c r="F61" s="7"/>
      <c r="G61" s="7"/>
      <c r="H61" s="7"/>
      <c r="I61" s="7"/>
    </row>
    <row r="62">
      <c r="A62" s="107">
        <v>45170.0</v>
      </c>
      <c r="B62" s="1" t="s">
        <v>2800</v>
      </c>
      <c r="C62" s="1">
        <v>-453478.84378484</v>
      </c>
      <c r="F62" s="7"/>
      <c r="G62" s="7"/>
      <c r="H62" s="7"/>
      <c r="I62" s="7"/>
    </row>
    <row r="63">
      <c r="A63" s="107">
        <v>45170.0</v>
      </c>
      <c r="B63" s="1" t="s">
        <v>2801</v>
      </c>
      <c r="C63" s="1">
        <v>-282888.9769</v>
      </c>
      <c r="F63" s="7"/>
      <c r="G63" s="7"/>
      <c r="H63" s="7"/>
      <c r="I63" s="7"/>
    </row>
    <row r="64">
      <c r="A64" s="107">
        <v>45139.0</v>
      </c>
      <c r="B64" s="1" t="s">
        <v>2793</v>
      </c>
      <c r="C64" s="1">
        <v>3990.788481433</v>
      </c>
      <c r="F64" s="7"/>
      <c r="G64" s="7"/>
      <c r="H64" s="7"/>
      <c r="I64" s="7"/>
    </row>
    <row r="65">
      <c r="A65" s="107">
        <v>45139.0</v>
      </c>
      <c r="B65" s="1" t="s">
        <v>2796</v>
      </c>
      <c r="C65" s="1">
        <v>877464.095642453</v>
      </c>
      <c r="F65" s="7"/>
      <c r="G65" s="7"/>
      <c r="H65" s="7"/>
      <c r="I65" s="7"/>
    </row>
    <row r="66">
      <c r="A66" s="107">
        <v>45139.0</v>
      </c>
      <c r="B66" s="1" t="s">
        <v>2797</v>
      </c>
      <c r="C66" s="1">
        <v>19224.9535</v>
      </c>
      <c r="F66" s="7"/>
      <c r="G66" s="7"/>
      <c r="H66" s="7"/>
      <c r="I66" s="7"/>
    </row>
    <row r="67">
      <c r="A67" s="107">
        <v>45139.0</v>
      </c>
      <c r="B67" s="1" t="s">
        <v>2799</v>
      </c>
      <c r="C67" s="1">
        <v>-37779.3656501209</v>
      </c>
      <c r="F67" s="7"/>
      <c r="G67" s="7"/>
      <c r="H67" s="7"/>
      <c r="I67" s="7"/>
    </row>
    <row r="68">
      <c r="A68" s="107">
        <v>45139.0</v>
      </c>
      <c r="B68" s="1" t="s">
        <v>2800</v>
      </c>
      <c r="C68" s="1">
        <v>-456100.37413604</v>
      </c>
      <c r="F68" s="7"/>
      <c r="G68" s="7"/>
      <c r="H68" s="7"/>
      <c r="I68" s="7"/>
    </row>
    <row r="69">
      <c r="A69" s="107">
        <v>45139.0</v>
      </c>
      <c r="B69" s="1" t="s">
        <v>2801</v>
      </c>
      <c r="C69" s="1">
        <v>-227860.6825</v>
      </c>
      <c r="F69" s="7"/>
      <c r="G69" s="7"/>
      <c r="H69" s="7"/>
      <c r="I69" s="7"/>
    </row>
    <row r="70">
      <c r="A70" s="107">
        <v>45108.0</v>
      </c>
      <c r="B70" s="1" t="s">
        <v>2796</v>
      </c>
      <c r="C70" s="1">
        <v>1501423.17724249</v>
      </c>
      <c r="F70" s="7"/>
      <c r="G70" s="7"/>
      <c r="H70" s="7"/>
      <c r="I70" s="7"/>
    </row>
    <row r="71">
      <c r="A71" s="107">
        <v>45108.0</v>
      </c>
      <c r="B71" s="1" t="s">
        <v>2793</v>
      </c>
      <c r="C71" s="1">
        <v>4231.7657571648</v>
      </c>
      <c r="F71" s="7"/>
      <c r="G71" s="7"/>
      <c r="H71" s="7"/>
      <c r="I71" s="7"/>
    </row>
    <row r="72">
      <c r="A72" s="107">
        <v>45108.0</v>
      </c>
      <c r="B72" s="1" t="s">
        <v>2798</v>
      </c>
      <c r="C72" s="1">
        <v>-141.9796334012</v>
      </c>
      <c r="F72" s="7"/>
      <c r="G72" s="7"/>
      <c r="H72" s="7"/>
      <c r="I72" s="7"/>
    </row>
    <row r="73">
      <c r="A73" s="107">
        <v>45108.0</v>
      </c>
      <c r="B73" s="1" t="s">
        <v>2799</v>
      </c>
      <c r="C73" s="1">
        <v>-46732.1445046339</v>
      </c>
      <c r="F73" s="7"/>
      <c r="G73" s="7"/>
      <c r="H73" s="7"/>
      <c r="I73" s="7"/>
    </row>
    <row r="74">
      <c r="A74" s="107">
        <v>45108.0</v>
      </c>
      <c r="B74" s="1" t="s">
        <v>2800</v>
      </c>
      <c r="C74" s="1">
        <v>-923238.684553963</v>
      </c>
      <c r="F74" s="7"/>
      <c r="G74" s="7"/>
      <c r="H74" s="7"/>
      <c r="I74" s="7"/>
    </row>
    <row r="75">
      <c r="A75" s="107">
        <v>45108.0</v>
      </c>
      <c r="B75" s="1" t="s">
        <v>2801</v>
      </c>
      <c r="C75" s="1">
        <v>-969861.527599999</v>
      </c>
      <c r="F75" s="7"/>
      <c r="G75" s="7"/>
      <c r="H75" s="7"/>
      <c r="I75" s="7"/>
    </row>
    <row r="76">
      <c r="A76" s="107">
        <v>45078.0</v>
      </c>
      <c r="B76" s="1" t="s">
        <v>2796</v>
      </c>
      <c r="C76" s="1">
        <v>1576980.124122</v>
      </c>
      <c r="F76" s="7"/>
      <c r="G76" s="7"/>
      <c r="H76" s="7"/>
      <c r="I76" s="7"/>
    </row>
    <row r="77">
      <c r="A77" s="107">
        <v>45078.0</v>
      </c>
      <c r="B77" s="1" t="s">
        <v>2793</v>
      </c>
      <c r="C77" s="1">
        <v>4214.5223853776</v>
      </c>
      <c r="F77" s="7"/>
      <c r="G77" s="7"/>
      <c r="H77" s="7"/>
      <c r="I77" s="7"/>
    </row>
    <row r="78">
      <c r="A78" s="107">
        <v>45078.0</v>
      </c>
      <c r="B78" s="1" t="s">
        <v>2803</v>
      </c>
      <c r="C78" s="1">
        <v>-695.15</v>
      </c>
      <c r="F78" s="7"/>
      <c r="G78" s="7"/>
      <c r="H78" s="7"/>
      <c r="I78" s="7"/>
    </row>
    <row r="79">
      <c r="A79" s="107">
        <v>45078.0</v>
      </c>
      <c r="B79" s="1" t="s">
        <v>2799</v>
      </c>
      <c r="C79" s="1">
        <v>-228599.843564164</v>
      </c>
      <c r="F79" s="7"/>
      <c r="G79" s="7"/>
      <c r="H79" s="7"/>
      <c r="I79" s="7"/>
    </row>
    <row r="80">
      <c r="A80" s="107">
        <v>45078.0</v>
      </c>
      <c r="B80" s="1" t="s">
        <v>2800</v>
      </c>
      <c r="C80" s="1">
        <v>-458022.550537059</v>
      </c>
      <c r="F80" s="7"/>
      <c r="G80" s="7"/>
      <c r="H80" s="7"/>
      <c r="I80" s="7"/>
    </row>
    <row r="81">
      <c r="A81" s="107">
        <v>45078.0</v>
      </c>
      <c r="B81" s="1" t="s">
        <v>2801</v>
      </c>
      <c r="C81" s="1">
        <v>-102893.6065</v>
      </c>
      <c r="F81" s="7"/>
      <c r="G81" s="7"/>
      <c r="H81" s="7"/>
      <c r="I81" s="7"/>
    </row>
    <row r="82">
      <c r="A82" s="107">
        <v>45047.0</v>
      </c>
      <c r="B82" s="1" t="s">
        <v>2793</v>
      </c>
      <c r="C82" s="1">
        <v>3766.1911370225</v>
      </c>
      <c r="F82" s="7"/>
      <c r="G82" s="7"/>
      <c r="H82" s="7"/>
      <c r="I82" s="7"/>
    </row>
    <row r="83">
      <c r="A83" s="107">
        <v>45047.0</v>
      </c>
      <c r="B83" s="1" t="s">
        <v>2796</v>
      </c>
      <c r="C83" s="1">
        <v>1688281.66959793</v>
      </c>
      <c r="F83" s="7"/>
      <c r="G83" s="7"/>
      <c r="H83" s="7"/>
      <c r="I83" s="7"/>
    </row>
    <row r="84">
      <c r="A84" s="107">
        <v>45047.0</v>
      </c>
      <c r="B84" s="1" t="s">
        <v>2803</v>
      </c>
      <c r="C84" s="1">
        <v>-2612.76</v>
      </c>
      <c r="F84" s="7"/>
      <c r="G84" s="7"/>
      <c r="H84" s="7"/>
      <c r="I84" s="7"/>
    </row>
    <row r="85">
      <c r="A85" s="107">
        <v>45047.0</v>
      </c>
      <c r="B85" s="1" t="s">
        <v>2799</v>
      </c>
      <c r="C85" s="1">
        <v>-70013.8390628997</v>
      </c>
      <c r="F85" s="7"/>
      <c r="G85" s="7"/>
      <c r="H85" s="7"/>
      <c r="I85" s="7"/>
    </row>
    <row r="86">
      <c r="A86" s="107">
        <v>45047.0</v>
      </c>
      <c r="B86" s="1" t="s">
        <v>2798</v>
      </c>
      <c r="C86" s="1">
        <v>-60.0</v>
      </c>
      <c r="F86" s="7"/>
      <c r="G86" s="7"/>
      <c r="H86" s="7"/>
      <c r="I86" s="7"/>
    </row>
    <row r="87">
      <c r="A87" s="107">
        <v>45047.0</v>
      </c>
      <c r="B87" s="1" t="s">
        <v>2800</v>
      </c>
      <c r="C87" s="1">
        <v>-450596.67942614</v>
      </c>
      <c r="F87" s="7"/>
      <c r="G87" s="7"/>
      <c r="H87" s="7"/>
      <c r="I87" s="7"/>
    </row>
    <row r="88">
      <c r="A88" s="107">
        <v>45047.0</v>
      </c>
      <c r="B88" s="1" t="s">
        <v>2801</v>
      </c>
      <c r="C88" s="1">
        <v>-285015.82</v>
      </c>
      <c r="F88" s="7"/>
      <c r="G88" s="7"/>
      <c r="H88" s="7"/>
      <c r="I88" s="7"/>
    </row>
    <row r="89">
      <c r="A89" s="107">
        <v>45017.0</v>
      </c>
      <c r="B89" s="1" t="s">
        <v>2796</v>
      </c>
      <c r="C89" s="1">
        <v>1016387.53667791</v>
      </c>
      <c r="F89" s="7"/>
      <c r="G89" s="7"/>
      <c r="H89" s="7"/>
      <c r="I89" s="7"/>
    </row>
    <row r="90">
      <c r="A90" s="107">
        <v>45017.0</v>
      </c>
      <c r="B90" s="1" t="s">
        <v>2793</v>
      </c>
      <c r="C90" s="1">
        <v>3936.07484739119</v>
      </c>
      <c r="F90" s="7"/>
      <c r="G90" s="7"/>
      <c r="H90" s="7"/>
      <c r="I90" s="7"/>
    </row>
    <row r="91">
      <c r="A91" s="107">
        <v>45017.0</v>
      </c>
      <c r="B91" s="1" t="s">
        <v>2798</v>
      </c>
      <c r="C91" s="1">
        <v>14896.0</v>
      </c>
      <c r="F91" s="7"/>
      <c r="G91" s="7"/>
      <c r="H91" s="7"/>
      <c r="I91" s="7"/>
    </row>
    <row r="92">
      <c r="A92" s="107">
        <v>45017.0</v>
      </c>
      <c r="B92" s="1" t="s">
        <v>2799</v>
      </c>
      <c r="C92" s="1">
        <v>-34014.0953413274</v>
      </c>
      <c r="F92" s="7"/>
      <c r="G92" s="7"/>
      <c r="H92" s="7"/>
      <c r="I92" s="7"/>
    </row>
    <row r="93">
      <c r="A93" s="107">
        <v>45017.0</v>
      </c>
      <c r="B93" s="1" t="s">
        <v>2803</v>
      </c>
      <c r="C93" s="1">
        <v>-600.0</v>
      </c>
      <c r="F93" s="7"/>
      <c r="G93" s="7"/>
      <c r="H93" s="7"/>
      <c r="I93" s="7"/>
    </row>
    <row r="94">
      <c r="A94" s="107">
        <v>45017.0</v>
      </c>
      <c r="B94" s="1" t="s">
        <v>2800</v>
      </c>
      <c r="C94" s="1">
        <v>-446791.727923699</v>
      </c>
      <c r="F94" s="7"/>
      <c r="G94" s="7"/>
      <c r="H94" s="7"/>
      <c r="I94" s="7"/>
    </row>
    <row r="95">
      <c r="A95" s="107">
        <v>45017.0</v>
      </c>
      <c r="B95" s="1" t="s">
        <v>2801</v>
      </c>
      <c r="C95" s="1">
        <v>-225773.9376</v>
      </c>
      <c r="F95" s="7"/>
      <c r="G95" s="7"/>
      <c r="H95" s="7"/>
      <c r="I95" s="7"/>
    </row>
    <row r="96">
      <c r="A96" s="107">
        <v>44986.0</v>
      </c>
      <c r="B96" s="1" t="s">
        <v>2796</v>
      </c>
      <c r="C96" s="1">
        <v>920675.490256742</v>
      </c>
      <c r="F96" s="7"/>
      <c r="G96" s="7"/>
      <c r="H96" s="7"/>
      <c r="I96" s="7"/>
    </row>
    <row r="97">
      <c r="A97" s="107">
        <v>44986.0</v>
      </c>
      <c r="B97" s="1" t="s">
        <v>2793</v>
      </c>
      <c r="C97" s="1">
        <v>4934.6099097111</v>
      </c>
      <c r="F97" s="7"/>
      <c r="G97" s="7"/>
      <c r="H97" s="7"/>
      <c r="I97" s="7"/>
    </row>
    <row r="98">
      <c r="A98" s="107">
        <v>44986.0</v>
      </c>
      <c r="B98" s="1" t="s">
        <v>2798</v>
      </c>
      <c r="C98" s="1">
        <v>15814.2224</v>
      </c>
      <c r="F98" s="7"/>
      <c r="G98" s="7"/>
      <c r="H98" s="7"/>
      <c r="I98" s="7"/>
    </row>
    <row r="99">
      <c r="A99" s="107">
        <v>44986.0</v>
      </c>
      <c r="B99" s="1" t="s">
        <v>2799</v>
      </c>
      <c r="C99" s="1">
        <v>-64890.0738810889</v>
      </c>
      <c r="F99" s="7"/>
      <c r="G99" s="7"/>
      <c r="H99" s="7"/>
      <c r="I99" s="7"/>
    </row>
    <row r="100">
      <c r="A100" s="107">
        <v>44986.0</v>
      </c>
      <c r="B100" s="1" t="s">
        <v>2800</v>
      </c>
      <c r="C100" s="1">
        <v>-888317.59821022</v>
      </c>
      <c r="F100" s="7"/>
      <c r="G100" s="7"/>
      <c r="H100" s="7"/>
      <c r="I100" s="7"/>
    </row>
    <row r="101">
      <c r="A101" s="107">
        <v>44986.0</v>
      </c>
      <c r="B101" s="1" t="s">
        <v>2801</v>
      </c>
      <c r="C101" s="1">
        <v>-448830.132699999</v>
      </c>
      <c r="F101" s="7"/>
      <c r="G101" s="7"/>
      <c r="H101" s="7"/>
      <c r="I101" s="7"/>
    </row>
    <row r="102">
      <c r="A102" s="107">
        <v>44958.0</v>
      </c>
      <c r="B102" s="1" t="s">
        <v>2793</v>
      </c>
      <c r="C102" s="1">
        <v>5415.1649884958</v>
      </c>
      <c r="F102" s="7"/>
      <c r="G102" s="7"/>
      <c r="H102" s="7"/>
      <c r="I102" s="7"/>
    </row>
    <row r="103">
      <c r="A103" s="107">
        <v>44958.0</v>
      </c>
      <c r="B103" s="1" t="s">
        <v>2796</v>
      </c>
      <c r="C103" s="1">
        <v>1243274.99403859</v>
      </c>
      <c r="F103" s="7"/>
      <c r="G103" s="7"/>
      <c r="H103" s="7"/>
      <c r="I103" s="7"/>
    </row>
    <row r="104">
      <c r="A104" s="107">
        <v>44958.0</v>
      </c>
      <c r="B104" s="1" t="s">
        <v>2799</v>
      </c>
      <c r="C104" s="1">
        <v>-19477.8799999999</v>
      </c>
      <c r="F104" s="7"/>
      <c r="G104" s="7"/>
      <c r="H104" s="7"/>
      <c r="I104" s="7"/>
    </row>
    <row r="105">
      <c r="A105" s="107">
        <v>44958.0</v>
      </c>
      <c r="B105" s="1" t="s">
        <v>2803</v>
      </c>
      <c r="C105" s="1">
        <v>-60.0</v>
      </c>
      <c r="F105" s="7"/>
      <c r="G105" s="7"/>
      <c r="H105" s="7"/>
      <c r="I105" s="7"/>
    </row>
    <row r="106">
      <c r="A106" s="107">
        <v>44958.0</v>
      </c>
      <c r="B106" s="1" t="s">
        <v>2800</v>
      </c>
      <c r="C106" s="1">
        <v>-441354.35540941</v>
      </c>
      <c r="F106" s="7"/>
      <c r="G106" s="7"/>
      <c r="H106" s="7"/>
      <c r="I106" s="7"/>
    </row>
    <row r="107">
      <c r="A107" s="107">
        <v>44958.0</v>
      </c>
      <c r="B107" s="1" t="s">
        <v>2801</v>
      </c>
      <c r="C107" s="1">
        <v>-746088.9660406</v>
      </c>
      <c r="F107" s="7"/>
      <c r="G107" s="7"/>
      <c r="H107" s="7"/>
      <c r="I107" s="7"/>
    </row>
    <row r="108">
      <c r="A108" s="107">
        <v>44927.0</v>
      </c>
      <c r="B108" s="1" t="s">
        <v>2796</v>
      </c>
      <c r="C108" s="1">
        <v>2373967.9865322</v>
      </c>
      <c r="F108" s="7"/>
      <c r="G108" s="7"/>
      <c r="H108" s="7"/>
      <c r="I108" s="7"/>
    </row>
    <row r="109">
      <c r="A109" s="107">
        <v>44927.0</v>
      </c>
      <c r="B109" s="1" t="s">
        <v>2793</v>
      </c>
      <c r="C109" s="1">
        <v>5370.786110936</v>
      </c>
      <c r="F109" s="7"/>
      <c r="G109" s="7"/>
      <c r="H109" s="7"/>
      <c r="I109" s="7"/>
    </row>
    <row r="110">
      <c r="A110" s="107">
        <v>44927.0</v>
      </c>
      <c r="B110" s="1" t="s">
        <v>2799</v>
      </c>
      <c r="C110" s="1">
        <v>-39628.7044278653</v>
      </c>
      <c r="F110" s="7"/>
      <c r="G110" s="7"/>
      <c r="H110" s="7"/>
      <c r="I110" s="7"/>
    </row>
    <row r="111">
      <c r="A111" s="107">
        <v>44927.0</v>
      </c>
      <c r="B111" s="1" t="s">
        <v>2803</v>
      </c>
      <c r="C111" s="1">
        <v>-480.0</v>
      </c>
      <c r="F111" s="7"/>
      <c r="G111" s="7"/>
      <c r="H111" s="7"/>
      <c r="I111" s="7"/>
    </row>
    <row r="112">
      <c r="A112" s="107">
        <v>44927.0</v>
      </c>
      <c r="B112" s="1" t="s">
        <v>2800</v>
      </c>
      <c r="C112" s="1">
        <v>-439986.114857373</v>
      </c>
      <c r="F112" s="7"/>
      <c r="G112" s="7"/>
      <c r="H112" s="7"/>
      <c r="I112" s="7"/>
    </row>
    <row r="113">
      <c r="A113" s="107">
        <v>44927.0</v>
      </c>
      <c r="B113" s="1" t="s">
        <v>2801</v>
      </c>
      <c r="C113" s="1">
        <v>-153798.531</v>
      </c>
      <c r="F113" s="7"/>
      <c r="G113" s="7"/>
      <c r="H113" s="7"/>
      <c r="I113" s="7"/>
    </row>
    <row r="114">
      <c r="A114" s="110">
        <v>44896.0</v>
      </c>
      <c r="B114" s="1" t="s">
        <v>2793</v>
      </c>
      <c r="C114" s="1">
        <v>6919.14886429619</v>
      </c>
      <c r="F114" s="7"/>
      <c r="G114" s="7"/>
      <c r="H114" s="7"/>
      <c r="I114" s="7"/>
    </row>
    <row r="115">
      <c r="A115" s="110">
        <v>44896.0</v>
      </c>
      <c r="B115" s="1" t="s">
        <v>2796</v>
      </c>
      <c r="C115" s="1">
        <v>3172661.44207833</v>
      </c>
      <c r="F115" s="7"/>
      <c r="G115" s="7"/>
      <c r="H115" s="7"/>
      <c r="I115" s="7"/>
    </row>
    <row r="116">
      <c r="A116" s="110">
        <v>44896.0</v>
      </c>
      <c r="B116" s="1" t="s">
        <v>2798</v>
      </c>
      <c r="C116" s="1">
        <v>2355.0</v>
      </c>
      <c r="F116" s="7"/>
      <c r="G116" s="7"/>
      <c r="H116" s="7"/>
      <c r="I116" s="7"/>
    </row>
    <row r="117">
      <c r="A117" s="110">
        <v>44896.0</v>
      </c>
      <c r="B117" s="1" t="s">
        <v>2799</v>
      </c>
      <c r="C117" s="1">
        <v>-23487.9277739513</v>
      </c>
      <c r="F117" s="7"/>
      <c r="G117" s="7"/>
      <c r="H117" s="7"/>
      <c r="I117" s="7"/>
    </row>
    <row r="118">
      <c r="A118" s="110">
        <v>44896.0</v>
      </c>
      <c r="B118" s="1" t="s">
        <v>2800</v>
      </c>
      <c r="C118" s="1">
        <v>-421327.2440803</v>
      </c>
      <c r="F118" s="7"/>
      <c r="G118" s="7"/>
      <c r="H118" s="7"/>
      <c r="I118" s="7"/>
    </row>
    <row r="119">
      <c r="A119" s="110">
        <v>44896.0</v>
      </c>
      <c r="B119" s="1" t="s">
        <v>2801</v>
      </c>
      <c r="C119" s="1">
        <v>-571198.90890022</v>
      </c>
      <c r="F119" s="7"/>
      <c r="G119" s="7"/>
      <c r="H119" s="7"/>
      <c r="I119" s="7"/>
    </row>
    <row r="120">
      <c r="A120" s="110">
        <v>44866.0</v>
      </c>
      <c r="B120" s="1" t="s">
        <v>2796</v>
      </c>
      <c r="C120" s="1">
        <v>2634735.75626203</v>
      </c>
      <c r="F120" s="7"/>
      <c r="G120" s="7"/>
      <c r="H120" s="7"/>
      <c r="I120" s="7"/>
    </row>
    <row r="121">
      <c r="A121" s="110">
        <v>44866.0</v>
      </c>
      <c r="B121" s="1" t="s">
        <v>2793</v>
      </c>
      <c r="C121" s="1">
        <v>5817.6024737159</v>
      </c>
      <c r="F121" s="7"/>
      <c r="G121" s="7"/>
      <c r="H121" s="7"/>
      <c r="I121" s="7"/>
    </row>
    <row r="122">
      <c r="A122" s="110">
        <v>44866.0</v>
      </c>
      <c r="B122" s="1" t="s">
        <v>2799</v>
      </c>
      <c r="C122" s="1">
        <v>-9373.87649906039</v>
      </c>
      <c r="F122" s="7"/>
      <c r="G122" s="7"/>
      <c r="H122" s="7"/>
      <c r="I122" s="7"/>
    </row>
    <row r="123">
      <c r="A123" s="110">
        <v>44866.0</v>
      </c>
      <c r="B123" s="1" t="s">
        <v>2798</v>
      </c>
      <c r="C123" s="1">
        <v>-22.0</v>
      </c>
      <c r="F123" s="7"/>
      <c r="G123" s="7"/>
      <c r="H123" s="7"/>
      <c r="I123" s="7"/>
    </row>
    <row r="124">
      <c r="A124" s="110">
        <v>44866.0</v>
      </c>
      <c r="B124" s="1" t="s">
        <v>2800</v>
      </c>
      <c r="C124" s="1">
        <v>-797791.676814326</v>
      </c>
      <c r="F124" s="7"/>
      <c r="G124" s="7"/>
      <c r="H124" s="7"/>
      <c r="I124" s="7"/>
    </row>
    <row r="125">
      <c r="A125" s="110">
        <v>44866.0</v>
      </c>
      <c r="B125" s="1" t="s">
        <v>2801</v>
      </c>
      <c r="C125" s="1">
        <v>-235637.072</v>
      </c>
      <c r="F125" s="7"/>
      <c r="G125" s="7"/>
      <c r="H125" s="7"/>
      <c r="I125" s="7"/>
    </row>
    <row r="126">
      <c r="A126" s="110">
        <v>44835.0</v>
      </c>
      <c r="B126" s="1" t="s">
        <v>2793</v>
      </c>
      <c r="C126" s="1">
        <v>4031.0881142299</v>
      </c>
      <c r="F126" s="7"/>
      <c r="G126" s="7"/>
      <c r="H126" s="7"/>
      <c r="I126" s="7"/>
    </row>
    <row r="127">
      <c r="A127" s="110">
        <v>44835.0</v>
      </c>
      <c r="B127" s="1" t="s">
        <v>2796</v>
      </c>
      <c r="C127" s="1">
        <v>2500578.57240727</v>
      </c>
      <c r="F127" s="7"/>
      <c r="G127" s="7"/>
      <c r="H127" s="7"/>
      <c r="I127" s="7"/>
    </row>
    <row r="128">
      <c r="A128" s="110">
        <v>44835.0</v>
      </c>
      <c r="B128" s="1" t="s">
        <v>2803</v>
      </c>
      <c r="C128" s="1">
        <v>-854.0</v>
      </c>
      <c r="F128" s="7"/>
      <c r="G128" s="7"/>
      <c r="H128" s="7"/>
      <c r="I128" s="7"/>
    </row>
    <row r="129">
      <c r="A129" s="110">
        <v>44835.0</v>
      </c>
      <c r="B129" s="1" t="s">
        <v>2799</v>
      </c>
      <c r="C129" s="1">
        <v>-27660.8537243772</v>
      </c>
      <c r="F129" s="7"/>
      <c r="G129" s="7"/>
      <c r="H129" s="7"/>
      <c r="I129" s="7"/>
    </row>
    <row r="130">
      <c r="A130" s="110">
        <v>44835.0</v>
      </c>
      <c r="B130" s="1" t="s">
        <v>2800</v>
      </c>
      <c r="C130" s="1">
        <v>-376220.387791666</v>
      </c>
      <c r="F130" s="7"/>
      <c r="G130" s="7"/>
      <c r="H130" s="7"/>
      <c r="I130" s="7"/>
    </row>
    <row r="131">
      <c r="A131" s="110">
        <v>44835.0</v>
      </c>
      <c r="B131" s="1" t="s">
        <v>2801</v>
      </c>
      <c r="C131" s="1">
        <v>-55444.0</v>
      </c>
      <c r="F131" s="7"/>
      <c r="G131" s="7"/>
      <c r="H131" s="7"/>
      <c r="I131" s="7"/>
    </row>
    <row r="132">
      <c r="A132" s="110">
        <v>44835.0</v>
      </c>
      <c r="B132" s="1" t="s">
        <v>2798</v>
      </c>
      <c r="C132" s="1">
        <v>-102.0</v>
      </c>
      <c r="F132" s="7"/>
      <c r="G132" s="7"/>
      <c r="H132" s="7"/>
      <c r="I132" s="7"/>
    </row>
    <row r="133">
      <c r="A133" s="107">
        <v>44805.0</v>
      </c>
      <c r="B133" s="1" t="s">
        <v>2793</v>
      </c>
      <c r="C133" s="1">
        <v>3448.88377999459</v>
      </c>
      <c r="F133" s="7"/>
      <c r="G133" s="7"/>
      <c r="H133" s="7"/>
      <c r="I133" s="7"/>
    </row>
    <row r="134">
      <c r="A134" s="107">
        <v>44805.0</v>
      </c>
      <c r="B134" s="1" t="s">
        <v>2796</v>
      </c>
      <c r="C134" s="1">
        <v>2326170.07918376</v>
      </c>
      <c r="F134" s="7"/>
      <c r="G134" s="7"/>
      <c r="H134" s="7"/>
      <c r="I134" s="7"/>
    </row>
    <row r="135">
      <c r="A135" s="107">
        <v>44805.0</v>
      </c>
      <c r="B135" s="1" t="s">
        <v>2799</v>
      </c>
      <c r="C135" s="1">
        <v>-11087.1452649696</v>
      </c>
      <c r="F135" s="7"/>
      <c r="G135" s="7"/>
      <c r="H135" s="7"/>
      <c r="I135" s="7"/>
    </row>
    <row r="136">
      <c r="A136" s="107">
        <v>44805.0</v>
      </c>
      <c r="B136" s="1" t="s">
        <v>2803</v>
      </c>
      <c r="C136" s="1">
        <v>-260.0</v>
      </c>
      <c r="F136" s="7"/>
      <c r="G136" s="7"/>
      <c r="H136" s="7"/>
      <c r="I136" s="7"/>
    </row>
    <row r="137">
      <c r="A137" s="107">
        <v>44805.0</v>
      </c>
      <c r="B137" s="1" t="s">
        <v>2800</v>
      </c>
      <c r="C137" s="1">
        <v>-361371.514617345</v>
      </c>
      <c r="F137" s="7"/>
      <c r="G137" s="7"/>
      <c r="H137" s="7"/>
      <c r="I137" s="7"/>
    </row>
    <row r="138">
      <c r="A138" s="107">
        <v>44805.0</v>
      </c>
      <c r="B138" s="1" t="s">
        <v>2801</v>
      </c>
      <c r="C138" s="1">
        <v>-97292.13</v>
      </c>
      <c r="F138" s="7"/>
      <c r="G138" s="7"/>
      <c r="H138" s="7"/>
      <c r="I138" s="7"/>
    </row>
    <row r="139">
      <c r="A139" s="107">
        <v>44774.0</v>
      </c>
      <c r="B139" s="1" t="s">
        <v>2793</v>
      </c>
      <c r="C139" s="1">
        <v>4089.2471577436</v>
      </c>
      <c r="F139" s="7"/>
      <c r="G139" s="7"/>
      <c r="H139" s="7"/>
      <c r="I139" s="7"/>
    </row>
    <row r="140">
      <c r="A140" s="107">
        <v>44774.0</v>
      </c>
      <c r="B140" s="1" t="s">
        <v>2796</v>
      </c>
      <c r="C140" s="1">
        <v>2390553.23807172</v>
      </c>
      <c r="F140" s="7"/>
      <c r="G140" s="7"/>
      <c r="H140" s="7"/>
      <c r="I140" s="7"/>
    </row>
    <row r="141">
      <c r="A141" s="107">
        <v>44774.0</v>
      </c>
      <c r="B141" s="1" t="s">
        <v>2798</v>
      </c>
      <c r="C141" s="1">
        <v>3569.8</v>
      </c>
      <c r="F141" s="7"/>
      <c r="G141" s="7"/>
      <c r="H141" s="7"/>
      <c r="I141" s="7"/>
    </row>
    <row r="142">
      <c r="A142" s="107">
        <v>44774.0</v>
      </c>
      <c r="B142" s="1" t="s">
        <v>2799</v>
      </c>
      <c r="C142" s="1">
        <v>-12634.4821029637</v>
      </c>
      <c r="F142" s="7"/>
      <c r="G142" s="7"/>
      <c r="H142" s="7"/>
      <c r="I142" s="7"/>
    </row>
    <row r="143">
      <c r="A143" s="107">
        <v>44774.0</v>
      </c>
      <c r="B143" s="1" t="s">
        <v>2800</v>
      </c>
      <c r="C143" s="1">
        <v>-347317.358602367</v>
      </c>
      <c r="F143" s="7"/>
      <c r="G143" s="7"/>
      <c r="H143" s="7"/>
      <c r="I143" s="7"/>
    </row>
    <row r="144">
      <c r="A144" s="107">
        <v>44774.0</v>
      </c>
      <c r="B144" s="1" t="s">
        <v>2801</v>
      </c>
      <c r="C144" s="1">
        <v>-133500.027</v>
      </c>
      <c r="F144" s="7"/>
      <c r="G144" s="7"/>
      <c r="H144" s="7"/>
      <c r="I144" s="7"/>
    </row>
    <row r="145">
      <c r="A145" s="107">
        <v>44743.0</v>
      </c>
      <c r="B145" s="1" t="s">
        <v>2796</v>
      </c>
      <c r="C145" s="1">
        <v>2388154.58087582</v>
      </c>
      <c r="F145" s="7"/>
      <c r="G145" s="7"/>
      <c r="H145" s="7"/>
      <c r="I145" s="7"/>
    </row>
    <row r="146">
      <c r="A146" s="107">
        <v>44743.0</v>
      </c>
      <c r="B146" s="1" t="s">
        <v>2793</v>
      </c>
      <c r="C146" s="1">
        <v>4560.20600927799</v>
      </c>
      <c r="F146" s="7"/>
      <c r="G146" s="7"/>
      <c r="H146" s="7"/>
      <c r="I146" s="7"/>
    </row>
    <row r="147">
      <c r="A147" s="107">
        <v>44743.0</v>
      </c>
      <c r="B147" s="1" t="s">
        <v>2798</v>
      </c>
      <c r="C147" s="1">
        <v>22.6953201605</v>
      </c>
      <c r="F147" s="7"/>
      <c r="G147" s="7"/>
      <c r="H147" s="7"/>
      <c r="I147" s="7"/>
    </row>
    <row r="148">
      <c r="A148" s="107">
        <v>44743.0</v>
      </c>
      <c r="B148" s="1" t="s">
        <v>2797</v>
      </c>
      <c r="C148" s="1">
        <v>237.472115383396</v>
      </c>
      <c r="F148" s="7"/>
      <c r="G148" s="7"/>
      <c r="H148" s="7"/>
      <c r="I148" s="7"/>
    </row>
    <row r="149">
      <c r="A149" s="107">
        <v>44743.0</v>
      </c>
      <c r="B149" s="1" t="s">
        <v>2803</v>
      </c>
      <c r="C149" s="1">
        <v>-570.0</v>
      </c>
      <c r="F149" s="7"/>
      <c r="G149" s="7"/>
      <c r="H149" s="7"/>
      <c r="I149" s="7"/>
    </row>
    <row r="150">
      <c r="A150" s="107">
        <v>44743.0</v>
      </c>
      <c r="B150" s="1" t="s">
        <v>2799</v>
      </c>
      <c r="C150" s="1">
        <v>-2456.292464972</v>
      </c>
      <c r="F150" s="7"/>
      <c r="G150" s="7"/>
      <c r="H150" s="7"/>
      <c r="I150" s="7"/>
    </row>
    <row r="151">
      <c r="A151" s="107">
        <v>44743.0</v>
      </c>
      <c r="B151" s="1" t="s">
        <v>2800</v>
      </c>
      <c r="C151" s="1">
        <v>-663425.559276184</v>
      </c>
      <c r="F151" s="7"/>
      <c r="G151" s="7"/>
      <c r="H151" s="7"/>
      <c r="I151" s="7"/>
    </row>
    <row r="152">
      <c r="A152" s="107">
        <v>44743.0</v>
      </c>
      <c r="B152" s="1" t="s">
        <v>2801</v>
      </c>
      <c r="C152" s="1">
        <v>-347276.41</v>
      </c>
      <c r="F152" s="7"/>
      <c r="G152" s="7"/>
      <c r="H152" s="7"/>
      <c r="I152" s="7"/>
    </row>
    <row r="153">
      <c r="A153" s="107">
        <v>44713.0</v>
      </c>
      <c r="B153" s="1" t="s">
        <v>2793</v>
      </c>
      <c r="C153" s="1">
        <v>4103.5076966061</v>
      </c>
      <c r="F153" s="7"/>
      <c r="G153" s="7"/>
      <c r="H153" s="7"/>
      <c r="I153" s="7"/>
    </row>
    <row r="154">
      <c r="A154" s="107">
        <v>44713.0</v>
      </c>
      <c r="B154" s="1" t="s">
        <v>2796</v>
      </c>
      <c r="C154" s="1">
        <v>2218234.78024596</v>
      </c>
      <c r="F154" s="7"/>
      <c r="G154" s="7"/>
      <c r="H154" s="7"/>
      <c r="I154" s="7"/>
    </row>
    <row r="155">
      <c r="A155" s="107">
        <v>44713.0</v>
      </c>
      <c r="B155" s="1" t="s">
        <v>2803</v>
      </c>
      <c r="C155" s="1">
        <v>-460.75</v>
      </c>
      <c r="F155" s="7"/>
      <c r="G155" s="7"/>
      <c r="H155" s="7"/>
      <c r="I155" s="7"/>
    </row>
    <row r="156">
      <c r="A156" s="107">
        <v>44713.0</v>
      </c>
      <c r="B156" s="1" t="s">
        <v>2799</v>
      </c>
      <c r="C156" s="1">
        <v>-1252.7925</v>
      </c>
      <c r="F156" s="7"/>
      <c r="G156" s="7"/>
      <c r="H156" s="7"/>
      <c r="I156" s="7"/>
    </row>
    <row r="157">
      <c r="A157" s="107">
        <v>44713.0</v>
      </c>
      <c r="B157" s="1" t="s">
        <v>2798</v>
      </c>
      <c r="C157" s="1">
        <v>-102.0</v>
      </c>
      <c r="F157" s="7"/>
      <c r="G157" s="7"/>
      <c r="H157" s="7"/>
      <c r="I157" s="7"/>
    </row>
    <row r="158">
      <c r="A158" s="107">
        <v>44713.0</v>
      </c>
      <c r="B158" s="1" t="s">
        <v>2800</v>
      </c>
      <c r="C158" s="1">
        <v>-315772.170883301</v>
      </c>
      <c r="F158" s="7"/>
      <c r="G158" s="7"/>
      <c r="H158" s="7"/>
      <c r="I158" s="7"/>
    </row>
    <row r="159">
      <c r="A159" s="107">
        <v>44713.0</v>
      </c>
      <c r="B159" s="1" t="s">
        <v>2801</v>
      </c>
      <c r="C159" s="1">
        <v>-182116.65825</v>
      </c>
      <c r="F159" s="7"/>
      <c r="G159" s="7"/>
      <c r="H159" s="7"/>
      <c r="I159" s="7"/>
    </row>
    <row r="160">
      <c r="A160" s="107">
        <v>44682.0</v>
      </c>
      <c r="B160" s="1" t="s">
        <v>2793</v>
      </c>
      <c r="C160" s="1">
        <v>5453.2870128593</v>
      </c>
      <c r="F160" s="7"/>
      <c r="G160" s="7"/>
      <c r="H160" s="7"/>
      <c r="I160" s="7"/>
    </row>
    <row r="161">
      <c r="A161" s="107">
        <v>44682.0</v>
      </c>
      <c r="B161" s="1" t="s">
        <v>2796</v>
      </c>
      <c r="C161" s="1">
        <v>2202717.01252061</v>
      </c>
      <c r="F161" s="7"/>
      <c r="G161" s="7"/>
      <c r="H161" s="7"/>
      <c r="I161" s="7"/>
    </row>
    <row r="162">
      <c r="A162" s="107">
        <v>44682.0</v>
      </c>
      <c r="B162" s="1" t="s">
        <v>2797</v>
      </c>
      <c r="C162" s="1">
        <v>100.0</v>
      </c>
      <c r="F162" s="7"/>
      <c r="G162" s="7"/>
      <c r="H162" s="7"/>
      <c r="I162" s="7"/>
    </row>
    <row r="163">
      <c r="A163" s="107">
        <v>44682.0</v>
      </c>
      <c r="B163" s="1" t="s">
        <v>2803</v>
      </c>
      <c r="C163" s="1">
        <v>-694.0</v>
      </c>
      <c r="F163" s="7"/>
      <c r="G163" s="7"/>
      <c r="H163" s="7"/>
      <c r="I163" s="7"/>
    </row>
    <row r="164">
      <c r="A164" s="107">
        <v>44682.0</v>
      </c>
      <c r="B164" s="1" t="s">
        <v>2799</v>
      </c>
      <c r="C164" s="1">
        <v>-2022.0975</v>
      </c>
      <c r="F164" s="7"/>
      <c r="G164" s="7"/>
      <c r="H164" s="7"/>
      <c r="I164" s="7"/>
    </row>
    <row r="165">
      <c r="A165" s="107">
        <v>44682.0</v>
      </c>
      <c r="B165" s="1" t="s">
        <v>2800</v>
      </c>
      <c r="C165" s="1">
        <v>-302674.664965611</v>
      </c>
      <c r="F165" s="7"/>
      <c r="G165" s="7"/>
      <c r="H165" s="7"/>
      <c r="I165" s="7"/>
    </row>
    <row r="166">
      <c r="A166" s="107">
        <v>44682.0</v>
      </c>
      <c r="B166" s="1" t="s">
        <v>2801</v>
      </c>
      <c r="C166" s="1">
        <v>-26158.78</v>
      </c>
      <c r="F166" s="7"/>
      <c r="G166" s="7"/>
      <c r="H166" s="7"/>
      <c r="I166" s="7"/>
    </row>
    <row r="167">
      <c r="A167" s="107">
        <v>44652.0</v>
      </c>
      <c r="B167" s="1" t="s">
        <v>2796</v>
      </c>
      <c r="C167" s="1">
        <v>2149324.78722769</v>
      </c>
      <c r="F167" s="7"/>
      <c r="G167" s="7"/>
      <c r="H167" s="7"/>
      <c r="I167" s="7"/>
    </row>
    <row r="168">
      <c r="A168" s="107">
        <v>44652.0</v>
      </c>
      <c r="B168" s="1" t="s">
        <v>2793</v>
      </c>
      <c r="C168" s="1">
        <v>4969.0041485217</v>
      </c>
      <c r="F168" s="7"/>
      <c r="G168" s="7"/>
      <c r="H168" s="7"/>
      <c r="I168" s="7"/>
    </row>
    <row r="169">
      <c r="A169" s="107">
        <v>44652.0</v>
      </c>
      <c r="B169" s="1" t="s">
        <v>2797</v>
      </c>
      <c r="C169" s="1">
        <v>212.271750717001</v>
      </c>
      <c r="F169" s="7"/>
      <c r="G169" s="7"/>
      <c r="H169" s="7"/>
      <c r="I169" s="7"/>
    </row>
    <row r="170">
      <c r="A170" s="107">
        <v>44652.0</v>
      </c>
      <c r="B170" s="1" t="s">
        <v>2803</v>
      </c>
      <c r="C170" s="1">
        <v>-287.0</v>
      </c>
      <c r="F170" s="7"/>
      <c r="G170" s="7"/>
      <c r="H170" s="7"/>
      <c r="I170" s="7"/>
    </row>
    <row r="171">
      <c r="A171" s="107">
        <v>44652.0</v>
      </c>
      <c r="B171" s="1" t="s">
        <v>2800</v>
      </c>
      <c r="C171" s="1">
        <v>-563341.829117008</v>
      </c>
      <c r="F171" s="7"/>
      <c r="G171" s="7"/>
      <c r="H171" s="7"/>
      <c r="I171" s="7"/>
    </row>
    <row r="172">
      <c r="A172" s="107">
        <v>44652.0</v>
      </c>
      <c r="B172" s="1" t="s">
        <v>2801</v>
      </c>
      <c r="C172" s="1">
        <v>-30615.28</v>
      </c>
      <c r="F172" s="7"/>
      <c r="G172" s="7"/>
      <c r="H172" s="7"/>
      <c r="I172" s="7"/>
    </row>
    <row r="173">
      <c r="A173" s="107">
        <v>44621.0</v>
      </c>
      <c r="B173" s="1" t="s">
        <v>2793</v>
      </c>
      <c r="C173" s="1">
        <v>4909.6879187568</v>
      </c>
      <c r="F173" s="7"/>
      <c r="G173" s="7"/>
      <c r="H173" s="7"/>
      <c r="I173" s="7"/>
    </row>
    <row r="174">
      <c r="A174" s="107">
        <v>44621.0</v>
      </c>
      <c r="B174" s="1" t="s">
        <v>2796</v>
      </c>
      <c r="C174" s="1">
        <v>2163381.64905128</v>
      </c>
      <c r="F174" s="7"/>
      <c r="G174" s="7"/>
      <c r="H174" s="7"/>
      <c r="I174" s="7"/>
    </row>
    <row r="175">
      <c r="A175" s="107">
        <v>44621.0</v>
      </c>
      <c r="B175" s="1" t="s">
        <v>2797</v>
      </c>
      <c r="C175" s="1">
        <v>100.0</v>
      </c>
      <c r="F175" s="7"/>
      <c r="G175" s="7"/>
      <c r="H175" s="7"/>
      <c r="I175" s="7"/>
    </row>
    <row r="176">
      <c r="A176" s="107">
        <v>44621.0</v>
      </c>
      <c r="B176" s="1" t="s">
        <v>2803</v>
      </c>
      <c r="C176" s="1">
        <v>-958.25</v>
      </c>
      <c r="F176" s="7"/>
      <c r="G176" s="7"/>
      <c r="H176" s="7"/>
      <c r="I176" s="7"/>
    </row>
    <row r="177">
      <c r="A177" s="107">
        <v>44621.0</v>
      </c>
      <c r="B177" s="1" t="s">
        <v>2800</v>
      </c>
      <c r="C177" s="1">
        <v>-260327.359314491</v>
      </c>
      <c r="F177" s="7"/>
      <c r="G177" s="7"/>
      <c r="H177" s="7"/>
      <c r="I177" s="7"/>
    </row>
    <row r="178">
      <c r="A178" s="107">
        <v>44621.0</v>
      </c>
      <c r="B178" s="1" t="s">
        <v>2801</v>
      </c>
      <c r="C178" s="1">
        <v>-25207.19</v>
      </c>
      <c r="F178" s="7"/>
      <c r="G178" s="7"/>
      <c r="H178" s="7"/>
      <c r="I178" s="7"/>
    </row>
    <row r="179">
      <c r="A179" s="107">
        <v>44593.0</v>
      </c>
      <c r="B179" s="1" t="s">
        <v>2796</v>
      </c>
      <c r="C179" s="1">
        <v>1955312.06454522</v>
      </c>
      <c r="F179" s="7"/>
      <c r="G179" s="7"/>
      <c r="H179" s="7"/>
      <c r="I179" s="7"/>
    </row>
    <row r="180">
      <c r="A180" s="107">
        <v>44593.0</v>
      </c>
      <c r="B180" s="1" t="s">
        <v>2793</v>
      </c>
      <c r="C180" s="1">
        <v>5095.5560765504</v>
      </c>
      <c r="F180" s="7"/>
      <c r="G180" s="7"/>
      <c r="H180" s="7"/>
      <c r="I180" s="7"/>
    </row>
    <row r="181">
      <c r="A181" s="107">
        <v>44593.0</v>
      </c>
      <c r="B181" s="1" t="s">
        <v>2803</v>
      </c>
      <c r="C181" s="1">
        <v>-1272.0</v>
      </c>
      <c r="F181" s="7"/>
      <c r="G181" s="7"/>
      <c r="H181" s="7"/>
      <c r="I181" s="7"/>
    </row>
    <row r="182">
      <c r="A182" s="107">
        <v>44593.0</v>
      </c>
      <c r="B182" s="1" t="s">
        <v>2800</v>
      </c>
      <c r="C182" s="1">
        <v>-247355.33114632</v>
      </c>
      <c r="F182" s="7"/>
      <c r="G182" s="7"/>
      <c r="H182" s="7"/>
      <c r="I182" s="7"/>
    </row>
    <row r="183">
      <c r="A183" s="107">
        <v>44593.0</v>
      </c>
      <c r="B183" s="1" t="s">
        <v>2801</v>
      </c>
      <c r="C183" s="1">
        <v>-12286.5768</v>
      </c>
      <c r="F183" s="7"/>
      <c r="G183" s="7"/>
      <c r="H183" s="7"/>
      <c r="I183" s="7"/>
    </row>
    <row r="184">
      <c r="A184" s="107">
        <v>44562.0</v>
      </c>
      <c r="B184" s="1" t="s">
        <v>2796</v>
      </c>
      <c r="C184" s="1">
        <v>2123861.71903891</v>
      </c>
      <c r="F184" s="7"/>
      <c r="G184" s="7"/>
      <c r="H184" s="7"/>
      <c r="I184" s="7"/>
    </row>
    <row r="185">
      <c r="A185" s="107">
        <v>44562.0</v>
      </c>
      <c r="B185" s="1" t="s">
        <v>2793</v>
      </c>
      <c r="C185" s="1">
        <v>6520.38398636379</v>
      </c>
      <c r="F185" s="7"/>
      <c r="G185" s="7"/>
      <c r="H185" s="7"/>
      <c r="I185" s="7"/>
    </row>
    <row r="186">
      <c r="A186" s="107">
        <v>44562.0</v>
      </c>
      <c r="B186" s="1" t="s">
        <v>2803</v>
      </c>
      <c r="C186" s="1">
        <v>-800.8</v>
      </c>
      <c r="F186" s="7"/>
      <c r="G186" s="7"/>
      <c r="H186" s="7"/>
      <c r="I186" s="7"/>
    </row>
    <row r="187">
      <c r="A187" s="107">
        <v>44562.0</v>
      </c>
      <c r="B187" s="1" t="s">
        <v>2800</v>
      </c>
      <c r="C187" s="1">
        <v>-243228.800871718</v>
      </c>
      <c r="F187" s="7"/>
      <c r="G187" s="7"/>
      <c r="H187" s="7"/>
      <c r="I187" s="7"/>
    </row>
    <row r="188">
      <c r="A188" s="107">
        <v>44562.0</v>
      </c>
      <c r="B188" s="1" t="s">
        <v>2801</v>
      </c>
      <c r="C188" s="1">
        <v>-5526.14</v>
      </c>
      <c r="F188" s="7"/>
      <c r="G188" s="7"/>
      <c r="H188" s="7"/>
      <c r="I188" s="7"/>
    </row>
    <row r="189">
      <c r="A189" s="110">
        <v>44531.0</v>
      </c>
      <c r="B189" s="1" t="s">
        <v>2796</v>
      </c>
      <c r="C189" s="1">
        <v>2081989.00584223</v>
      </c>
      <c r="F189" s="7"/>
      <c r="G189" s="7"/>
      <c r="H189" s="7"/>
      <c r="I189" s="7"/>
    </row>
    <row r="190">
      <c r="A190" s="110">
        <v>44531.0</v>
      </c>
      <c r="B190" s="1" t="s">
        <v>2793</v>
      </c>
      <c r="C190" s="1">
        <v>9399.68453820649</v>
      </c>
      <c r="F190" s="7"/>
      <c r="G190" s="7"/>
      <c r="H190" s="7"/>
      <c r="I190" s="7"/>
    </row>
    <row r="191">
      <c r="A191" s="110">
        <v>44531.0</v>
      </c>
      <c r="B191" s="1" t="s">
        <v>2797</v>
      </c>
      <c r="C191" s="1">
        <v>100.0</v>
      </c>
      <c r="F191" s="7"/>
      <c r="G191" s="7"/>
      <c r="H191" s="7"/>
      <c r="I191" s="7"/>
    </row>
    <row r="192">
      <c r="A192" s="110">
        <v>44531.0</v>
      </c>
      <c r="B192" s="1" t="s">
        <v>2803</v>
      </c>
      <c r="C192" s="1">
        <v>-794.75</v>
      </c>
      <c r="F192" s="7"/>
      <c r="G192" s="7"/>
      <c r="H192" s="7"/>
      <c r="I192" s="7"/>
    </row>
    <row r="193">
      <c r="A193" s="110">
        <v>44531.0</v>
      </c>
      <c r="B193" s="1" t="s">
        <v>2800</v>
      </c>
      <c r="C193" s="1">
        <v>-444624.775696262</v>
      </c>
      <c r="F193" s="7"/>
      <c r="G193" s="7"/>
      <c r="H193" s="7"/>
      <c r="I193" s="7"/>
    </row>
    <row r="194">
      <c r="A194" s="110">
        <v>44531.0</v>
      </c>
      <c r="B194" s="1" t="s">
        <v>2801</v>
      </c>
      <c r="C194" s="1">
        <v>-12743.76</v>
      </c>
      <c r="F194" s="7"/>
      <c r="G194" s="7"/>
      <c r="H194" s="7"/>
      <c r="I194" s="7"/>
    </row>
    <row r="195">
      <c r="A195" s="110">
        <v>44501.0</v>
      </c>
      <c r="B195" s="1" t="s">
        <v>2793</v>
      </c>
      <c r="C195" s="1">
        <v>19483.1724472177</v>
      </c>
      <c r="F195" s="7"/>
      <c r="G195" s="7"/>
      <c r="H195" s="7"/>
      <c r="I195" s="7"/>
    </row>
    <row r="196">
      <c r="A196" s="110">
        <v>44501.0</v>
      </c>
      <c r="B196" s="1" t="s">
        <v>2796</v>
      </c>
      <c r="C196" s="1">
        <v>1908929.19548896</v>
      </c>
      <c r="F196" s="7"/>
      <c r="G196" s="7"/>
      <c r="H196" s="7"/>
      <c r="I196" s="7"/>
    </row>
    <row r="197">
      <c r="A197" s="110">
        <v>44501.0</v>
      </c>
      <c r="B197" s="1" t="s">
        <v>2803</v>
      </c>
      <c r="C197" s="1">
        <v>-501.4</v>
      </c>
      <c r="F197" s="7"/>
      <c r="G197" s="7"/>
      <c r="H197" s="7"/>
      <c r="I197" s="7"/>
    </row>
    <row r="198">
      <c r="A198" s="110">
        <v>44501.0</v>
      </c>
      <c r="B198" s="1" t="s">
        <v>2800</v>
      </c>
      <c r="C198" s="1">
        <v>-201492.714903657</v>
      </c>
      <c r="F198" s="7"/>
      <c r="G198" s="7"/>
      <c r="H198" s="7"/>
      <c r="I198" s="7"/>
    </row>
    <row r="199">
      <c r="A199" s="110">
        <v>44501.0</v>
      </c>
      <c r="B199" s="1" t="s">
        <v>2801</v>
      </c>
      <c r="C199" s="1">
        <v>-1517.704</v>
      </c>
      <c r="F199" s="7"/>
      <c r="G199" s="7"/>
      <c r="H199" s="7"/>
      <c r="I199" s="7"/>
    </row>
    <row r="200">
      <c r="A200" s="110">
        <v>44470.0</v>
      </c>
      <c r="B200" s="1" t="s">
        <v>2793</v>
      </c>
      <c r="C200" s="1">
        <v>8602.7671939255</v>
      </c>
      <c r="F200" s="7"/>
      <c r="G200" s="7"/>
      <c r="H200" s="7"/>
      <c r="I200" s="7"/>
    </row>
    <row r="201">
      <c r="A201" s="110">
        <v>44470.0</v>
      </c>
      <c r="B201" s="1" t="s">
        <v>2796</v>
      </c>
      <c r="C201" s="1">
        <v>1407074.11734131</v>
      </c>
      <c r="F201" s="7"/>
      <c r="G201" s="7"/>
      <c r="H201" s="7"/>
      <c r="I201" s="7"/>
    </row>
    <row r="202">
      <c r="A202" s="110">
        <v>44470.0</v>
      </c>
      <c r="B202" s="1" t="s">
        <v>2797</v>
      </c>
      <c r="C202" s="1">
        <v>226.767498219698</v>
      </c>
      <c r="F202" s="7"/>
      <c r="G202" s="7"/>
      <c r="H202" s="7"/>
      <c r="I202" s="7"/>
    </row>
    <row r="203">
      <c r="A203" s="110">
        <v>44470.0</v>
      </c>
      <c r="B203" s="1" t="s">
        <v>2798</v>
      </c>
      <c r="C203" s="1">
        <v>250.0</v>
      </c>
      <c r="F203" s="7"/>
      <c r="G203" s="7"/>
      <c r="H203" s="7"/>
      <c r="I203" s="7"/>
    </row>
    <row r="204">
      <c r="A204" s="110">
        <v>44470.0</v>
      </c>
      <c r="B204" s="1" t="s">
        <v>2803</v>
      </c>
      <c r="C204" s="1">
        <v>-172.1</v>
      </c>
      <c r="F204" s="7"/>
      <c r="G204" s="7"/>
      <c r="H204" s="7"/>
      <c r="I204" s="7"/>
    </row>
    <row r="205">
      <c r="A205" s="110">
        <v>44470.0</v>
      </c>
      <c r="B205" s="1" t="s">
        <v>2800</v>
      </c>
      <c r="C205" s="1">
        <v>-190334.484422043</v>
      </c>
      <c r="F205" s="7"/>
      <c r="G205" s="7"/>
      <c r="H205" s="7"/>
      <c r="I205" s="7"/>
    </row>
    <row r="206">
      <c r="A206" s="110">
        <v>44470.0</v>
      </c>
      <c r="B206" s="1" t="s">
        <v>2801</v>
      </c>
      <c r="C206" s="1">
        <v>-655.26</v>
      </c>
      <c r="F206" s="7"/>
      <c r="G206" s="7"/>
      <c r="H206" s="7"/>
      <c r="I206" s="7"/>
    </row>
    <row r="207">
      <c r="A207" s="107">
        <v>44440.0</v>
      </c>
      <c r="B207" s="1" t="s">
        <v>2793</v>
      </c>
      <c r="C207" s="1">
        <v>6965.89505086929</v>
      </c>
      <c r="F207" s="7"/>
      <c r="G207" s="7"/>
      <c r="H207" s="7"/>
      <c r="I207" s="7"/>
    </row>
    <row r="208">
      <c r="A208" s="107">
        <v>44440.0</v>
      </c>
      <c r="B208" s="1" t="s">
        <v>2796</v>
      </c>
      <c r="C208" s="1">
        <v>1006094.03347037</v>
      </c>
      <c r="F208" s="7"/>
      <c r="G208" s="7"/>
      <c r="H208" s="7"/>
      <c r="I208" s="7"/>
    </row>
    <row r="209">
      <c r="A209" s="107">
        <v>44440.0</v>
      </c>
      <c r="B209" s="1" t="s">
        <v>2803</v>
      </c>
      <c r="C209" s="1">
        <v>-199.5</v>
      </c>
      <c r="F209" s="7"/>
      <c r="G209" s="7"/>
      <c r="H209" s="7"/>
      <c r="I209" s="7"/>
    </row>
    <row r="210">
      <c r="A210" s="107">
        <v>44440.0</v>
      </c>
      <c r="B210" s="1" t="s">
        <v>2800</v>
      </c>
      <c r="C210" s="1">
        <v>-183261.957606442</v>
      </c>
      <c r="F210" s="7"/>
      <c r="G210" s="7"/>
      <c r="H210" s="7"/>
      <c r="I210" s="7"/>
    </row>
    <row r="211">
      <c r="A211" s="107">
        <v>44440.0</v>
      </c>
      <c r="B211" s="1" t="s">
        <v>2801</v>
      </c>
      <c r="C211" s="1">
        <v>-5900.72</v>
      </c>
      <c r="F211" s="7"/>
      <c r="G211" s="7"/>
      <c r="H211" s="7"/>
      <c r="I211" s="7"/>
    </row>
    <row r="212">
      <c r="A212" s="107">
        <v>44409.0</v>
      </c>
      <c r="B212" s="1" t="s">
        <v>2793</v>
      </c>
      <c r="C212" s="1">
        <v>5573.81013230239</v>
      </c>
      <c r="F212" s="7"/>
      <c r="G212" s="7"/>
      <c r="H212" s="7"/>
      <c r="I212" s="7"/>
    </row>
    <row r="213">
      <c r="A213" s="107">
        <v>44409.0</v>
      </c>
      <c r="B213" s="1" t="s">
        <v>2796</v>
      </c>
      <c r="C213" s="1">
        <v>1261916.04250157</v>
      </c>
      <c r="F213" s="7"/>
      <c r="G213" s="7"/>
      <c r="H213" s="7"/>
      <c r="I213" s="7"/>
    </row>
    <row r="214">
      <c r="A214" s="107">
        <v>44409.0</v>
      </c>
      <c r="B214" s="1" t="s">
        <v>2803</v>
      </c>
      <c r="C214" s="1">
        <v>-948.209999999999</v>
      </c>
      <c r="F214" s="7"/>
      <c r="G214" s="7"/>
      <c r="H214" s="7"/>
      <c r="I214" s="7"/>
    </row>
    <row r="215">
      <c r="A215" s="107">
        <v>44409.0</v>
      </c>
      <c r="B215" s="1" t="s">
        <v>2799</v>
      </c>
      <c r="C215" s="1">
        <v>-2445.79</v>
      </c>
      <c r="F215" s="7"/>
      <c r="G215" s="7"/>
      <c r="H215" s="7"/>
      <c r="I215" s="7"/>
    </row>
    <row r="216">
      <c r="A216" s="107">
        <v>44409.0</v>
      </c>
      <c r="B216" s="1" t="s">
        <v>2800</v>
      </c>
      <c r="C216" s="1">
        <v>-345586.939918393</v>
      </c>
      <c r="F216" s="7"/>
      <c r="G216" s="7"/>
      <c r="H216" s="7"/>
      <c r="I216" s="7"/>
    </row>
    <row r="217">
      <c r="A217" s="107">
        <v>44409.0</v>
      </c>
      <c r="B217" s="1" t="s">
        <v>2801</v>
      </c>
      <c r="C217" s="1">
        <v>-17247.7</v>
      </c>
      <c r="F217" s="7"/>
      <c r="G217" s="7"/>
      <c r="H217" s="7"/>
      <c r="I217" s="7"/>
    </row>
    <row r="218">
      <c r="A218" s="107">
        <v>44378.0</v>
      </c>
      <c r="B218" s="1" t="s">
        <v>2796</v>
      </c>
      <c r="C218" s="1">
        <v>1143865.58548086</v>
      </c>
      <c r="F218" s="7"/>
      <c r="G218" s="7"/>
      <c r="H218" s="7"/>
      <c r="I218" s="7"/>
    </row>
    <row r="219">
      <c r="A219" s="107">
        <v>44378.0</v>
      </c>
      <c r="B219" s="1" t="s">
        <v>2793</v>
      </c>
      <c r="C219" s="1">
        <v>4203.4734624519</v>
      </c>
      <c r="F219" s="7"/>
      <c r="G219" s="7"/>
      <c r="H219" s="7"/>
      <c r="I219" s="7"/>
    </row>
    <row r="220">
      <c r="A220" s="107">
        <v>44378.0</v>
      </c>
      <c r="B220" s="1" t="s">
        <v>2803</v>
      </c>
      <c r="C220" s="1">
        <v>-165.5</v>
      </c>
      <c r="F220" s="7"/>
      <c r="G220" s="7"/>
      <c r="H220" s="7"/>
      <c r="I220" s="7"/>
    </row>
    <row r="221">
      <c r="A221" s="107">
        <v>44378.0</v>
      </c>
      <c r="B221" s="1" t="s">
        <v>2800</v>
      </c>
      <c r="C221" s="1">
        <v>-161429.057886867</v>
      </c>
      <c r="F221" s="7"/>
      <c r="G221" s="7"/>
      <c r="H221" s="7"/>
      <c r="I221" s="7"/>
    </row>
    <row r="222">
      <c r="A222" s="107">
        <v>44378.0</v>
      </c>
      <c r="B222" s="1" t="s">
        <v>2801</v>
      </c>
      <c r="C222" s="1">
        <v>-6563.997</v>
      </c>
      <c r="F222" s="7"/>
      <c r="G222" s="7"/>
      <c r="H222" s="7"/>
      <c r="I222" s="7"/>
    </row>
    <row r="223">
      <c r="A223" s="107">
        <v>44348.0</v>
      </c>
      <c r="B223" s="1" t="s">
        <v>2796</v>
      </c>
      <c r="C223" s="1">
        <v>1052392.62621136</v>
      </c>
      <c r="F223" s="7"/>
      <c r="G223" s="7"/>
      <c r="H223" s="7"/>
      <c r="I223" s="7"/>
    </row>
    <row r="224">
      <c r="A224" s="107">
        <v>44348.0</v>
      </c>
      <c r="B224" s="1" t="s">
        <v>2793</v>
      </c>
      <c r="C224" s="1">
        <v>795.3844171325</v>
      </c>
      <c r="F224" s="7"/>
      <c r="G224" s="7"/>
      <c r="H224" s="7"/>
      <c r="I224" s="7"/>
    </row>
    <row r="225">
      <c r="A225" s="107">
        <v>44348.0</v>
      </c>
      <c r="B225" s="1" t="s">
        <v>2803</v>
      </c>
      <c r="C225" s="1">
        <v>-346.92</v>
      </c>
      <c r="F225" s="7"/>
      <c r="G225" s="7"/>
      <c r="H225" s="7"/>
      <c r="I225" s="7"/>
    </row>
    <row r="226">
      <c r="A226" s="107">
        <v>44348.0</v>
      </c>
      <c r="B226" s="1" t="s">
        <v>2800</v>
      </c>
      <c r="C226" s="1">
        <v>-154165.455882816</v>
      </c>
      <c r="F226" s="7"/>
      <c r="G226" s="7"/>
      <c r="H226" s="7"/>
      <c r="I226" s="7"/>
    </row>
    <row r="227">
      <c r="A227" s="107">
        <v>44348.0</v>
      </c>
      <c r="B227" s="1" t="s">
        <v>2801</v>
      </c>
      <c r="C227" s="1">
        <v>-1300.0</v>
      </c>
      <c r="F227" s="7"/>
      <c r="G227" s="7"/>
      <c r="H227" s="7"/>
      <c r="I227" s="7"/>
    </row>
    <row r="228">
      <c r="A228" s="107">
        <v>44317.0</v>
      </c>
      <c r="B228" s="1" t="s">
        <v>2796</v>
      </c>
      <c r="C228" s="1">
        <v>989529.300457029</v>
      </c>
      <c r="F228" s="7"/>
      <c r="G228" s="7"/>
      <c r="H228" s="7"/>
      <c r="I228" s="7"/>
    </row>
    <row r="229">
      <c r="A229" s="107">
        <v>44317.0</v>
      </c>
      <c r="B229" s="1" t="s">
        <v>2793</v>
      </c>
      <c r="C229" s="1">
        <v>87.1618216095999</v>
      </c>
      <c r="F229" s="7"/>
      <c r="G229" s="7"/>
      <c r="H229" s="7"/>
      <c r="I229" s="7"/>
    </row>
    <row r="230">
      <c r="A230" s="107">
        <v>44317.0</v>
      </c>
      <c r="B230" s="1" t="s">
        <v>2803</v>
      </c>
      <c r="C230" s="1">
        <v>-196.05</v>
      </c>
      <c r="F230" s="7"/>
      <c r="G230" s="7"/>
      <c r="H230" s="7"/>
      <c r="I230" s="7"/>
    </row>
    <row r="231">
      <c r="A231" s="107">
        <v>44317.0</v>
      </c>
      <c r="B231" s="1" t="s">
        <v>2800</v>
      </c>
      <c r="C231" s="1">
        <v>-147651.433707258</v>
      </c>
      <c r="F231" s="7"/>
      <c r="G231" s="7"/>
      <c r="H231" s="7"/>
      <c r="I231" s="7"/>
    </row>
    <row r="232">
      <c r="A232" s="107">
        <v>44317.0</v>
      </c>
      <c r="B232" s="1" t="s">
        <v>2801</v>
      </c>
      <c r="C232" s="1">
        <v>-3236.98</v>
      </c>
      <c r="F232" s="7"/>
      <c r="G232" s="7"/>
      <c r="H232" s="7"/>
      <c r="I232" s="7"/>
    </row>
    <row r="233">
      <c r="A233" s="107">
        <v>44287.0</v>
      </c>
      <c r="B233" s="1" t="s">
        <v>2796</v>
      </c>
      <c r="C233" s="1">
        <v>910038.883627165</v>
      </c>
      <c r="F233" s="7"/>
      <c r="G233" s="7"/>
      <c r="H233" s="7"/>
      <c r="I233" s="7"/>
    </row>
    <row r="234">
      <c r="A234" s="107">
        <v>44287.0</v>
      </c>
      <c r="B234" s="1" t="s">
        <v>2793</v>
      </c>
      <c r="C234" s="1">
        <v>80.5555546684</v>
      </c>
      <c r="F234" s="7"/>
      <c r="G234" s="7"/>
      <c r="H234" s="7"/>
      <c r="I234" s="7"/>
    </row>
    <row r="235">
      <c r="A235" s="107">
        <v>44287.0</v>
      </c>
      <c r="B235" s="1" t="s">
        <v>2798</v>
      </c>
      <c r="C235" s="1">
        <v>0.01</v>
      </c>
      <c r="F235" s="7"/>
      <c r="G235" s="7"/>
      <c r="H235" s="7"/>
      <c r="I235" s="7"/>
    </row>
    <row r="236">
      <c r="A236" s="107">
        <v>44287.0</v>
      </c>
      <c r="B236" s="1" t="s">
        <v>2797</v>
      </c>
      <c r="C236" s="1">
        <v>100.0</v>
      </c>
      <c r="F236" s="7"/>
      <c r="G236" s="7"/>
      <c r="H236" s="7"/>
      <c r="I236" s="7"/>
    </row>
    <row r="237">
      <c r="A237" s="107">
        <v>44287.0</v>
      </c>
      <c r="B237" s="1" t="s">
        <v>2803</v>
      </c>
      <c r="C237" s="1">
        <v>-504.67</v>
      </c>
      <c r="F237" s="7"/>
      <c r="G237" s="7"/>
      <c r="H237" s="7"/>
      <c r="I237" s="7"/>
    </row>
    <row r="238">
      <c r="A238" s="107">
        <v>44287.0</v>
      </c>
      <c r="B238" s="1" t="s">
        <v>2800</v>
      </c>
      <c r="C238" s="1">
        <v>-277178.975852307</v>
      </c>
      <c r="F238" s="7"/>
      <c r="G238" s="7"/>
      <c r="H238" s="7"/>
      <c r="I238" s="7"/>
    </row>
    <row r="239">
      <c r="A239" s="107">
        <v>44287.0</v>
      </c>
      <c r="B239" s="1" t="s">
        <v>2801</v>
      </c>
      <c r="C239" s="1">
        <v>-6187.995</v>
      </c>
      <c r="F239" s="7"/>
      <c r="G239" s="7"/>
      <c r="H239" s="7"/>
      <c r="I239" s="7"/>
    </row>
    <row r="240">
      <c r="A240" s="107">
        <v>44256.0</v>
      </c>
      <c r="B240" s="1" t="s">
        <v>2793</v>
      </c>
      <c r="C240" s="1">
        <v>198.2316496881</v>
      </c>
      <c r="F240" s="7"/>
      <c r="G240" s="7"/>
      <c r="H240" s="7"/>
      <c r="I240" s="7"/>
    </row>
    <row r="241">
      <c r="A241" s="107">
        <v>44256.0</v>
      </c>
      <c r="B241" s="1" t="s">
        <v>2796</v>
      </c>
      <c r="C241" s="1">
        <v>953726.583895175</v>
      </c>
      <c r="F241" s="7"/>
      <c r="G241" s="7"/>
      <c r="H241" s="7"/>
      <c r="I241" s="7"/>
    </row>
    <row r="242">
      <c r="A242" s="107">
        <v>44256.0</v>
      </c>
      <c r="B242" s="1" t="s">
        <v>2803</v>
      </c>
      <c r="C242" s="1">
        <v>-195.75</v>
      </c>
      <c r="F242" s="7"/>
      <c r="G242" s="7"/>
      <c r="H242" s="7"/>
      <c r="I242" s="7"/>
    </row>
    <row r="243">
      <c r="A243" s="107">
        <v>44256.0</v>
      </c>
      <c r="B243" s="1" t="s">
        <v>2800</v>
      </c>
      <c r="C243" s="1">
        <v>-129745.916078932</v>
      </c>
      <c r="F243" s="7"/>
      <c r="G243" s="7"/>
      <c r="H243" s="7"/>
      <c r="I243" s="7"/>
    </row>
    <row r="244">
      <c r="A244" s="107">
        <v>44256.0</v>
      </c>
      <c r="B244" s="1" t="s">
        <v>2801</v>
      </c>
      <c r="C244" s="1">
        <v>-6563.66795</v>
      </c>
      <c r="F244" s="7"/>
      <c r="G244" s="7"/>
      <c r="H244" s="7"/>
      <c r="I244" s="7"/>
    </row>
    <row r="245">
      <c r="A245" s="107">
        <v>44228.0</v>
      </c>
      <c r="B245" s="1" t="s">
        <v>2793</v>
      </c>
      <c r="C245" s="1">
        <v>500.5561914208</v>
      </c>
      <c r="F245" s="7"/>
      <c r="G245" s="7"/>
      <c r="H245" s="7"/>
      <c r="I245" s="7"/>
    </row>
    <row r="246">
      <c r="A246" s="107">
        <v>44228.0</v>
      </c>
      <c r="B246" s="1" t="s">
        <v>2796</v>
      </c>
      <c r="C246" s="1">
        <v>1186801.88280135</v>
      </c>
      <c r="F246" s="7"/>
      <c r="G246" s="7"/>
      <c r="H246" s="7"/>
      <c r="I246" s="7"/>
    </row>
    <row r="247">
      <c r="A247" s="107">
        <v>44228.0</v>
      </c>
      <c r="B247" s="1" t="s">
        <v>2803</v>
      </c>
      <c r="C247" s="1">
        <v>-104.2</v>
      </c>
      <c r="F247" s="7"/>
      <c r="G247" s="7"/>
      <c r="H247" s="7"/>
      <c r="I247" s="7"/>
    </row>
    <row r="248">
      <c r="A248" s="107">
        <v>44228.0</v>
      </c>
      <c r="B248" s="1" t="s">
        <v>2798</v>
      </c>
      <c r="C248" s="1">
        <v>-3147.393</v>
      </c>
      <c r="F248" s="7"/>
      <c r="G248" s="7"/>
      <c r="H248" s="7"/>
      <c r="I248" s="7"/>
    </row>
    <row r="249">
      <c r="A249" s="107">
        <v>44228.0</v>
      </c>
      <c r="B249" s="1" t="s">
        <v>2800</v>
      </c>
      <c r="C249" s="1">
        <v>-121787.054109181</v>
      </c>
      <c r="F249" s="7"/>
      <c r="G249" s="7"/>
      <c r="H249" s="7"/>
      <c r="I249" s="7"/>
    </row>
    <row r="250">
      <c r="A250" s="107">
        <v>44228.0</v>
      </c>
      <c r="B250" s="1" t="s">
        <v>2801</v>
      </c>
      <c r="C250" s="1">
        <v>-1926.08</v>
      </c>
      <c r="F250" s="7"/>
      <c r="G250" s="7"/>
      <c r="H250" s="7"/>
      <c r="I250" s="7"/>
    </row>
    <row r="251">
      <c r="A251" s="107">
        <v>44197.0</v>
      </c>
      <c r="B251" s="1" t="s">
        <v>2796</v>
      </c>
      <c r="C251" s="1">
        <v>1253814.54186506</v>
      </c>
      <c r="F251" s="7"/>
      <c r="G251" s="7"/>
      <c r="H251" s="7"/>
      <c r="I251" s="7"/>
    </row>
    <row r="252">
      <c r="A252" s="107">
        <v>44197.0</v>
      </c>
      <c r="B252" s="1" t="s">
        <v>2793</v>
      </c>
      <c r="C252" s="1">
        <v>4871.39573628409</v>
      </c>
      <c r="F252" s="7"/>
      <c r="G252" s="7"/>
      <c r="H252" s="7"/>
      <c r="I252" s="7"/>
    </row>
    <row r="253">
      <c r="A253" s="107">
        <v>44197.0</v>
      </c>
      <c r="B253" s="1" t="s">
        <v>2797</v>
      </c>
      <c r="C253" s="1">
        <v>15530.0199619655</v>
      </c>
      <c r="F253" s="7"/>
      <c r="G253" s="7"/>
      <c r="H253" s="7"/>
      <c r="I253" s="7"/>
    </row>
    <row r="254">
      <c r="A254" s="107">
        <v>44197.0</v>
      </c>
      <c r="B254" s="1" t="s">
        <v>2803</v>
      </c>
      <c r="C254" s="1">
        <v>-204.5</v>
      </c>
      <c r="F254" s="7"/>
      <c r="G254" s="7"/>
      <c r="H254" s="7"/>
      <c r="I254" s="7"/>
    </row>
    <row r="255">
      <c r="A255" s="107">
        <v>44197.0</v>
      </c>
      <c r="B255" s="1" t="s">
        <v>2800</v>
      </c>
      <c r="C255" s="1">
        <v>-112745.789266802</v>
      </c>
      <c r="F255" s="7"/>
      <c r="G255" s="7"/>
      <c r="H255" s="7"/>
      <c r="I255" s="7"/>
    </row>
    <row r="256">
      <c r="A256" s="107">
        <v>44197.0</v>
      </c>
      <c r="B256" s="1" t="s">
        <v>2801</v>
      </c>
      <c r="C256" s="1">
        <v>-6226.64</v>
      </c>
      <c r="F256" s="7"/>
      <c r="G256" s="7"/>
      <c r="H256" s="7"/>
      <c r="I256" s="7"/>
    </row>
    <row r="257">
      <c r="A257" s="110">
        <v>44166.0</v>
      </c>
      <c r="B257" s="1" t="s">
        <v>2796</v>
      </c>
      <c r="C257" s="1">
        <v>917429.55591899</v>
      </c>
      <c r="F257" s="7"/>
      <c r="G257" s="7"/>
      <c r="H257" s="7"/>
      <c r="I257" s="7"/>
    </row>
    <row r="258">
      <c r="A258" s="110">
        <v>44166.0</v>
      </c>
      <c r="B258" s="1" t="s">
        <v>2793</v>
      </c>
      <c r="C258" s="1">
        <v>1893.9872176929</v>
      </c>
      <c r="F258" s="7"/>
      <c r="G258" s="7"/>
      <c r="H258" s="7"/>
      <c r="I258" s="7"/>
    </row>
    <row r="259">
      <c r="A259" s="110">
        <v>44166.0</v>
      </c>
      <c r="B259" s="1" t="s">
        <v>2803</v>
      </c>
      <c r="C259" s="1">
        <v>-649.5</v>
      </c>
      <c r="F259" s="7"/>
      <c r="G259" s="7"/>
      <c r="H259" s="7"/>
      <c r="I259" s="7"/>
    </row>
    <row r="260">
      <c r="A260" s="110">
        <v>44166.0</v>
      </c>
      <c r="B260" s="1" t="s">
        <v>2800</v>
      </c>
      <c r="C260" s="1">
        <v>-202334.320947481</v>
      </c>
      <c r="F260" s="7"/>
      <c r="G260" s="7"/>
      <c r="H260" s="7"/>
      <c r="I260" s="7"/>
    </row>
    <row r="261">
      <c r="A261" s="110">
        <v>44166.0</v>
      </c>
      <c r="B261" s="1" t="s">
        <v>2801</v>
      </c>
      <c r="C261" s="1">
        <v>-28817.0</v>
      </c>
      <c r="F261" s="7"/>
      <c r="G261" s="7"/>
      <c r="H261" s="7"/>
      <c r="I261" s="7"/>
    </row>
    <row r="262">
      <c r="A262" s="110">
        <v>44136.0</v>
      </c>
      <c r="B262" s="1" t="s">
        <v>2793</v>
      </c>
      <c r="C262" s="1">
        <v>1518.2088490922</v>
      </c>
      <c r="F262" s="7"/>
      <c r="G262" s="7"/>
      <c r="H262" s="7"/>
      <c r="I262" s="7"/>
    </row>
    <row r="263">
      <c r="A263" s="110">
        <v>44136.0</v>
      </c>
      <c r="B263" s="1" t="s">
        <v>2796</v>
      </c>
      <c r="C263" s="1">
        <v>736504.987768061</v>
      </c>
      <c r="F263" s="7"/>
      <c r="G263" s="7"/>
      <c r="H263" s="7"/>
      <c r="I263" s="7"/>
    </row>
    <row r="264">
      <c r="A264" s="110">
        <v>44136.0</v>
      </c>
      <c r="B264" s="1" t="s">
        <v>2797</v>
      </c>
      <c r="C264" s="1">
        <v>100.0</v>
      </c>
      <c r="F264" s="7"/>
      <c r="G264" s="7"/>
      <c r="H264" s="7"/>
      <c r="I264" s="7"/>
    </row>
    <row r="265">
      <c r="A265" s="110">
        <v>44136.0</v>
      </c>
      <c r="B265" s="1" t="s">
        <v>2803</v>
      </c>
      <c r="C265" s="1">
        <v>-242.5</v>
      </c>
      <c r="F265" s="7"/>
      <c r="G265" s="7"/>
      <c r="H265" s="7"/>
      <c r="I265" s="7"/>
    </row>
    <row r="266">
      <c r="A266" s="110">
        <v>44136.0</v>
      </c>
      <c r="B266" s="1" t="s">
        <v>2800</v>
      </c>
      <c r="C266" s="1">
        <v>-93220.743512109</v>
      </c>
      <c r="F266" s="7"/>
      <c r="G266" s="7"/>
      <c r="H266" s="7"/>
      <c r="I266" s="7"/>
    </row>
    <row r="267">
      <c r="A267" s="110">
        <v>44136.0</v>
      </c>
      <c r="B267" s="1" t="s">
        <v>2801</v>
      </c>
      <c r="C267" s="1">
        <v>-13844.14206</v>
      </c>
      <c r="F267" s="7"/>
      <c r="G267" s="7"/>
      <c r="H267" s="7"/>
      <c r="I267" s="7"/>
    </row>
    <row r="268">
      <c r="A268" s="110">
        <v>44105.0</v>
      </c>
      <c r="B268" s="1" t="s">
        <v>2793</v>
      </c>
      <c r="C268" s="1">
        <v>1570.8818060666</v>
      </c>
      <c r="F268" s="7"/>
      <c r="G268" s="7"/>
      <c r="H268" s="7"/>
      <c r="I268" s="7"/>
    </row>
    <row r="269">
      <c r="A269" s="110">
        <v>44105.0</v>
      </c>
      <c r="B269" s="1" t="s">
        <v>2796</v>
      </c>
      <c r="C269" s="1">
        <v>909771.761373286</v>
      </c>
      <c r="F269" s="7"/>
      <c r="G269" s="7"/>
      <c r="H269" s="7"/>
      <c r="I269" s="7"/>
    </row>
    <row r="270">
      <c r="A270" s="110">
        <v>44105.0</v>
      </c>
      <c r="B270" s="1" t="s">
        <v>2797</v>
      </c>
      <c r="C270" s="1">
        <v>225.041000000001</v>
      </c>
      <c r="F270" s="7"/>
      <c r="G270" s="7"/>
      <c r="H270" s="7"/>
      <c r="I270" s="7"/>
    </row>
    <row r="271">
      <c r="A271" s="110">
        <v>44105.0</v>
      </c>
      <c r="B271" s="1" t="s">
        <v>2803</v>
      </c>
      <c r="C271" s="1">
        <v>-769.153</v>
      </c>
      <c r="F271" s="7"/>
      <c r="G271" s="7"/>
      <c r="H271" s="7"/>
      <c r="I271" s="7"/>
    </row>
    <row r="272">
      <c r="A272" s="110">
        <v>44105.0</v>
      </c>
      <c r="B272" s="1" t="s">
        <v>2800</v>
      </c>
      <c r="C272" s="1">
        <v>-88184.010963918</v>
      </c>
      <c r="F272" s="7"/>
      <c r="G272" s="7"/>
      <c r="H272" s="7"/>
      <c r="I272" s="7"/>
    </row>
    <row r="273">
      <c r="A273" s="110">
        <v>44105.0</v>
      </c>
      <c r="B273" s="1" t="s">
        <v>2801</v>
      </c>
      <c r="C273" s="1">
        <v>-33700.0</v>
      </c>
      <c r="F273" s="7"/>
      <c r="G273" s="7"/>
      <c r="H273" s="7"/>
      <c r="I273" s="7"/>
    </row>
    <row r="274">
      <c r="A274" s="107">
        <v>44075.0</v>
      </c>
      <c r="B274" s="1" t="s">
        <v>2793</v>
      </c>
      <c r="C274" s="1">
        <v>2137.0766337999</v>
      </c>
      <c r="F274" s="7"/>
      <c r="G274" s="7"/>
      <c r="H274" s="7"/>
      <c r="I274" s="7"/>
    </row>
    <row r="275">
      <c r="A275" s="107">
        <v>44075.0</v>
      </c>
      <c r="B275" s="1" t="s">
        <v>2796</v>
      </c>
      <c r="C275" s="1">
        <v>1205487.93960216</v>
      </c>
      <c r="F275" s="7"/>
      <c r="G275" s="7"/>
      <c r="H275" s="7"/>
      <c r="I275" s="7"/>
    </row>
    <row r="276">
      <c r="A276" s="107">
        <v>44075.0</v>
      </c>
      <c r="B276" s="1" t="s">
        <v>2797</v>
      </c>
      <c r="C276" s="1">
        <v>512914.726599597</v>
      </c>
      <c r="F276" s="7"/>
      <c r="G276" s="7"/>
      <c r="H276" s="7"/>
      <c r="I276" s="7"/>
    </row>
    <row r="277">
      <c r="A277" s="107">
        <v>44075.0</v>
      </c>
      <c r="B277" s="1" t="s">
        <v>2803</v>
      </c>
      <c r="C277" s="1">
        <v>-1109.5</v>
      </c>
      <c r="F277" s="7"/>
      <c r="G277" s="7"/>
      <c r="H277" s="7"/>
      <c r="I277" s="7"/>
    </row>
    <row r="278">
      <c r="A278" s="107">
        <v>44075.0</v>
      </c>
      <c r="B278" s="1" t="s">
        <v>2800</v>
      </c>
      <c r="C278" s="1">
        <v>-81416.53533004</v>
      </c>
      <c r="F278" s="7"/>
      <c r="G278" s="7"/>
      <c r="H278" s="7"/>
      <c r="I278" s="7"/>
    </row>
    <row r="279">
      <c r="A279" s="107">
        <v>44075.0</v>
      </c>
      <c r="B279" s="1" t="s">
        <v>2801</v>
      </c>
      <c r="C279" s="1">
        <v>-28672.84</v>
      </c>
      <c r="F279" s="7"/>
      <c r="G279" s="7"/>
      <c r="H279" s="7"/>
      <c r="I279" s="7"/>
    </row>
    <row r="280">
      <c r="A280" s="107">
        <v>44044.0</v>
      </c>
      <c r="B280" s="1" t="s">
        <v>2793</v>
      </c>
      <c r="C280" s="1">
        <v>3019.6245593424</v>
      </c>
      <c r="F280" s="7"/>
      <c r="G280" s="7"/>
      <c r="H280" s="7"/>
      <c r="I280" s="7"/>
    </row>
    <row r="281">
      <c r="A281" s="107">
        <v>44044.0</v>
      </c>
      <c r="B281" s="1" t="s">
        <v>2796</v>
      </c>
      <c r="C281" s="1">
        <v>1563956.78056728</v>
      </c>
      <c r="F281" s="7"/>
      <c r="G281" s="7"/>
      <c r="H281" s="7"/>
      <c r="I281" s="7"/>
    </row>
    <row r="282">
      <c r="A282" s="107">
        <v>44044.0</v>
      </c>
      <c r="B282" s="1" t="s">
        <v>2797</v>
      </c>
      <c r="C282" s="1">
        <v>265.339999999996</v>
      </c>
      <c r="F282" s="7"/>
      <c r="G282" s="7"/>
      <c r="H282" s="7"/>
      <c r="I282" s="7"/>
    </row>
    <row r="283">
      <c r="A283" s="107">
        <v>44044.0</v>
      </c>
      <c r="B283" s="1" t="s">
        <v>2803</v>
      </c>
      <c r="C283" s="1">
        <v>-415.6833</v>
      </c>
      <c r="F283" s="7"/>
      <c r="G283" s="7"/>
      <c r="H283" s="7"/>
      <c r="I283" s="7"/>
    </row>
    <row r="284">
      <c r="A284" s="107">
        <v>44044.0</v>
      </c>
      <c r="B284" s="1" t="s">
        <v>2800</v>
      </c>
      <c r="C284" s="1">
        <v>-122703.075077983</v>
      </c>
      <c r="F284" s="7"/>
      <c r="G284" s="7"/>
      <c r="H284" s="7"/>
      <c r="I284" s="7"/>
    </row>
    <row r="285">
      <c r="A285" s="107">
        <v>44044.0</v>
      </c>
      <c r="B285" s="1" t="s">
        <v>2801</v>
      </c>
      <c r="C285" s="1">
        <v>-13431.6505</v>
      </c>
      <c r="F285" s="7"/>
      <c r="G285" s="7"/>
      <c r="H285" s="7"/>
      <c r="I285" s="7"/>
    </row>
    <row r="286">
      <c r="A286" s="107">
        <v>44013.0</v>
      </c>
      <c r="B286" s="1" t="s">
        <v>2793</v>
      </c>
      <c r="C286" s="1">
        <v>1187.7100010742</v>
      </c>
      <c r="F286" s="7"/>
      <c r="G286" s="7"/>
      <c r="H286" s="7"/>
      <c r="I286" s="7"/>
    </row>
    <row r="287">
      <c r="A287" s="107">
        <v>44013.0</v>
      </c>
      <c r="B287" s="1" t="s">
        <v>2797</v>
      </c>
      <c r="C287" s="1">
        <v>3435.43</v>
      </c>
      <c r="F287" s="7"/>
      <c r="G287" s="7"/>
      <c r="H287" s="7"/>
      <c r="I287" s="7"/>
    </row>
    <row r="288">
      <c r="A288" s="107">
        <v>44013.0</v>
      </c>
      <c r="B288" s="1" t="s">
        <v>2796</v>
      </c>
      <c r="C288" s="1">
        <v>1459413.44646848</v>
      </c>
      <c r="F288" s="7"/>
      <c r="G288" s="7"/>
      <c r="H288" s="7"/>
      <c r="I288" s="7"/>
    </row>
    <row r="289">
      <c r="A289" s="107">
        <v>44013.0</v>
      </c>
      <c r="B289" s="1" t="s">
        <v>2803</v>
      </c>
      <c r="C289" s="1">
        <v>-218.3</v>
      </c>
      <c r="F289" s="7"/>
      <c r="G289" s="7"/>
      <c r="H289" s="7"/>
      <c r="I289" s="7"/>
    </row>
    <row r="290">
      <c r="A290" s="107">
        <v>44013.0</v>
      </c>
      <c r="B290" s="1" t="s">
        <v>2800</v>
      </c>
      <c r="C290" s="1">
        <v>-44664.195223074</v>
      </c>
      <c r="F290" s="7"/>
      <c r="G290" s="7"/>
      <c r="H290" s="7"/>
      <c r="I290" s="7"/>
    </row>
    <row r="291">
      <c r="A291" s="107">
        <v>43983.0</v>
      </c>
      <c r="B291" s="1" t="s">
        <v>2793</v>
      </c>
      <c r="C291" s="1">
        <v>323.036460986399</v>
      </c>
      <c r="F291" s="7"/>
      <c r="G291" s="7"/>
      <c r="H291" s="7"/>
      <c r="I291" s="7"/>
    </row>
    <row r="292">
      <c r="A292" s="107">
        <v>43983.0</v>
      </c>
      <c r="B292" s="1" t="s">
        <v>2796</v>
      </c>
      <c r="C292" s="1">
        <v>3887502.77005652</v>
      </c>
      <c r="F292" s="7"/>
      <c r="G292" s="7"/>
      <c r="H292" s="7"/>
      <c r="I292" s="7"/>
    </row>
    <row r="293">
      <c r="A293" s="107">
        <v>43983.0</v>
      </c>
      <c r="B293" s="1" t="s">
        <v>2800</v>
      </c>
      <c r="C293" s="1">
        <v>-34954.080909412</v>
      </c>
      <c r="F293" s="7"/>
      <c r="G293" s="7"/>
      <c r="H293" s="7"/>
      <c r="I293" s="7"/>
    </row>
    <row r="294">
      <c r="A294" s="107">
        <v>43952.0</v>
      </c>
      <c r="B294" s="1" t="s">
        <v>2793</v>
      </c>
      <c r="C294" s="1">
        <v>152.7764317013</v>
      </c>
      <c r="F294" s="7"/>
      <c r="G294" s="7"/>
      <c r="H294" s="7"/>
      <c r="I294" s="7"/>
    </row>
    <row r="295">
      <c r="F295" s="7"/>
      <c r="G295" s="7"/>
      <c r="H295" s="7"/>
      <c r="I295" s="7"/>
    </row>
    <row r="296">
      <c r="F296" s="7"/>
      <c r="G296" s="7"/>
      <c r="H296" s="7"/>
      <c r="I296" s="7"/>
    </row>
    <row r="297">
      <c r="F297" s="7"/>
      <c r="G297" s="7"/>
      <c r="H297" s="7"/>
      <c r="I297" s="7"/>
    </row>
    <row r="298">
      <c r="F298" s="7"/>
      <c r="G298" s="7"/>
      <c r="H298" s="7"/>
      <c r="I298" s="7"/>
    </row>
    <row r="299">
      <c r="F299" s="7"/>
      <c r="G299" s="7"/>
      <c r="H299" s="7"/>
      <c r="I299" s="7"/>
    </row>
    <row r="300">
      <c r="F300" s="7"/>
      <c r="G300" s="7"/>
      <c r="H300" s="7"/>
      <c r="I300" s="7"/>
    </row>
    <row r="301">
      <c r="F301" s="7"/>
      <c r="G301" s="7"/>
      <c r="H301" s="7"/>
      <c r="I301" s="7"/>
    </row>
    <row r="302">
      <c r="F302" s="7"/>
      <c r="G302" s="7"/>
      <c r="H302" s="7"/>
      <c r="I302" s="7"/>
    </row>
    <row r="303">
      <c r="F303" s="7"/>
      <c r="G303" s="7"/>
      <c r="H303" s="7"/>
      <c r="I303" s="7"/>
    </row>
    <row r="304">
      <c r="F304" s="7"/>
      <c r="G304" s="7"/>
      <c r="H304" s="7"/>
      <c r="I304" s="7"/>
    </row>
    <row r="305">
      <c r="F305" s="7"/>
      <c r="G305" s="7"/>
      <c r="H305" s="7"/>
      <c r="I305" s="7"/>
    </row>
    <row r="306">
      <c r="F306" s="7"/>
      <c r="G306" s="7"/>
      <c r="H306" s="7"/>
      <c r="I306" s="7"/>
    </row>
    <row r="307">
      <c r="F307" s="7"/>
      <c r="G307" s="7"/>
      <c r="H307" s="7"/>
      <c r="I307" s="7"/>
    </row>
    <row r="308">
      <c r="F308" s="7"/>
      <c r="G308" s="7"/>
      <c r="H308" s="7"/>
      <c r="I308" s="7"/>
    </row>
    <row r="309">
      <c r="F309" s="7"/>
      <c r="G309" s="7"/>
      <c r="H309" s="7"/>
      <c r="I309" s="7"/>
    </row>
    <row r="310">
      <c r="F310" s="7"/>
      <c r="G310" s="7"/>
      <c r="H310" s="7"/>
      <c r="I310" s="7"/>
    </row>
    <row r="311">
      <c r="F311" s="7"/>
      <c r="G311" s="7"/>
      <c r="H311" s="7"/>
      <c r="I311" s="7"/>
    </row>
    <row r="312">
      <c r="F312" s="7"/>
      <c r="G312" s="7"/>
      <c r="H312" s="7"/>
      <c r="I312" s="7"/>
    </row>
    <row r="313">
      <c r="F313" s="7"/>
      <c r="G313" s="7"/>
      <c r="H313" s="7"/>
      <c r="I313" s="7"/>
    </row>
    <row r="314">
      <c r="F314" s="7"/>
      <c r="G314" s="7"/>
      <c r="H314" s="7"/>
      <c r="I314" s="7"/>
    </row>
    <row r="315">
      <c r="F315" s="7"/>
      <c r="G315" s="7"/>
      <c r="H315" s="7"/>
      <c r="I315" s="7"/>
    </row>
    <row r="316">
      <c r="F316" s="7"/>
      <c r="G316" s="7"/>
      <c r="H316" s="7"/>
      <c r="I316" s="7"/>
    </row>
    <row r="317">
      <c r="F317" s="7"/>
      <c r="G317" s="7"/>
      <c r="H317" s="7"/>
      <c r="I317" s="7"/>
    </row>
    <row r="318">
      <c r="F318" s="7"/>
      <c r="G318" s="7"/>
      <c r="H318" s="7"/>
      <c r="I318" s="7"/>
    </row>
    <row r="319">
      <c r="F319" s="7"/>
      <c r="G319" s="7"/>
      <c r="H319" s="7"/>
      <c r="I319" s="7"/>
    </row>
    <row r="320">
      <c r="F320" s="7"/>
      <c r="G320" s="7"/>
      <c r="H320" s="7"/>
      <c r="I320" s="7"/>
    </row>
    <row r="321">
      <c r="F321" s="7"/>
      <c r="G321" s="7"/>
      <c r="H321" s="7"/>
      <c r="I321" s="7"/>
    </row>
    <row r="322">
      <c r="F322" s="7"/>
      <c r="G322" s="7"/>
      <c r="H322" s="7"/>
      <c r="I322" s="7"/>
    </row>
    <row r="323">
      <c r="F323" s="7"/>
      <c r="G323" s="7"/>
      <c r="H323" s="7"/>
      <c r="I323" s="7"/>
    </row>
    <row r="324">
      <c r="F324" s="7"/>
      <c r="G324" s="7"/>
      <c r="H324" s="7"/>
      <c r="I324" s="7"/>
    </row>
    <row r="325">
      <c r="F325" s="7"/>
      <c r="G325" s="7"/>
      <c r="H325" s="7"/>
      <c r="I325" s="7"/>
    </row>
    <row r="326">
      <c r="F326" s="7"/>
      <c r="G326" s="7"/>
      <c r="H326" s="7"/>
      <c r="I326" s="7"/>
    </row>
    <row r="327">
      <c r="F327" s="7"/>
      <c r="G327" s="7"/>
      <c r="H327" s="7"/>
      <c r="I327" s="7"/>
    </row>
    <row r="328">
      <c r="F328" s="7"/>
      <c r="G328" s="7"/>
      <c r="H328" s="7"/>
      <c r="I328" s="7"/>
    </row>
    <row r="329">
      <c r="F329" s="7"/>
      <c r="G329" s="7"/>
      <c r="H329" s="7"/>
      <c r="I329" s="7"/>
    </row>
    <row r="330">
      <c r="F330" s="7"/>
      <c r="G330" s="7"/>
      <c r="H330" s="7"/>
      <c r="I330" s="7"/>
    </row>
    <row r="331">
      <c r="F331" s="7"/>
      <c r="G331" s="7"/>
      <c r="H331" s="7"/>
      <c r="I331" s="7"/>
    </row>
    <row r="332">
      <c r="F332" s="7"/>
      <c r="G332" s="7"/>
      <c r="H332" s="7"/>
      <c r="I332" s="7"/>
    </row>
    <row r="333">
      <c r="F333" s="7"/>
      <c r="G333" s="7"/>
      <c r="H333" s="7"/>
      <c r="I333" s="7"/>
    </row>
    <row r="334">
      <c r="F334" s="7"/>
      <c r="G334" s="7"/>
      <c r="H334" s="7"/>
      <c r="I334" s="7"/>
    </row>
    <row r="335">
      <c r="F335" s="7"/>
      <c r="G335" s="7"/>
      <c r="H335" s="7"/>
      <c r="I335" s="7"/>
    </row>
    <row r="336">
      <c r="F336" s="7"/>
      <c r="G336" s="7"/>
      <c r="H336" s="7"/>
      <c r="I336" s="7"/>
    </row>
    <row r="337">
      <c r="F337" s="7"/>
      <c r="G337" s="7"/>
      <c r="H337" s="7"/>
      <c r="I337" s="7"/>
    </row>
    <row r="338">
      <c r="F338" s="7"/>
      <c r="G338" s="7"/>
      <c r="H338" s="7"/>
      <c r="I338" s="7"/>
    </row>
    <row r="339">
      <c r="F339" s="7"/>
      <c r="G339" s="7"/>
      <c r="H339" s="7"/>
      <c r="I339" s="7"/>
    </row>
    <row r="340">
      <c r="F340" s="7"/>
      <c r="G340" s="7"/>
      <c r="H340" s="7"/>
      <c r="I340" s="7"/>
    </row>
    <row r="341">
      <c r="F341" s="7"/>
      <c r="G341" s="7"/>
      <c r="H341" s="7"/>
      <c r="I341" s="7"/>
    </row>
    <row r="342">
      <c r="F342" s="7"/>
      <c r="G342" s="7"/>
      <c r="H342" s="7"/>
      <c r="I342" s="7"/>
    </row>
    <row r="343">
      <c r="F343" s="7"/>
      <c r="G343" s="7"/>
      <c r="H343" s="7"/>
      <c r="I343" s="7"/>
    </row>
    <row r="344">
      <c r="F344" s="7"/>
      <c r="G344" s="7"/>
      <c r="H344" s="7"/>
      <c r="I344" s="7"/>
    </row>
    <row r="345">
      <c r="F345" s="7"/>
      <c r="G345" s="7"/>
      <c r="H345" s="7"/>
      <c r="I345" s="7"/>
    </row>
    <row r="346">
      <c r="F346" s="7"/>
      <c r="G346" s="7"/>
      <c r="H346" s="7"/>
      <c r="I346" s="7"/>
    </row>
    <row r="347">
      <c r="F347" s="7"/>
      <c r="G347" s="7"/>
      <c r="H347" s="7"/>
      <c r="I347" s="7"/>
    </row>
    <row r="348">
      <c r="F348" s="7"/>
      <c r="G348" s="7"/>
      <c r="H348" s="7"/>
      <c r="I348" s="7"/>
    </row>
    <row r="349">
      <c r="F349" s="7"/>
      <c r="G349" s="7"/>
      <c r="H349" s="7"/>
      <c r="I349" s="7"/>
    </row>
    <row r="350">
      <c r="F350" s="7"/>
      <c r="G350" s="7"/>
      <c r="H350" s="7"/>
      <c r="I350" s="7"/>
    </row>
    <row r="351">
      <c r="F351" s="7"/>
      <c r="G351" s="7"/>
      <c r="H351" s="7"/>
      <c r="I351" s="7"/>
    </row>
    <row r="352">
      <c r="F352" s="7"/>
      <c r="G352" s="7"/>
      <c r="H352" s="7"/>
      <c r="I352" s="7"/>
    </row>
    <row r="353">
      <c r="F353" s="7"/>
      <c r="G353" s="7"/>
      <c r="H353" s="7"/>
      <c r="I353" s="7"/>
    </row>
    <row r="354">
      <c r="F354" s="7"/>
      <c r="G354" s="7"/>
      <c r="H354" s="7"/>
      <c r="I354" s="7"/>
    </row>
    <row r="355">
      <c r="F355" s="7"/>
      <c r="G355" s="7"/>
      <c r="H355" s="7"/>
      <c r="I355" s="7"/>
    </row>
    <row r="356">
      <c r="F356" s="7"/>
      <c r="G356" s="7"/>
      <c r="H356" s="7"/>
      <c r="I356" s="7"/>
    </row>
    <row r="357">
      <c r="F357" s="7"/>
      <c r="G357" s="7"/>
      <c r="H357" s="7"/>
      <c r="I357" s="7"/>
    </row>
    <row r="358">
      <c r="F358" s="7"/>
      <c r="G358" s="7"/>
      <c r="H358" s="7"/>
      <c r="I358" s="7"/>
    </row>
    <row r="359">
      <c r="F359" s="7"/>
      <c r="G359" s="7"/>
      <c r="H359" s="7"/>
      <c r="I359" s="7"/>
    </row>
    <row r="360">
      <c r="F360" s="7"/>
      <c r="G360" s="7"/>
      <c r="H360" s="7"/>
      <c r="I360" s="7"/>
    </row>
    <row r="361">
      <c r="F361" s="7"/>
      <c r="G361" s="7"/>
      <c r="H361" s="7"/>
      <c r="I361" s="7"/>
    </row>
    <row r="362">
      <c r="F362" s="7"/>
      <c r="G362" s="7"/>
      <c r="H362" s="7"/>
      <c r="I362" s="7"/>
    </row>
    <row r="363">
      <c r="F363" s="7"/>
      <c r="G363" s="7"/>
      <c r="H363" s="7"/>
      <c r="I363" s="7"/>
    </row>
    <row r="364">
      <c r="F364" s="7"/>
      <c r="G364" s="7"/>
      <c r="H364" s="7"/>
      <c r="I364" s="7"/>
    </row>
    <row r="365">
      <c r="F365" s="7"/>
      <c r="G365" s="7"/>
      <c r="H365" s="7"/>
      <c r="I365" s="7"/>
    </row>
    <row r="366">
      <c r="F366" s="7"/>
      <c r="G366" s="7"/>
      <c r="H366" s="7"/>
      <c r="I366" s="7"/>
    </row>
    <row r="367">
      <c r="F367" s="7"/>
      <c r="G367" s="7"/>
      <c r="H367" s="7"/>
      <c r="I367" s="7"/>
    </row>
    <row r="368">
      <c r="F368" s="7"/>
      <c r="G368" s="7"/>
      <c r="H368" s="7"/>
      <c r="I368" s="7"/>
    </row>
    <row r="369">
      <c r="F369" s="7"/>
      <c r="G369" s="7"/>
      <c r="H369" s="7"/>
      <c r="I369" s="7"/>
    </row>
    <row r="370">
      <c r="F370" s="7"/>
      <c r="G370" s="7"/>
      <c r="H370" s="7"/>
      <c r="I370" s="7"/>
    </row>
    <row r="371">
      <c r="F371" s="7"/>
      <c r="G371" s="7"/>
      <c r="H371" s="7"/>
      <c r="I371" s="7"/>
    </row>
    <row r="372">
      <c r="F372" s="7"/>
      <c r="G372" s="7"/>
      <c r="H372" s="7"/>
      <c r="I372" s="7"/>
    </row>
    <row r="373">
      <c r="F373" s="7"/>
      <c r="G373" s="7"/>
      <c r="H373" s="7"/>
      <c r="I373" s="7"/>
    </row>
    <row r="374">
      <c r="F374" s="7"/>
      <c r="G374" s="7"/>
      <c r="H374" s="7"/>
      <c r="I374" s="7"/>
    </row>
    <row r="375">
      <c r="F375" s="7"/>
      <c r="G375" s="7"/>
      <c r="H375" s="7"/>
      <c r="I375" s="7"/>
    </row>
    <row r="376">
      <c r="F376" s="7"/>
      <c r="G376" s="7"/>
      <c r="H376" s="7"/>
      <c r="I376" s="7"/>
    </row>
    <row r="377">
      <c r="F377" s="7"/>
      <c r="G377" s="7"/>
      <c r="H377" s="7"/>
      <c r="I377" s="7"/>
    </row>
    <row r="378">
      <c r="F378" s="7"/>
      <c r="G378" s="7"/>
      <c r="H378" s="7"/>
      <c r="I378" s="7"/>
    </row>
    <row r="379">
      <c r="F379" s="7"/>
      <c r="G379" s="7"/>
      <c r="H379" s="7"/>
      <c r="I379" s="7"/>
    </row>
    <row r="380">
      <c r="F380" s="7"/>
      <c r="G380" s="7"/>
      <c r="H380" s="7"/>
      <c r="I380" s="7"/>
    </row>
    <row r="381">
      <c r="F381" s="7"/>
      <c r="G381" s="7"/>
      <c r="H381" s="7"/>
      <c r="I381" s="7"/>
    </row>
    <row r="382">
      <c r="F382" s="7"/>
      <c r="G382" s="7"/>
      <c r="H382" s="7"/>
      <c r="I382" s="7"/>
    </row>
    <row r="383">
      <c r="F383" s="7"/>
      <c r="G383" s="7"/>
      <c r="H383" s="7"/>
      <c r="I383" s="7"/>
    </row>
    <row r="384">
      <c r="F384" s="7"/>
      <c r="G384" s="7"/>
      <c r="H384" s="7"/>
      <c r="I384" s="7"/>
    </row>
    <row r="385">
      <c r="F385" s="7"/>
      <c r="G385" s="7"/>
      <c r="H385" s="7"/>
      <c r="I385" s="7"/>
    </row>
    <row r="386">
      <c r="F386" s="7"/>
      <c r="G386" s="7"/>
      <c r="H386" s="7"/>
      <c r="I386" s="7"/>
    </row>
    <row r="387">
      <c r="F387" s="7"/>
      <c r="G387" s="7"/>
      <c r="H387" s="7"/>
      <c r="I387" s="7"/>
    </row>
    <row r="388">
      <c r="F388" s="7"/>
      <c r="G388" s="7"/>
      <c r="H388" s="7"/>
      <c r="I388" s="7"/>
    </row>
    <row r="389">
      <c r="F389" s="7"/>
      <c r="G389" s="7"/>
      <c r="H389" s="7"/>
      <c r="I389" s="7"/>
    </row>
    <row r="390">
      <c r="F390" s="7"/>
      <c r="G390" s="7"/>
      <c r="H390" s="7"/>
      <c r="I390" s="7"/>
    </row>
    <row r="391">
      <c r="F391" s="7"/>
      <c r="G391" s="7"/>
      <c r="H391" s="7"/>
      <c r="I391" s="7"/>
    </row>
    <row r="392">
      <c r="F392" s="7"/>
      <c r="G392" s="7"/>
      <c r="H392" s="7"/>
      <c r="I392" s="7"/>
    </row>
    <row r="393">
      <c r="F393" s="7"/>
      <c r="G393" s="7"/>
      <c r="H393" s="7"/>
      <c r="I393" s="7"/>
    </row>
    <row r="394">
      <c r="F394" s="7"/>
      <c r="G394" s="7"/>
      <c r="H394" s="7"/>
      <c r="I394" s="7"/>
    </row>
    <row r="395">
      <c r="F395" s="7"/>
      <c r="G395" s="7"/>
      <c r="H395" s="7"/>
      <c r="I395" s="7"/>
    </row>
    <row r="396">
      <c r="F396" s="7"/>
      <c r="G396" s="7"/>
      <c r="H396" s="7"/>
      <c r="I396" s="7"/>
    </row>
    <row r="397">
      <c r="F397" s="7"/>
      <c r="G397" s="7"/>
      <c r="H397" s="7"/>
      <c r="I397" s="7"/>
    </row>
    <row r="398">
      <c r="F398" s="7"/>
      <c r="G398" s="7"/>
      <c r="H398" s="7"/>
      <c r="I398" s="7"/>
    </row>
    <row r="399">
      <c r="F399" s="7"/>
      <c r="G399" s="7"/>
      <c r="H399" s="7"/>
      <c r="I399" s="7"/>
    </row>
    <row r="400">
      <c r="F400" s="7"/>
      <c r="G400" s="7"/>
      <c r="H400" s="7"/>
      <c r="I400" s="7"/>
    </row>
    <row r="401">
      <c r="F401" s="7"/>
      <c r="G401" s="7"/>
      <c r="H401" s="7"/>
      <c r="I401" s="7"/>
    </row>
    <row r="402">
      <c r="F402" s="7"/>
      <c r="G402" s="7"/>
      <c r="H402" s="7"/>
      <c r="I402" s="7"/>
    </row>
    <row r="403">
      <c r="F403" s="7"/>
      <c r="G403" s="7"/>
      <c r="H403" s="7"/>
      <c r="I403" s="7"/>
    </row>
    <row r="404">
      <c r="F404" s="7"/>
      <c r="G404" s="7"/>
      <c r="H404" s="7"/>
      <c r="I404" s="7"/>
    </row>
    <row r="405">
      <c r="F405" s="7"/>
      <c r="G405" s="7"/>
      <c r="H405" s="7"/>
      <c r="I405" s="7"/>
    </row>
    <row r="406">
      <c r="F406" s="7"/>
      <c r="G406" s="7"/>
      <c r="H406" s="7"/>
      <c r="I406" s="7"/>
    </row>
    <row r="407">
      <c r="F407" s="7"/>
      <c r="G407" s="7"/>
      <c r="H407" s="7"/>
      <c r="I407" s="7"/>
    </row>
    <row r="408">
      <c r="F408" s="7"/>
      <c r="G408" s="7"/>
      <c r="H408" s="7"/>
      <c r="I408" s="7"/>
    </row>
    <row r="409">
      <c r="F409" s="7"/>
      <c r="G409" s="7"/>
      <c r="H409" s="7"/>
      <c r="I409" s="7"/>
    </row>
    <row r="410">
      <c r="F410" s="7"/>
      <c r="G410" s="7"/>
      <c r="H410" s="7"/>
      <c r="I410" s="7"/>
    </row>
    <row r="411">
      <c r="F411" s="7"/>
      <c r="G411" s="7"/>
      <c r="H411" s="7"/>
      <c r="I411" s="7"/>
    </row>
    <row r="412">
      <c r="F412" s="7"/>
      <c r="G412" s="7"/>
      <c r="H412" s="7"/>
      <c r="I412" s="7"/>
    </row>
    <row r="413">
      <c r="F413" s="7"/>
      <c r="G413" s="7"/>
      <c r="H413" s="7"/>
      <c r="I413" s="7"/>
    </row>
    <row r="414">
      <c r="F414" s="7"/>
      <c r="G414" s="7"/>
      <c r="H414" s="7"/>
      <c r="I414" s="7"/>
    </row>
    <row r="415">
      <c r="F415" s="7"/>
      <c r="G415" s="7"/>
      <c r="H415" s="7"/>
      <c r="I415" s="7"/>
    </row>
    <row r="416">
      <c r="F416" s="7"/>
      <c r="G416" s="7"/>
      <c r="H416" s="7"/>
      <c r="I416" s="7"/>
    </row>
    <row r="417">
      <c r="F417" s="7"/>
      <c r="G417" s="7"/>
      <c r="H417" s="7"/>
      <c r="I417" s="7"/>
    </row>
    <row r="418">
      <c r="F418" s="7"/>
      <c r="G418" s="7"/>
      <c r="H418" s="7"/>
      <c r="I418" s="7"/>
    </row>
    <row r="419">
      <c r="F419" s="7"/>
      <c r="G419" s="7"/>
      <c r="H419" s="7"/>
      <c r="I419" s="7"/>
    </row>
    <row r="420">
      <c r="F420" s="7"/>
      <c r="G420" s="7"/>
      <c r="H420" s="7"/>
      <c r="I420" s="7"/>
    </row>
    <row r="421">
      <c r="F421" s="7"/>
      <c r="G421" s="7"/>
      <c r="H421" s="7"/>
      <c r="I421" s="7"/>
    </row>
    <row r="422">
      <c r="F422" s="7"/>
      <c r="G422" s="7"/>
      <c r="H422" s="7"/>
      <c r="I422" s="7"/>
    </row>
    <row r="423">
      <c r="F423" s="7"/>
      <c r="G423" s="7"/>
      <c r="H423" s="7"/>
      <c r="I423" s="7"/>
    </row>
    <row r="424">
      <c r="F424" s="7"/>
      <c r="G424" s="7"/>
      <c r="H424" s="7"/>
      <c r="I424" s="7"/>
    </row>
    <row r="425">
      <c r="F425" s="7"/>
      <c r="G425" s="7"/>
      <c r="H425" s="7"/>
      <c r="I425" s="7"/>
    </row>
    <row r="426">
      <c r="F426" s="7"/>
      <c r="G426" s="7"/>
      <c r="H426" s="7"/>
      <c r="I426" s="7"/>
    </row>
    <row r="427">
      <c r="F427" s="7"/>
      <c r="G427" s="7"/>
      <c r="H427" s="7"/>
      <c r="I427" s="7"/>
    </row>
    <row r="428">
      <c r="F428" s="7"/>
      <c r="G428" s="7"/>
      <c r="H428" s="7"/>
      <c r="I428" s="7"/>
    </row>
    <row r="429">
      <c r="F429" s="7"/>
      <c r="G429" s="7"/>
      <c r="H429" s="7"/>
      <c r="I429" s="7"/>
    </row>
    <row r="430">
      <c r="F430" s="7"/>
      <c r="G430" s="7"/>
      <c r="H430" s="7"/>
      <c r="I430" s="7"/>
    </row>
    <row r="431">
      <c r="F431" s="7"/>
      <c r="G431" s="7"/>
      <c r="H431" s="7"/>
      <c r="I431" s="7"/>
    </row>
    <row r="432">
      <c r="F432" s="7"/>
      <c r="G432" s="7"/>
      <c r="H432" s="7"/>
      <c r="I432" s="7"/>
    </row>
    <row r="433">
      <c r="F433" s="7"/>
      <c r="G433" s="7"/>
      <c r="H433" s="7"/>
      <c r="I433" s="7"/>
    </row>
    <row r="434">
      <c r="F434" s="7"/>
      <c r="G434" s="7"/>
      <c r="H434" s="7"/>
      <c r="I434" s="7"/>
    </row>
    <row r="435">
      <c r="F435" s="7"/>
      <c r="G435" s="7"/>
      <c r="H435" s="7"/>
      <c r="I435" s="7"/>
    </row>
    <row r="436">
      <c r="F436" s="7"/>
      <c r="G436" s="7"/>
      <c r="H436" s="7"/>
      <c r="I436" s="7"/>
    </row>
    <row r="437">
      <c r="F437" s="7"/>
      <c r="G437" s="7"/>
      <c r="H437" s="7"/>
      <c r="I437" s="7"/>
    </row>
    <row r="438">
      <c r="F438" s="7"/>
      <c r="G438" s="7"/>
      <c r="H438" s="7"/>
      <c r="I438" s="7"/>
    </row>
    <row r="439">
      <c r="F439" s="7"/>
      <c r="G439" s="7"/>
      <c r="H439" s="7"/>
      <c r="I439" s="7"/>
    </row>
    <row r="440">
      <c r="F440" s="7"/>
      <c r="G440" s="7"/>
      <c r="H440" s="7"/>
      <c r="I440" s="7"/>
    </row>
    <row r="441">
      <c r="F441" s="7"/>
      <c r="G441" s="7"/>
      <c r="H441" s="7"/>
      <c r="I441" s="7"/>
    </row>
    <row r="442">
      <c r="F442" s="7"/>
      <c r="G442" s="7"/>
      <c r="H442" s="7"/>
      <c r="I442" s="7"/>
    </row>
    <row r="443">
      <c r="F443" s="7"/>
      <c r="G443" s="7"/>
      <c r="H443" s="7"/>
      <c r="I443" s="7"/>
    </row>
    <row r="444">
      <c r="F444" s="7"/>
      <c r="G444" s="7"/>
      <c r="H444" s="7"/>
      <c r="I444" s="7"/>
    </row>
    <row r="445">
      <c r="F445" s="7"/>
      <c r="G445" s="7"/>
      <c r="H445" s="7"/>
      <c r="I445" s="7"/>
    </row>
    <row r="446">
      <c r="F446" s="7"/>
      <c r="G446" s="7"/>
      <c r="H446" s="7"/>
      <c r="I446" s="7"/>
    </row>
    <row r="447">
      <c r="F447" s="7"/>
      <c r="G447" s="7"/>
      <c r="H447" s="7"/>
      <c r="I447" s="7"/>
    </row>
    <row r="448">
      <c r="F448" s="7"/>
      <c r="G448" s="7"/>
      <c r="H448" s="7"/>
      <c r="I448" s="7"/>
    </row>
    <row r="449">
      <c r="F449" s="7"/>
      <c r="G449" s="7"/>
      <c r="H449" s="7"/>
      <c r="I449" s="7"/>
    </row>
    <row r="450">
      <c r="F450" s="7"/>
      <c r="G450" s="7"/>
      <c r="H450" s="7"/>
      <c r="I450" s="7"/>
    </row>
    <row r="451">
      <c r="F451" s="7"/>
      <c r="G451" s="7"/>
      <c r="H451" s="7"/>
      <c r="I451" s="7"/>
    </row>
    <row r="452">
      <c r="F452" s="7"/>
      <c r="G452" s="7"/>
      <c r="H452" s="7"/>
      <c r="I452" s="7"/>
    </row>
    <row r="453">
      <c r="F453" s="7"/>
      <c r="G453" s="7"/>
      <c r="H453" s="7"/>
      <c r="I453" s="7"/>
    </row>
    <row r="454">
      <c r="F454" s="7"/>
      <c r="G454" s="7"/>
      <c r="H454" s="7"/>
      <c r="I454" s="7"/>
    </row>
    <row r="455">
      <c r="F455" s="7"/>
      <c r="G455" s="7"/>
      <c r="H455" s="7"/>
      <c r="I455" s="7"/>
    </row>
    <row r="456">
      <c r="F456" s="7"/>
      <c r="G456" s="7"/>
      <c r="H456" s="7"/>
      <c r="I456" s="7"/>
    </row>
    <row r="457">
      <c r="F457" s="7"/>
      <c r="G457" s="7"/>
      <c r="H457" s="7"/>
      <c r="I457" s="7"/>
    </row>
    <row r="458">
      <c r="F458" s="7"/>
      <c r="G458" s="7"/>
      <c r="H458" s="7"/>
      <c r="I458" s="7"/>
    </row>
    <row r="459">
      <c r="F459" s="7"/>
      <c r="G459" s="7"/>
      <c r="H459" s="7"/>
      <c r="I459" s="7"/>
    </row>
    <row r="460">
      <c r="F460" s="7"/>
      <c r="G460" s="7"/>
      <c r="H460" s="7"/>
      <c r="I460" s="7"/>
    </row>
    <row r="461">
      <c r="F461" s="7"/>
      <c r="G461" s="7"/>
      <c r="H461" s="7"/>
      <c r="I461" s="7"/>
    </row>
    <row r="462">
      <c r="F462" s="7"/>
      <c r="G462" s="7"/>
      <c r="H462" s="7"/>
      <c r="I462" s="7"/>
    </row>
    <row r="463">
      <c r="F463" s="7"/>
      <c r="G463" s="7"/>
      <c r="H463" s="7"/>
      <c r="I463" s="7"/>
    </row>
    <row r="464">
      <c r="F464" s="7"/>
      <c r="G464" s="7"/>
      <c r="H464" s="7"/>
      <c r="I464" s="7"/>
    </row>
    <row r="465">
      <c r="F465" s="7"/>
      <c r="G465" s="7"/>
      <c r="H465" s="7"/>
      <c r="I465" s="7"/>
    </row>
    <row r="466">
      <c r="F466" s="7"/>
      <c r="G466" s="7"/>
      <c r="H466" s="7"/>
      <c r="I466" s="7"/>
    </row>
    <row r="467">
      <c r="F467" s="7"/>
      <c r="G467" s="7"/>
      <c r="H467" s="7"/>
      <c r="I467" s="7"/>
    </row>
    <row r="468">
      <c r="F468" s="7"/>
      <c r="G468" s="7"/>
      <c r="H468" s="7"/>
      <c r="I468" s="7"/>
    </row>
    <row r="469">
      <c r="F469" s="7"/>
      <c r="G469" s="7"/>
      <c r="H469" s="7"/>
      <c r="I469" s="7"/>
    </row>
    <row r="470">
      <c r="F470" s="7"/>
      <c r="G470" s="7"/>
      <c r="H470" s="7"/>
      <c r="I470" s="7"/>
    </row>
    <row r="471">
      <c r="F471" s="7"/>
      <c r="G471" s="7"/>
      <c r="H471" s="7"/>
      <c r="I471" s="7"/>
    </row>
    <row r="472">
      <c r="F472" s="7"/>
      <c r="G472" s="7"/>
      <c r="H472" s="7"/>
      <c r="I472" s="7"/>
    </row>
    <row r="473">
      <c r="F473" s="7"/>
      <c r="G473" s="7"/>
      <c r="H473" s="7"/>
      <c r="I473" s="7"/>
    </row>
    <row r="474">
      <c r="F474" s="7"/>
      <c r="G474" s="7"/>
      <c r="H474" s="7"/>
      <c r="I474" s="7"/>
    </row>
    <row r="475">
      <c r="F475" s="7"/>
      <c r="G475" s="7"/>
      <c r="H475" s="7"/>
      <c r="I475" s="7"/>
    </row>
    <row r="476">
      <c r="F476" s="7"/>
      <c r="G476" s="7"/>
      <c r="H476" s="7"/>
      <c r="I476" s="7"/>
    </row>
    <row r="477">
      <c r="F477" s="7"/>
      <c r="G477" s="7"/>
      <c r="H477" s="7"/>
      <c r="I477" s="7"/>
    </row>
    <row r="478">
      <c r="F478" s="7"/>
      <c r="G478" s="7"/>
      <c r="H478" s="7"/>
      <c r="I478" s="7"/>
    </row>
    <row r="479">
      <c r="F479" s="7"/>
      <c r="G479" s="7"/>
      <c r="H479" s="7"/>
      <c r="I479" s="7"/>
    </row>
    <row r="480">
      <c r="F480" s="7"/>
      <c r="G480" s="7"/>
      <c r="H480" s="7"/>
      <c r="I480" s="7"/>
    </row>
    <row r="481">
      <c r="F481" s="7"/>
      <c r="G481" s="7"/>
      <c r="H481" s="7"/>
      <c r="I481" s="7"/>
    </row>
    <row r="482">
      <c r="F482" s="7"/>
      <c r="G482" s="7"/>
      <c r="H482" s="7"/>
      <c r="I482" s="7"/>
    </row>
    <row r="483">
      <c r="F483" s="7"/>
      <c r="G483" s="7"/>
      <c r="H483" s="7"/>
      <c r="I483" s="7"/>
    </row>
    <row r="484">
      <c r="F484" s="7"/>
      <c r="G484" s="7"/>
      <c r="H484" s="7"/>
      <c r="I484" s="7"/>
    </row>
    <row r="485">
      <c r="F485" s="7"/>
      <c r="G485" s="7"/>
      <c r="H485" s="7"/>
      <c r="I485" s="7"/>
    </row>
    <row r="486">
      <c r="F486" s="7"/>
      <c r="G486" s="7"/>
      <c r="H486" s="7"/>
      <c r="I486" s="7"/>
    </row>
    <row r="487">
      <c r="F487" s="7"/>
      <c r="G487" s="7"/>
      <c r="H487" s="7"/>
      <c r="I487" s="7"/>
    </row>
    <row r="488">
      <c r="F488" s="7"/>
      <c r="G488" s="7"/>
      <c r="H488" s="7"/>
      <c r="I488" s="7"/>
    </row>
    <row r="489">
      <c r="F489" s="7"/>
      <c r="G489" s="7"/>
      <c r="H489" s="7"/>
      <c r="I489" s="7"/>
    </row>
    <row r="490">
      <c r="F490" s="7"/>
      <c r="G490" s="7"/>
      <c r="H490" s="7"/>
      <c r="I490" s="7"/>
    </row>
    <row r="491">
      <c r="F491" s="7"/>
      <c r="G491" s="7"/>
      <c r="H491" s="7"/>
      <c r="I491" s="7"/>
    </row>
    <row r="492">
      <c r="F492" s="7"/>
      <c r="G492" s="7"/>
      <c r="H492" s="7"/>
      <c r="I492" s="7"/>
    </row>
    <row r="493">
      <c r="F493" s="7"/>
      <c r="G493" s="7"/>
      <c r="H493" s="7"/>
      <c r="I493" s="7"/>
    </row>
    <row r="494">
      <c r="F494" s="7"/>
      <c r="G494" s="7"/>
      <c r="H494" s="7"/>
      <c r="I494" s="7"/>
    </row>
    <row r="495">
      <c r="F495" s="7"/>
      <c r="G495" s="7"/>
      <c r="H495" s="7"/>
      <c r="I495" s="7"/>
    </row>
    <row r="496">
      <c r="F496" s="7"/>
      <c r="G496" s="7"/>
      <c r="H496" s="7"/>
      <c r="I496" s="7"/>
    </row>
    <row r="497">
      <c r="F497" s="7"/>
      <c r="G497" s="7"/>
      <c r="H497" s="7"/>
      <c r="I497" s="7"/>
    </row>
    <row r="498">
      <c r="F498" s="7"/>
      <c r="G498" s="7"/>
      <c r="H498" s="7"/>
      <c r="I498" s="7"/>
    </row>
    <row r="499">
      <c r="F499" s="7"/>
      <c r="G499" s="7"/>
      <c r="H499" s="7"/>
      <c r="I499" s="7"/>
    </row>
    <row r="500">
      <c r="F500" s="7"/>
      <c r="G500" s="7"/>
      <c r="H500" s="7"/>
      <c r="I500" s="7"/>
    </row>
    <row r="501">
      <c r="F501" s="7"/>
      <c r="G501" s="7"/>
      <c r="H501" s="7"/>
      <c r="I501" s="7"/>
    </row>
    <row r="502">
      <c r="F502" s="7"/>
      <c r="G502" s="7"/>
      <c r="H502" s="7"/>
      <c r="I502" s="7"/>
    </row>
    <row r="503">
      <c r="F503" s="7"/>
      <c r="G503" s="7"/>
      <c r="H503" s="7"/>
      <c r="I503" s="7"/>
    </row>
    <row r="504">
      <c r="F504" s="7"/>
      <c r="G504" s="7"/>
      <c r="H504" s="7"/>
      <c r="I504" s="7"/>
    </row>
    <row r="505">
      <c r="F505" s="7"/>
      <c r="G505" s="7"/>
      <c r="H505" s="7"/>
      <c r="I505" s="7"/>
    </row>
    <row r="506">
      <c r="F506" s="7"/>
      <c r="G506" s="7"/>
      <c r="H506" s="7"/>
      <c r="I506" s="7"/>
    </row>
    <row r="507">
      <c r="F507" s="7"/>
      <c r="G507" s="7"/>
      <c r="H507" s="7"/>
      <c r="I507" s="7"/>
    </row>
    <row r="508">
      <c r="F508" s="7"/>
      <c r="G508" s="7"/>
      <c r="H508" s="7"/>
      <c r="I508" s="7"/>
    </row>
    <row r="509">
      <c r="F509" s="7"/>
      <c r="G509" s="7"/>
      <c r="H509" s="7"/>
      <c r="I509" s="7"/>
    </row>
    <row r="510">
      <c r="F510" s="7"/>
      <c r="G510" s="7"/>
      <c r="H510" s="7"/>
      <c r="I510" s="7"/>
    </row>
    <row r="511">
      <c r="F511" s="7"/>
      <c r="G511" s="7"/>
      <c r="H511" s="7"/>
      <c r="I511" s="7"/>
    </row>
    <row r="512">
      <c r="F512" s="7"/>
      <c r="G512" s="7"/>
      <c r="H512" s="7"/>
      <c r="I512" s="7"/>
    </row>
    <row r="513">
      <c r="F513" s="7"/>
      <c r="G513" s="7"/>
      <c r="H513" s="7"/>
      <c r="I513" s="7"/>
    </row>
    <row r="514">
      <c r="F514" s="7"/>
      <c r="G514" s="7"/>
      <c r="H514" s="7"/>
      <c r="I514" s="7"/>
    </row>
    <row r="515">
      <c r="F515" s="7"/>
      <c r="G515" s="7"/>
      <c r="H515" s="7"/>
      <c r="I515" s="7"/>
    </row>
    <row r="516">
      <c r="F516" s="7"/>
      <c r="G516" s="7"/>
      <c r="H516" s="7"/>
      <c r="I516" s="7"/>
    </row>
    <row r="517">
      <c r="F517" s="7"/>
      <c r="G517" s="7"/>
      <c r="H517" s="7"/>
      <c r="I517" s="7"/>
    </row>
    <row r="518">
      <c r="F518" s="7"/>
      <c r="G518" s="7"/>
      <c r="H518" s="7"/>
      <c r="I518" s="7"/>
    </row>
    <row r="519">
      <c r="F519" s="7"/>
      <c r="G519" s="7"/>
      <c r="H519" s="7"/>
      <c r="I519" s="7"/>
    </row>
    <row r="520">
      <c r="F520" s="7"/>
      <c r="G520" s="7"/>
      <c r="H520" s="7"/>
      <c r="I520" s="7"/>
    </row>
    <row r="521">
      <c r="F521" s="7"/>
      <c r="G521" s="7"/>
      <c r="H521" s="7"/>
      <c r="I521" s="7"/>
    </row>
    <row r="522">
      <c r="F522" s="7"/>
      <c r="G522" s="7"/>
      <c r="H522" s="7"/>
      <c r="I522" s="7"/>
    </row>
    <row r="523">
      <c r="F523" s="7"/>
      <c r="G523" s="7"/>
      <c r="H523" s="7"/>
      <c r="I523" s="7"/>
    </row>
    <row r="524">
      <c r="F524" s="7"/>
      <c r="G524" s="7"/>
      <c r="H524" s="7"/>
      <c r="I524" s="7"/>
    </row>
    <row r="525">
      <c r="F525" s="7"/>
      <c r="G525" s="7"/>
      <c r="H525" s="7"/>
      <c r="I525" s="7"/>
    </row>
    <row r="526">
      <c r="F526" s="7"/>
      <c r="G526" s="7"/>
      <c r="H526" s="7"/>
      <c r="I526" s="7"/>
    </row>
    <row r="527">
      <c r="F527" s="7"/>
      <c r="G527" s="7"/>
      <c r="H527" s="7"/>
      <c r="I527" s="7"/>
    </row>
    <row r="528">
      <c r="F528" s="7"/>
      <c r="G528" s="7"/>
      <c r="H528" s="7"/>
      <c r="I528" s="7"/>
    </row>
    <row r="529">
      <c r="F529" s="7"/>
      <c r="G529" s="7"/>
      <c r="H529" s="7"/>
      <c r="I529" s="7"/>
    </row>
    <row r="530">
      <c r="F530" s="7"/>
      <c r="G530" s="7"/>
      <c r="H530" s="7"/>
      <c r="I530" s="7"/>
    </row>
    <row r="531">
      <c r="F531" s="7"/>
      <c r="G531" s="7"/>
      <c r="H531" s="7"/>
      <c r="I531" s="7"/>
    </row>
    <row r="532">
      <c r="F532" s="7"/>
      <c r="G532" s="7"/>
      <c r="H532" s="7"/>
      <c r="I532" s="7"/>
    </row>
    <row r="533">
      <c r="F533" s="7"/>
      <c r="G533" s="7"/>
      <c r="H533" s="7"/>
      <c r="I533" s="7"/>
    </row>
    <row r="534">
      <c r="F534" s="7"/>
      <c r="G534" s="7"/>
      <c r="H534" s="7"/>
      <c r="I534" s="7"/>
    </row>
    <row r="535">
      <c r="F535" s="7"/>
      <c r="G535" s="7"/>
      <c r="H535" s="7"/>
      <c r="I535" s="7"/>
    </row>
    <row r="536">
      <c r="F536" s="7"/>
      <c r="G536" s="7"/>
      <c r="H536" s="7"/>
      <c r="I536" s="7"/>
    </row>
    <row r="537">
      <c r="F537" s="7"/>
      <c r="G537" s="7"/>
      <c r="H537" s="7"/>
      <c r="I537" s="7"/>
    </row>
    <row r="538">
      <c r="F538" s="7"/>
      <c r="G538" s="7"/>
      <c r="H538" s="7"/>
      <c r="I538" s="7"/>
    </row>
    <row r="539">
      <c r="F539" s="7"/>
      <c r="G539" s="7"/>
      <c r="H539" s="7"/>
      <c r="I539" s="7"/>
    </row>
    <row r="540">
      <c r="F540" s="7"/>
      <c r="G540" s="7"/>
      <c r="H540" s="7"/>
      <c r="I540" s="7"/>
    </row>
    <row r="541">
      <c r="F541" s="7"/>
      <c r="G541" s="7"/>
      <c r="H541" s="7"/>
      <c r="I541" s="7"/>
    </row>
    <row r="542">
      <c r="F542" s="7"/>
      <c r="G542" s="7"/>
      <c r="H542" s="7"/>
      <c r="I542" s="7"/>
    </row>
    <row r="543">
      <c r="F543" s="7"/>
      <c r="G543" s="7"/>
      <c r="H543" s="7"/>
      <c r="I543" s="7"/>
    </row>
    <row r="544">
      <c r="F544" s="7"/>
      <c r="G544" s="7"/>
      <c r="H544" s="7"/>
      <c r="I544" s="7"/>
    </row>
    <row r="545">
      <c r="F545" s="7"/>
      <c r="G545" s="7"/>
      <c r="H545" s="7"/>
      <c r="I545" s="7"/>
    </row>
    <row r="546">
      <c r="F546" s="7"/>
      <c r="G546" s="7"/>
      <c r="H546" s="7"/>
      <c r="I546" s="7"/>
    </row>
    <row r="547">
      <c r="F547" s="7"/>
      <c r="G547" s="7"/>
      <c r="H547" s="7"/>
      <c r="I547" s="7"/>
    </row>
    <row r="548">
      <c r="F548" s="7"/>
      <c r="G548" s="7"/>
      <c r="H548" s="7"/>
      <c r="I548" s="7"/>
    </row>
    <row r="549">
      <c r="F549" s="7"/>
      <c r="G549" s="7"/>
      <c r="H549" s="7"/>
      <c r="I549" s="7"/>
    </row>
    <row r="550">
      <c r="F550" s="7"/>
      <c r="G550" s="7"/>
      <c r="H550" s="7"/>
      <c r="I550" s="7"/>
    </row>
    <row r="551">
      <c r="F551" s="7"/>
      <c r="G551" s="7"/>
      <c r="H551" s="7"/>
      <c r="I551" s="7"/>
    </row>
    <row r="552">
      <c r="F552" s="7"/>
      <c r="G552" s="7"/>
      <c r="H552" s="7"/>
      <c r="I552" s="7"/>
    </row>
    <row r="553">
      <c r="F553" s="7"/>
      <c r="G553" s="7"/>
      <c r="H553" s="7"/>
      <c r="I553" s="7"/>
    </row>
    <row r="554">
      <c r="F554" s="7"/>
      <c r="G554" s="7"/>
      <c r="H554" s="7"/>
      <c r="I554" s="7"/>
    </row>
    <row r="555">
      <c r="F555" s="7"/>
      <c r="G555" s="7"/>
      <c r="H555" s="7"/>
      <c r="I555" s="7"/>
    </row>
    <row r="556">
      <c r="F556" s="7"/>
      <c r="G556" s="7"/>
      <c r="H556" s="7"/>
      <c r="I556" s="7"/>
    </row>
    <row r="557">
      <c r="F557" s="7"/>
      <c r="G557" s="7"/>
      <c r="H557" s="7"/>
      <c r="I557" s="7"/>
    </row>
    <row r="558">
      <c r="F558" s="7"/>
      <c r="G558" s="7"/>
      <c r="H558" s="7"/>
      <c r="I558" s="7"/>
    </row>
    <row r="559">
      <c r="F559" s="7"/>
      <c r="G559" s="7"/>
      <c r="H559" s="7"/>
      <c r="I559" s="7"/>
    </row>
    <row r="560">
      <c r="F560" s="7"/>
      <c r="G560" s="7"/>
      <c r="H560" s="7"/>
      <c r="I560" s="7"/>
    </row>
    <row r="561">
      <c r="F561" s="7"/>
      <c r="G561" s="7"/>
      <c r="H561" s="7"/>
      <c r="I561" s="7"/>
    </row>
    <row r="562">
      <c r="F562" s="7"/>
      <c r="G562" s="7"/>
      <c r="H562" s="7"/>
      <c r="I562" s="7"/>
    </row>
    <row r="563">
      <c r="F563" s="7"/>
      <c r="G563" s="7"/>
      <c r="H563" s="7"/>
      <c r="I563" s="7"/>
    </row>
    <row r="564">
      <c r="F564" s="7"/>
      <c r="G564" s="7"/>
      <c r="H564" s="7"/>
      <c r="I564" s="7"/>
    </row>
    <row r="565">
      <c r="F565" s="7"/>
      <c r="G565" s="7"/>
      <c r="H565" s="7"/>
      <c r="I565" s="7"/>
    </row>
    <row r="566">
      <c r="F566" s="7"/>
      <c r="G566" s="7"/>
      <c r="H566" s="7"/>
      <c r="I566" s="7"/>
    </row>
    <row r="567">
      <c r="F567" s="7"/>
      <c r="G567" s="7"/>
      <c r="H567" s="7"/>
      <c r="I567" s="7"/>
    </row>
    <row r="568">
      <c r="F568" s="7"/>
      <c r="G568" s="7"/>
      <c r="H568" s="7"/>
      <c r="I568" s="7"/>
    </row>
    <row r="569">
      <c r="F569" s="7"/>
      <c r="G569" s="7"/>
      <c r="H569" s="7"/>
      <c r="I569" s="7"/>
    </row>
    <row r="570">
      <c r="F570" s="7"/>
      <c r="G570" s="7"/>
      <c r="H570" s="7"/>
      <c r="I570" s="7"/>
    </row>
    <row r="571">
      <c r="F571" s="7"/>
      <c r="G571" s="7"/>
      <c r="H571" s="7"/>
      <c r="I571" s="7"/>
    </row>
    <row r="572">
      <c r="F572" s="7"/>
      <c r="G572" s="7"/>
      <c r="H572" s="7"/>
      <c r="I572" s="7"/>
    </row>
    <row r="573">
      <c r="F573" s="7"/>
      <c r="G573" s="7"/>
      <c r="H573" s="7"/>
      <c r="I573" s="7"/>
    </row>
    <row r="574">
      <c r="F574" s="7"/>
      <c r="G574" s="7"/>
      <c r="H574" s="7"/>
      <c r="I574" s="7"/>
    </row>
    <row r="575">
      <c r="F575" s="7"/>
      <c r="G575" s="7"/>
      <c r="H575" s="7"/>
      <c r="I575" s="7"/>
    </row>
    <row r="576">
      <c r="F576" s="7"/>
      <c r="G576" s="7"/>
      <c r="H576" s="7"/>
      <c r="I576" s="7"/>
    </row>
    <row r="577">
      <c r="F577" s="7"/>
      <c r="G577" s="7"/>
      <c r="H577" s="7"/>
      <c r="I577" s="7"/>
    </row>
    <row r="578">
      <c r="F578" s="7"/>
      <c r="G578" s="7"/>
      <c r="H578" s="7"/>
      <c r="I578" s="7"/>
    </row>
    <row r="579">
      <c r="F579" s="7"/>
      <c r="G579" s="7"/>
      <c r="H579" s="7"/>
      <c r="I579" s="7"/>
    </row>
    <row r="580">
      <c r="F580" s="7"/>
      <c r="G580" s="7"/>
      <c r="H580" s="7"/>
      <c r="I580" s="7"/>
    </row>
    <row r="581">
      <c r="F581" s="7"/>
      <c r="G581" s="7"/>
      <c r="H581" s="7"/>
      <c r="I581" s="7"/>
    </row>
    <row r="582">
      <c r="F582" s="7"/>
      <c r="G582" s="7"/>
      <c r="H582" s="7"/>
      <c r="I582" s="7"/>
    </row>
    <row r="583">
      <c r="F583" s="7"/>
      <c r="G583" s="7"/>
      <c r="H583" s="7"/>
      <c r="I583" s="7"/>
    </row>
    <row r="584">
      <c r="F584" s="7"/>
      <c r="G584" s="7"/>
      <c r="H584" s="7"/>
      <c r="I584" s="7"/>
    </row>
    <row r="585">
      <c r="F585" s="7"/>
      <c r="G585" s="7"/>
      <c r="H585" s="7"/>
      <c r="I585" s="7"/>
    </row>
    <row r="586">
      <c r="F586" s="7"/>
      <c r="G586" s="7"/>
      <c r="H586" s="7"/>
      <c r="I586" s="7"/>
    </row>
    <row r="587">
      <c r="F587" s="7"/>
      <c r="G587" s="7"/>
      <c r="H587" s="7"/>
      <c r="I587" s="7"/>
    </row>
    <row r="588">
      <c r="F588" s="7"/>
      <c r="G588" s="7"/>
      <c r="H588" s="7"/>
      <c r="I588" s="7"/>
    </row>
    <row r="589">
      <c r="F589" s="7"/>
      <c r="G589" s="7"/>
      <c r="H589" s="7"/>
      <c r="I589" s="7"/>
    </row>
    <row r="590">
      <c r="F590" s="7"/>
      <c r="G590" s="7"/>
      <c r="H590" s="7"/>
      <c r="I590" s="7"/>
    </row>
    <row r="591">
      <c r="F591" s="7"/>
      <c r="G591" s="7"/>
      <c r="H591" s="7"/>
      <c r="I591" s="7"/>
    </row>
    <row r="592">
      <c r="F592" s="7"/>
      <c r="G592" s="7"/>
      <c r="H592" s="7"/>
      <c r="I592" s="7"/>
    </row>
    <row r="593">
      <c r="F593" s="7"/>
      <c r="G593" s="7"/>
      <c r="H593" s="7"/>
      <c r="I593" s="7"/>
    </row>
    <row r="594">
      <c r="F594" s="7"/>
      <c r="G594" s="7"/>
      <c r="H594" s="7"/>
      <c r="I594" s="7"/>
    </row>
    <row r="595">
      <c r="F595" s="7"/>
      <c r="G595" s="7"/>
      <c r="H595" s="7"/>
      <c r="I595" s="7"/>
    </row>
    <row r="596">
      <c r="F596" s="7"/>
      <c r="G596" s="7"/>
      <c r="H596" s="7"/>
      <c r="I596" s="7"/>
    </row>
    <row r="597">
      <c r="F597" s="7"/>
      <c r="G597" s="7"/>
      <c r="H597" s="7"/>
      <c r="I597" s="7"/>
    </row>
    <row r="598">
      <c r="F598" s="7"/>
      <c r="G598" s="7"/>
      <c r="H598" s="7"/>
      <c r="I598" s="7"/>
    </row>
    <row r="599">
      <c r="F599" s="7"/>
      <c r="G599" s="7"/>
      <c r="H599" s="7"/>
      <c r="I599" s="7"/>
    </row>
    <row r="600">
      <c r="F600" s="7"/>
      <c r="G600" s="7"/>
      <c r="H600" s="7"/>
      <c r="I600" s="7"/>
    </row>
    <row r="601">
      <c r="F601" s="7"/>
      <c r="G601" s="7"/>
      <c r="H601" s="7"/>
      <c r="I601" s="7"/>
    </row>
    <row r="602">
      <c r="F602" s="7"/>
      <c r="G602" s="7"/>
      <c r="H602" s="7"/>
      <c r="I602" s="7"/>
    </row>
    <row r="603">
      <c r="F603" s="7"/>
      <c r="G603" s="7"/>
      <c r="H603" s="7"/>
      <c r="I603" s="7"/>
    </row>
    <row r="604">
      <c r="F604" s="7"/>
      <c r="G604" s="7"/>
      <c r="H604" s="7"/>
      <c r="I604" s="7"/>
    </row>
    <row r="605">
      <c r="F605" s="7"/>
      <c r="G605" s="7"/>
      <c r="H605" s="7"/>
      <c r="I605" s="7"/>
    </row>
    <row r="606">
      <c r="F606" s="7"/>
      <c r="G606" s="7"/>
      <c r="H606" s="7"/>
      <c r="I606" s="7"/>
    </row>
    <row r="607">
      <c r="F607" s="7"/>
      <c r="G607" s="7"/>
      <c r="H607" s="7"/>
      <c r="I607" s="7"/>
    </row>
    <row r="608">
      <c r="F608" s="7"/>
      <c r="G608" s="7"/>
      <c r="H608" s="7"/>
      <c r="I608" s="7"/>
    </row>
    <row r="609">
      <c r="F609" s="7"/>
      <c r="G609" s="7"/>
      <c r="H609" s="7"/>
      <c r="I609" s="7"/>
    </row>
    <row r="610">
      <c r="F610" s="7"/>
      <c r="G610" s="7"/>
      <c r="H610" s="7"/>
      <c r="I610" s="7"/>
    </row>
    <row r="611">
      <c r="F611" s="7"/>
      <c r="G611" s="7"/>
      <c r="H611" s="7"/>
      <c r="I611" s="7"/>
    </row>
    <row r="612">
      <c r="F612" s="7"/>
      <c r="G612" s="7"/>
      <c r="H612" s="7"/>
      <c r="I612" s="7"/>
    </row>
    <row r="613">
      <c r="F613" s="7"/>
      <c r="G613" s="7"/>
      <c r="H613" s="7"/>
      <c r="I613" s="7"/>
    </row>
    <row r="614">
      <c r="F614" s="7"/>
      <c r="G614" s="7"/>
      <c r="H614" s="7"/>
      <c r="I614" s="7"/>
    </row>
    <row r="615">
      <c r="F615" s="7"/>
      <c r="G615" s="7"/>
      <c r="H615" s="7"/>
      <c r="I615" s="7"/>
    </row>
    <row r="616">
      <c r="F616" s="7"/>
      <c r="G616" s="7"/>
      <c r="H616" s="7"/>
      <c r="I616" s="7"/>
    </row>
    <row r="617">
      <c r="F617" s="7"/>
      <c r="G617" s="7"/>
      <c r="H617" s="7"/>
      <c r="I617" s="7"/>
    </row>
    <row r="618">
      <c r="F618" s="7"/>
      <c r="G618" s="7"/>
      <c r="H618" s="7"/>
      <c r="I618" s="7"/>
    </row>
    <row r="619">
      <c r="F619" s="7"/>
      <c r="G619" s="7"/>
      <c r="H619" s="7"/>
      <c r="I619" s="7"/>
    </row>
    <row r="620">
      <c r="F620" s="7"/>
      <c r="G620" s="7"/>
      <c r="H620" s="7"/>
      <c r="I620" s="7"/>
    </row>
    <row r="621">
      <c r="F621" s="7"/>
      <c r="G621" s="7"/>
      <c r="H621" s="7"/>
      <c r="I621" s="7"/>
    </row>
    <row r="622">
      <c r="F622" s="7"/>
      <c r="G622" s="7"/>
      <c r="H622" s="7"/>
      <c r="I622" s="7"/>
    </row>
    <row r="623">
      <c r="F623" s="7"/>
      <c r="G623" s="7"/>
      <c r="H623" s="7"/>
      <c r="I623" s="7"/>
    </row>
    <row r="624">
      <c r="F624" s="7"/>
      <c r="G624" s="7"/>
      <c r="H624" s="7"/>
      <c r="I624" s="7"/>
    </row>
    <row r="625">
      <c r="F625" s="7"/>
      <c r="G625" s="7"/>
      <c r="H625" s="7"/>
      <c r="I625" s="7"/>
    </row>
    <row r="626">
      <c r="F626" s="7"/>
      <c r="G626" s="7"/>
      <c r="H626" s="7"/>
      <c r="I626" s="7"/>
    </row>
    <row r="627">
      <c r="F627" s="7"/>
      <c r="G627" s="7"/>
      <c r="H627" s="7"/>
      <c r="I627" s="7"/>
    </row>
    <row r="628">
      <c r="F628" s="7"/>
      <c r="G628" s="7"/>
      <c r="H628" s="7"/>
      <c r="I628" s="7"/>
    </row>
    <row r="629">
      <c r="F629" s="7"/>
      <c r="G629" s="7"/>
      <c r="H629" s="7"/>
      <c r="I629" s="7"/>
    </row>
    <row r="630">
      <c r="F630" s="7"/>
      <c r="G630" s="7"/>
      <c r="H630" s="7"/>
      <c r="I630" s="7"/>
    </row>
    <row r="631">
      <c r="F631" s="7"/>
      <c r="G631" s="7"/>
      <c r="H631" s="7"/>
      <c r="I631" s="7"/>
    </row>
    <row r="632">
      <c r="F632" s="7"/>
      <c r="G632" s="7"/>
      <c r="H632" s="7"/>
      <c r="I632" s="7"/>
    </row>
    <row r="633">
      <c r="F633" s="7"/>
      <c r="G633" s="7"/>
      <c r="H633" s="7"/>
      <c r="I633" s="7"/>
    </row>
    <row r="634">
      <c r="F634" s="7"/>
      <c r="G634" s="7"/>
      <c r="H634" s="7"/>
      <c r="I634" s="7"/>
    </row>
    <row r="635">
      <c r="F635" s="7"/>
      <c r="G635" s="7"/>
      <c r="H635" s="7"/>
      <c r="I635" s="7"/>
    </row>
    <row r="636">
      <c r="F636" s="7"/>
      <c r="G636" s="7"/>
      <c r="H636" s="7"/>
      <c r="I636" s="7"/>
    </row>
    <row r="637">
      <c r="F637" s="7"/>
      <c r="G637" s="7"/>
      <c r="H637" s="7"/>
      <c r="I637" s="7"/>
    </row>
    <row r="638">
      <c r="F638" s="7"/>
      <c r="G638" s="7"/>
      <c r="H638" s="7"/>
      <c r="I638" s="7"/>
    </row>
    <row r="639">
      <c r="F639" s="7"/>
      <c r="G639" s="7"/>
      <c r="H639" s="7"/>
      <c r="I639" s="7"/>
    </row>
    <row r="640">
      <c r="F640" s="7"/>
      <c r="G640" s="7"/>
      <c r="H640" s="7"/>
      <c r="I640" s="7"/>
    </row>
    <row r="641">
      <c r="F641" s="7"/>
      <c r="G641" s="7"/>
      <c r="H641" s="7"/>
      <c r="I641" s="7"/>
    </row>
    <row r="642">
      <c r="F642" s="7"/>
      <c r="G642" s="7"/>
      <c r="H642" s="7"/>
      <c r="I642" s="7"/>
    </row>
    <row r="643">
      <c r="F643" s="7"/>
      <c r="G643" s="7"/>
      <c r="H643" s="7"/>
      <c r="I643" s="7"/>
    </row>
    <row r="644">
      <c r="F644" s="7"/>
      <c r="G644" s="7"/>
      <c r="H644" s="7"/>
      <c r="I644" s="7"/>
    </row>
    <row r="645">
      <c r="F645" s="7"/>
      <c r="G645" s="7"/>
      <c r="H645" s="7"/>
      <c r="I645" s="7"/>
    </row>
    <row r="646">
      <c r="F646" s="7"/>
      <c r="G646" s="7"/>
      <c r="H646" s="7"/>
      <c r="I646" s="7"/>
    </row>
    <row r="647">
      <c r="F647" s="7"/>
      <c r="G647" s="7"/>
      <c r="H647" s="7"/>
      <c r="I647" s="7"/>
    </row>
    <row r="648">
      <c r="F648" s="7"/>
      <c r="G648" s="7"/>
      <c r="H648" s="7"/>
      <c r="I648" s="7"/>
    </row>
    <row r="649">
      <c r="F649" s="7"/>
      <c r="G649" s="7"/>
      <c r="H649" s="7"/>
      <c r="I649" s="7"/>
    </row>
    <row r="650">
      <c r="F650" s="7"/>
      <c r="G650" s="7"/>
      <c r="H650" s="7"/>
      <c r="I650" s="7"/>
    </row>
    <row r="651">
      <c r="F651" s="7"/>
      <c r="G651" s="7"/>
      <c r="H651" s="7"/>
      <c r="I651" s="7"/>
    </row>
    <row r="652">
      <c r="F652" s="7"/>
      <c r="G652" s="7"/>
      <c r="H652" s="7"/>
      <c r="I652" s="7"/>
    </row>
    <row r="653">
      <c r="F653" s="7"/>
      <c r="G653" s="7"/>
      <c r="H653" s="7"/>
      <c r="I653" s="7"/>
    </row>
    <row r="654">
      <c r="F654" s="7"/>
      <c r="G654" s="7"/>
      <c r="H654" s="7"/>
      <c r="I654" s="7"/>
    </row>
    <row r="655">
      <c r="F655" s="7"/>
      <c r="G655" s="7"/>
      <c r="H655" s="7"/>
      <c r="I655" s="7"/>
    </row>
    <row r="656">
      <c r="F656" s="7"/>
      <c r="G656" s="7"/>
      <c r="H656" s="7"/>
      <c r="I656" s="7"/>
    </row>
    <row r="657">
      <c r="F657" s="7"/>
      <c r="G657" s="7"/>
      <c r="H657" s="7"/>
      <c r="I657" s="7"/>
    </row>
    <row r="658">
      <c r="F658" s="7"/>
      <c r="G658" s="7"/>
      <c r="H658" s="7"/>
      <c r="I658" s="7"/>
    </row>
    <row r="659">
      <c r="F659" s="7"/>
      <c r="G659" s="7"/>
      <c r="H659" s="7"/>
      <c r="I659" s="7"/>
    </row>
    <row r="660">
      <c r="F660" s="7"/>
      <c r="G660" s="7"/>
      <c r="H660" s="7"/>
      <c r="I660" s="7"/>
    </row>
    <row r="661">
      <c r="F661" s="7"/>
      <c r="G661" s="7"/>
      <c r="H661" s="7"/>
      <c r="I661" s="7"/>
    </row>
    <row r="662">
      <c r="F662" s="7"/>
      <c r="G662" s="7"/>
      <c r="H662" s="7"/>
      <c r="I662" s="7"/>
    </row>
    <row r="663">
      <c r="F663" s="7"/>
      <c r="G663" s="7"/>
      <c r="H663" s="7"/>
      <c r="I663" s="7"/>
    </row>
    <row r="664">
      <c r="F664" s="7"/>
      <c r="G664" s="7"/>
      <c r="H664" s="7"/>
      <c r="I664" s="7"/>
    </row>
    <row r="665">
      <c r="F665" s="7"/>
      <c r="G665" s="7"/>
      <c r="H665" s="7"/>
      <c r="I665" s="7"/>
    </row>
    <row r="666">
      <c r="F666" s="7"/>
      <c r="G666" s="7"/>
      <c r="H666" s="7"/>
      <c r="I666" s="7"/>
    </row>
    <row r="667">
      <c r="F667" s="7"/>
      <c r="G667" s="7"/>
      <c r="H667" s="7"/>
      <c r="I667" s="7"/>
    </row>
    <row r="668">
      <c r="F668" s="7"/>
      <c r="G668" s="7"/>
      <c r="H668" s="7"/>
      <c r="I668" s="7"/>
    </row>
    <row r="669">
      <c r="F669" s="7"/>
      <c r="G669" s="7"/>
      <c r="H669" s="7"/>
      <c r="I669" s="7"/>
    </row>
    <row r="670">
      <c r="F670" s="7"/>
      <c r="G670" s="7"/>
      <c r="H670" s="7"/>
      <c r="I670" s="7"/>
    </row>
    <row r="671">
      <c r="F671" s="7"/>
      <c r="G671" s="7"/>
      <c r="H671" s="7"/>
      <c r="I671" s="7"/>
    </row>
    <row r="672">
      <c r="F672" s="7"/>
      <c r="G672" s="7"/>
      <c r="H672" s="7"/>
      <c r="I672" s="7"/>
    </row>
    <row r="673">
      <c r="F673" s="7"/>
      <c r="G673" s="7"/>
      <c r="H673" s="7"/>
      <c r="I673" s="7"/>
    </row>
    <row r="674">
      <c r="F674" s="7"/>
      <c r="G674" s="7"/>
      <c r="H674" s="7"/>
      <c r="I674" s="7"/>
    </row>
    <row r="675">
      <c r="F675" s="7"/>
      <c r="G675" s="7"/>
      <c r="H675" s="7"/>
      <c r="I675" s="7"/>
    </row>
    <row r="676">
      <c r="F676" s="7"/>
      <c r="G676" s="7"/>
      <c r="H676" s="7"/>
      <c r="I676" s="7"/>
    </row>
    <row r="677">
      <c r="F677" s="7"/>
      <c r="G677" s="7"/>
      <c r="H677" s="7"/>
      <c r="I677" s="7"/>
    </row>
    <row r="678">
      <c r="F678" s="7"/>
      <c r="G678" s="7"/>
      <c r="H678" s="7"/>
      <c r="I678" s="7"/>
    </row>
    <row r="679">
      <c r="F679" s="7"/>
      <c r="G679" s="7"/>
      <c r="H679" s="7"/>
      <c r="I679" s="7"/>
    </row>
    <row r="680">
      <c r="F680" s="7"/>
      <c r="G680" s="7"/>
      <c r="H680" s="7"/>
      <c r="I680" s="7"/>
    </row>
    <row r="681">
      <c r="F681" s="7"/>
      <c r="G681" s="7"/>
      <c r="H681" s="7"/>
      <c r="I681" s="7"/>
    </row>
    <row r="682">
      <c r="F682" s="7"/>
      <c r="G682" s="7"/>
      <c r="H682" s="7"/>
      <c r="I682" s="7"/>
    </row>
    <row r="683">
      <c r="F683" s="7"/>
      <c r="G683" s="7"/>
      <c r="H683" s="7"/>
      <c r="I683" s="7"/>
    </row>
    <row r="684">
      <c r="F684" s="7"/>
      <c r="G684" s="7"/>
      <c r="H684" s="7"/>
      <c r="I684" s="7"/>
    </row>
    <row r="685">
      <c r="F685" s="7"/>
      <c r="G685" s="7"/>
      <c r="H685" s="7"/>
      <c r="I685" s="7"/>
    </row>
    <row r="686">
      <c r="F686" s="7"/>
      <c r="G686" s="7"/>
      <c r="H686" s="7"/>
      <c r="I686" s="7"/>
    </row>
    <row r="687">
      <c r="F687" s="7"/>
      <c r="G687" s="7"/>
      <c r="H687" s="7"/>
      <c r="I687" s="7"/>
    </row>
    <row r="688">
      <c r="F688" s="7"/>
      <c r="G688" s="7"/>
      <c r="H688" s="7"/>
      <c r="I688" s="7"/>
    </row>
    <row r="689">
      <c r="F689" s="7"/>
      <c r="G689" s="7"/>
      <c r="H689" s="7"/>
      <c r="I689" s="7"/>
    </row>
    <row r="690">
      <c r="F690" s="7"/>
      <c r="G690" s="7"/>
      <c r="H690" s="7"/>
      <c r="I690" s="7"/>
    </row>
    <row r="691">
      <c r="F691" s="7"/>
      <c r="G691" s="7"/>
      <c r="H691" s="7"/>
      <c r="I691" s="7"/>
    </row>
    <row r="692">
      <c r="F692" s="7"/>
      <c r="G692" s="7"/>
      <c r="H692" s="7"/>
      <c r="I692" s="7"/>
    </row>
    <row r="693">
      <c r="F693" s="7"/>
      <c r="G693" s="7"/>
      <c r="H693" s="7"/>
      <c r="I693" s="7"/>
    </row>
    <row r="694">
      <c r="F694" s="7"/>
      <c r="G694" s="7"/>
      <c r="H694" s="7"/>
      <c r="I694" s="7"/>
    </row>
    <row r="695">
      <c r="F695" s="7"/>
      <c r="G695" s="7"/>
      <c r="H695" s="7"/>
      <c r="I695" s="7"/>
    </row>
    <row r="696">
      <c r="F696" s="7"/>
      <c r="G696" s="7"/>
      <c r="H696" s="7"/>
      <c r="I696" s="7"/>
    </row>
    <row r="697">
      <c r="F697" s="7"/>
      <c r="G697" s="7"/>
      <c r="H697" s="7"/>
      <c r="I697" s="7"/>
    </row>
    <row r="698">
      <c r="F698" s="7"/>
      <c r="G698" s="7"/>
      <c r="H698" s="7"/>
      <c r="I698" s="7"/>
    </row>
    <row r="699">
      <c r="F699" s="7"/>
      <c r="G699" s="7"/>
      <c r="H699" s="7"/>
      <c r="I699" s="7"/>
    </row>
    <row r="700">
      <c r="F700" s="7"/>
      <c r="G700" s="7"/>
      <c r="H700" s="7"/>
      <c r="I700" s="7"/>
    </row>
    <row r="701">
      <c r="F701" s="7"/>
      <c r="G701" s="7"/>
      <c r="H701" s="7"/>
      <c r="I701" s="7"/>
    </row>
    <row r="702">
      <c r="F702" s="7"/>
      <c r="G702" s="7"/>
      <c r="H702" s="7"/>
      <c r="I702" s="7"/>
    </row>
    <row r="703">
      <c r="F703" s="7"/>
      <c r="G703" s="7"/>
      <c r="H703" s="7"/>
      <c r="I703" s="7"/>
    </row>
    <row r="704">
      <c r="F704" s="7"/>
      <c r="G704" s="7"/>
      <c r="H704" s="7"/>
      <c r="I704" s="7"/>
    </row>
    <row r="705">
      <c r="F705" s="7"/>
      <c r="G705" s="7"/>
      <c r="H705" s="7"/>
      <c r="I705" s="7"/>
    </row>
    <row r="706">
      <c r="F706" s="7"/>
      <c r="G706" s="7"/>
      <c r="H706" s="7"/>
      <c r="I706" s="7"/>
    </row>
    <row r="707">
      <c r="F707" s="7"/>
      <c r="G707" s="7"/>
      <c r="H707" s="7"/>
      <c r="I707" s="7"/>
    </row>
    <row r="708">
      <c r="F708" s="7"/>
      <c r="G708" s="7"/>
      <c r="H708" s="7"/>
      <c r="I708" s="7"/>
    </row>
    <row r="709">
      <c r="F709" s="7"/>
      <c r="G709" s="7"/>
      <c r="H709" s="7"/>
      <c r="I709" s="7"/>
    </row>
    <row r="710">
      <c r="F710" s="7"/>
      <c r="G710" s="7"/>
      <c r="H710" s="7"/>
      <c r="I710" s="7"/>
    </row>
    <row r="711">
      <c r="F711" s="7"/>
      <c r="G711" s="7"/>
      <c r="H711" s="7"/>
      <c r="I711" s="7"/>
    </row>
    <row r="712">
      <c r="F712" s="7"/>
      <c r="G712" s="7"/>
      <c r="H712" s="7"/>
      <c r="I712" s="7"/>
    </row>
    <row r="713">
      <c r="F713" s="7"/>
      <c r="G713" s="7"/>
      <c r="H713" s="7"/>
      <c r="I713" s="7"/>
    </row>
    <row r="714">
      <c r="F714" s="7"/>
      <c r="G714" s="7"/>
      <c r="H714" s="7"/>
      <c r="I714" s="7"/>
    </row>
    <row r="715">
      <c r="F715" s="7"/>
      <c r="G715" s="7"/>
      <c r="H715" s="7"/>
      <c r="I715" s="7"/>
    </row>
    <row r="716">
      <c r="F716" s="7"/>
      <c r="G716" s="7"/>
      <c r="H716" s="7"/>
      <c r="I716" s="7"/>
    </row>
    <row r="717">
      <c r="F717" s="7"/>
      <c r="G717" s="7"/>
      <c r="H717" s="7"/>
      <c r="I717" s="7"/>
    </row>
    <row r="718">
      <c r="F718" s="7"/>
      <c r="G718" s="7"/>
      <c r="H718" s="7"/>
      <c r="I718" s="7"/>
    </row>
    <row r="719">
      <c r="F719" s="7"/>
      <c r="G719" s="7"/>
      <c r="H719" s="7"/>
      <c r="I719" s="7"/>
    </row>
    <row r="720">
      <c r="F720" s="7"/>
      <c r="G720" s="7"/>
      <c r="H720" s="7"/>
      <c r="I720" s="7"/>
    </row>
    <row r="721">
      <c r="F721" s="7"/>
      <c r="G721" s="7"/>
      <c r="H721" s="7"/>
      <c r="I721" s="7"/>
    </row>
    <row r="722">
      <c r="F722" s="7"/>
      <c r="G722" s="7"/>
      <c r="H722" s="7"/>
      <c r="I722" s="7"/>
    </row>
    <row r="723">
      <c r="F723" s="7"/>
      <c r="G723" s="7"/>
      <c r="H723" s="7"/>
      <c r="I723" s="7"/>
    </row>
    <row r="724">
      <c r="F724" s="7"/>
      <c r="G724" s="7"/>
      <c r="H724" s="7"/>
      <c r="I724" s="7"/>
    </row>
    <row r="725">
      <c r="F725" s="7"/>
      <c r="G725" s="7"/>
      <c r="H725" s="7"/>
      <c r="I725" s="7"/>
    </row>
    <row r="726">
      <c r="F726" s="7"/>
      <c r="G726" s="7"/>
      <c r="H726" s="7"/>
      <c r="I726" s="7"/>
    </row>
    <row r="727">
      <c r="F727" s="7"/>
      <c r="G727" s="7"/>
      <c r="H727" s="7"/>
      <c r="I727" s="7"/>
    </row>
    <row r="728">
      <c r="F728" s="7"/>
      <c r="G728" s="7"/>
      <c r="H728" s="7"/>
      <c r="I728" s="7"/>
    </row>
    <row r="729">
      <c r="F729" s="7"/>
      <c r="G729" s="7"/>
      <c r="H729" s="7"/>
      <c r="I729" s="7"/>
    </row>
    <row r="730">
      <c r="F730" s="7"/>
      <c r="G730" s="7"/>
      <c r="H730" s="7"/>
      <c r="I730" s="7"/>
    </row>
    <row r="731">
      <c r="F731" s="7"/>
      <c r="G731" s="7"/>
      <c r="H731" s="7"/>
      <c r="I731" s="7"/>
    </row>
    <row r="732">
      <c r="F732" s="7"/>
      <c r="G732" s="7"/>
      <c r="H732" s="7"/>
      <c r="I732" s="7"/>
    </row>
    <row r="733">
      <c r="F733" s="7"/>
      <c r="G733" s="7"/>
      <c r="H733" s="7"/>
      <c r="I733" s="7"/>
    </row>
    <row r="734">
      <c r="F734" s="7"/>
      <c r="G734" s="7"/>
      <c r="H734" s="7"/>
      <c r="I734" s="7"/>
    </row>
    <row r="735">
      <c r="F735" s="7"/>
      <c r="G735" s="7"/>
      <c r="H735" s="7"/>
      <c r="I735" s="7"/>
    </row>
    <row r="736">
      <c r="F736" s="7"/>
      <c r="G736" s="7"/>
      <c r="H736" s="7"/>
      <c r="I736" s="7"/>
    </row>
    <row r="737">
      <c r="F737" s="7"/>
      <c r="G737" s="7"/>
      <c r="H737" s="7"/>
      <c r="I737" s="7"/>
    </row>
    <row r="738">
      <c r="F738" s="7"/>
      <c r="G738" s="7"/>
      <c r="H738" s="7"/>
      <c r="I738" s="7"/>
    </row>
    <row r="739">
      <c r="F739" s="7"/>
      <c r="G739" s="7"/>
      <c r="H739" s="7"/>
      <c r="I739" s="7"/>
    </row>
    <row r="740">
      <c r="F740" s="7"/>
      <c r="G740" s="7"/>
      <c r="H740" s="7"/>
      <c r="I740" s="7"/>
    </row>
    <row r="741">
      <c r="F741" s="7"/>
      <c r="G741" s="7"/>
      <c r="H741" s="7"/>
      <c r="I741" s="7"/>
    </row>
    <row r="742">
      <c r="F742" s="7"/>
      <c r="G742" s="7"/>
      <c r="H742" s="7"/>
      <c r="I742" s="7"/>
    </row>
    <row r="743">
      <c r="F743" s="7"/>
      <c r="G743" s="7"/>
      <c r="H743" s="7"/>
      <c r="I743" s="7"/>
    </row>
    <row r="744">
      <c r="F744" s="7"/>
      <c r="G744" s="7"/>
      <c r="H744" s="7"/>
      <c r="I744" s="7"/>
    </row>
    <row r="745">
      <c r="F745" s="7"/>
      <c r="G745" s="7"/>
      <c r="H745" s="7"/>
      <c r="I745" s="7"/>
    </row>
    <row r="746">
      <c r="F746" s="7"/>
      <c r="G746" s="7"/>
      <c r="H746" s="7"/>
      <c r="I746" s="7"/>
    </row>
    <row r="747">
      <c r="F747" s="7"/>
      <c r="G747" s="7"/>
      <c r="H747" s="7"/>
      <c r="I747" s="7"/>
    </row>
    <row r="748">
      <c r="F748" s="7"/>
      <c r="G748" s="7"/>
      <c r="H748" s="7"/>
      <c r="I748" s="7"/>
    </row>
    <row r="749">
      <c r="F749" s="7"/>
      <c r="G749" s="7"/>
      <c r="H749" s="7"/>
      <c r="I749" s="7"/>
    </row>
    <row r="750">
      <c r="F750" s="7"/>
      <c r="G750" s="7"/>
      <c r="H750" s="7"/>
      <c r="I750" s="7"/>
    </row>
    <row r="751">
      <c r="F751" s="7"/>
      <c r="G751" s="7"/>
      <c r="H751" s="7"/>
      <c r="I751" s="7"/>
    </row>
    <row r="752">
      <c r="F752" s="7"/>
      <c r="G752" s="7"/>
      <c r="H752" s="7"/>
      <c r="I752" s="7"/>
    </row>
    <row r="753">
      <c r="F753" s="7"/>
      <c r="G753" s="7"/>
      <c r="H753" s="7"/>
      <c r="I753" s="7"/>
    </row>
    <row r="754">
      <c r="F754" s="7"/>
      <c r="G754" s="7"/>
      <c r="H754" s="7"/>
      <c r="I754" s="7"/>
    </row>
    <row r="755">
      <c r="F755" s="7"/>
      <c r="G755" s="7"/>
      <c r="H755" s="7"/>
      <c r="I755" s="7"/>
    </row>
    <row r="756">
      <c r="F756" s="7"/>
      <c r="G756" s="7"/>
      <c r="H756" s="7"/>
      <c r="I756" s="7"/>
    </row>
    <row r="757">
      <c r="F757" s="7"/>
      <c r="G757" s="7"/>
      <c r="H757" s="7"/>
      <c r="I757" s="7"/>
    </row>
    <row r="758">
      <c r="F758" s="7"/>
      <c r="G758" s="7"/>
      <c r="H758" s="7"/>
      <c r="I758" s="7"/>
    </row>
    <row r="759">
      <c r="F759" s="7"/>
      <c r="G759" s="7"/>
      <c r="H759" s="7"/>
      <c r="I759" s="7"/>
    </row>
    <row r="760">
      <c r="F760" s="7"/>
      <c r="G760" s="7"/>
      <c r="H760" s="7"/>
      <c r="I760" s="7"/>
    </row>
    <row r="761">
      <c r="F761" s="7"/>
      <c r="G761" s="7"/>
      <c r="H761" s="7"/>
      <c r="I761" s="7"/>
    </row>
    <row r="762">
      <c r="F762" s="7"/>
      <c r="G762" s="7"/>
      <c r="H762" s="7"/>
      <c r="I762" s="7"/>
    </row>
    <row r="763">
      <c r="F763" s="7"/>
      <c r="G763" s="7"/>
      <c r="H763" s="7"/>
      <c r="I763" s="7"/>
    </row>
    <row r="764">
      <c r="F764" s="7"/>
      <c r="G764" s="7"/>
      <c r="H764" s="7"/>
      <c r="I764" s="7"/>
    </row>
    <row r="765">
      <c r="F765" s="7"/>
      <c r="G765" s="7"/>
      <c r="H765" s="7"/>
      <c r="I765" s="7"/>
    </row>
    <row r="766">
      <c r="F766" s="7"/>
      <c r="G766" s="7"/>
      <c r="H766" s="7"/>
      <c r="I766" s="7"/>
    </row>
    <row r="767">
      <c r="F767" s="7"/>
      <c r="G767" s="7"/>
      <c r="H767" s="7"/>
      <c r="I767" s="7"/>
    </row>
    <row r="768">
      <c r="F768" s="7"/>
      <c r="G768" s="7"/>
      <c r="H768" s="7"/>
      <c r="I768" s="7"/>
    </row>
    <row r="769">
      <c r="F769" s="7"/>
      <c r="G769" s="7"/>
      <c r="H769" s="7"/>
      <c r="I769" s="7"/>
    </row>
    <row r="770">
      <c r="F770" s="7"/>
      <c r="G770" s="7"/>
      <c r="H770" s="7"/>
      <c r="I770" s="7"/>
    </row>
    <row r="771">
      <c r="F771" s="7"/>
      <c r="G771" s="7"/>
      <c r="H771" s="7"/>
      <c r="I771" s="7"/>
    </row>
    <row r="772">
      <c r="F772" s="7"/>
      <c r="G772" s="7"/>
      <c r="H772" s="7"/>
      <c r="I772" s="7"/>
    </row>
    <row r="773">
      <c r="F773" s="7"/>
      <c r="G773" s="7"/>
      <c r="H773" s="7"/>
      <c r="I773" s="7"/>
    </row>
    <row r="774">
      <c r="F774" s="7"/>
      <c r="G774" s="7"/>
      <c r="H774" s="7"/>
      <c r="I774" s="7"/>
    </row>
    <row r="775">
      <c r="F775" s="7"/>
      <c r="G775" s="7"/>
      <c r="H775" s="7"/>
      <c r="I775" s="7"/>
    </row>
    <row r="776">
      <c r="F776" s="7"/>
      <c r="G776" s="7"/>
      <c r="H776" s="7"/>
      <c r="I776" s="7"/>
    </row>
    <row r="777">
      <c r="F777" s="7"/>
      <c r="G777" s="7"/>
      <c r="H777" s="7"/>
      <c r="I777" s="7"/>
    </row>
    <row r="778">
      <c r="F778" s="7"/>
      <c r="G778" s="7"/>
      <c r="H778" s="7"/>
      <c r="I778" s="7"/>
    </row>
    <row r="779">
      <c r="F779" s="7"/>
      <c r="G779" s="7"/>
      <c r="H779" s="7"/>
      <c r="I779" s="7"/>
    </row>
    <row r="780">
      <c r="F780" s="7"/>
      <c r="G780" s="7"/>
      <c r="H780" s="7"/>
      <c r="I780" s="7"/>
    </row>
    <row r="781">
      <c r="F781" s="7"/>
      <c r="G781" s="7"/>
      <c r="H781" s="7"/>
      <c r="I781" s="7"/>
    </row>
    <row r="782">
      <c r="F782" s="7"/>
      <c r="G782" s="7"/>
      <c r="H782" s="7"/>
      <c r="I782" s="7"/>
    </row>
    <row r="783">
      <c r="F783" s="7"/>
      <c r="G783" s="7"/>
      <c r="H783" s="7"/>
      <c r="I783" s="7"/>
    </row>
    <row r="784">
      <c r="F784" s="7"/>
      <c r="G784" s="7"/>
      <c r="H784" s="7"/>
      <c r="I784" s="7"/>
    </row>
    <row r="785">
      <c r="F785" s="7"/>
      <c r="G785" s="7"/>
      <c r="H785" s="7"/>
      <c r="I785" s="7"/>
    </row>
    <row r="786">
      <c r="F786" s="7"/>
      <c r="G786" s="7"/>
      <c r="H786" s="7"/>
      <c r="I786" s="7"/>
    </row>
    <row r="787">
      <c r="F787" s="7"/>
      <c r="G787" s="7"/>
      <c r="H787" s="7"/>
      <c r="I787" s="7"/>
    </row>
    <row r="788">
      <c r="F788" s="7"/>
      <c r="G788" s="7"/>
      <c r="H788" s="7"/>
      <c r="I788" s="7"/>
    </row>
    <row r="789">
      <c r="F789" s="7"/>
      <c r="G789" s="7"/>
      <c r="H789" s="7"/>
      <c r="I789" s="7"/>
    </row>
    <row r="790">
      <c r="F790" s="7"/>
      <c r="G790" s="7"/>
      <c r="H790" s="7"/>
      <c r="I790" s="7"/>
    </row>
    <row r="791">
      <c r="F791" s="7"/>
      <c r="G791" s="7"/>
      <c r="H791" s="7"/>
      <c r="I791" s="7"/>
    </row>
    <row r="792">
      <c r="F792" s="7"/>
      <c r="G792" s="7"/>
      <c r="H792" s="7"/>
      <c r="I792" s="7"/>
    </row>
    <row r="793">
      <c r="F793" s="7"/>
      <c r="G793" s="7"/>
      <c r="H793" s="7"/>
      <c r="I793" s="7"/>
    </row>
    <row r="794">
      <c r="F794" s="7"/>
      <c r="G794" s="7"/>
      <c r="H794" s="7"/>
      <c r="I794" s="7"/>
    </row>
    <row r="795">
      <c r="F795" s="7"/>
      <c r="G795" s="7"/>
      <c r="H795" s="7"/>
      <c r="I795" s="7"/>
    </row>
    <row r="796">
      <c r="F796" s="7"/>
      <c r="G796" s="7"/>
      <c r="H796" s="7"/>
      <c r="I796" s="7"/>
    </row>
    <row r="797">
      <c r="F797" s="7"/>
      <c r="G797" s="7"/>
      <c r="H797" s="7"/>
      <c r="I797" s="7"/>
    </row>
    <row r="798">
      <c r="F798" s="7"/>
      <c r="G798" s="7"/>
      <c r="H798" s="7"/>
      <c r="I798" s="7"/>
    </row>
    <row r="799">
      <c r="F799" s="7"/>
      <c r="G799" s="7"/>
      <c r="H799" s="7"/>
      <c r="I799" s="7"/>
    </row>
    <row r="800">
      <c r="F800" s="7"/>
      <c r="G800" s="7"/>
      <c r="H800" s="7"/>
      <c r="I800" s="7"/>
    </row>
    <row r="801">
      <c r="F801" s="7"/>
      <c r="G801" s="7"/>
      <c r="H801" s="7"/>
      <c r="I801" s="7"/>
    </row>
    <row r="802">
      <c r="F802" s="7"/>
      <c r="G802" s="7"/>
      <c r="H802" s="7"/>
      <c r="I802" s="7"/>
    </row>
    <row r="803">
      <c r="F803" s="7"/>
      <c r="G803" s="7"/>
      <c r="H803" s="7"/>
      <c r="I803" s="7"/>
    </row>
    <row r="804">
      <c r="F804" s="7"/>
      <c r="G804" s="7"/>
      <c r="H804" s="7"/>
      <c r="I804" s="7"/>
    </row>
    <row r="805">
      <c r="F805" s="7"/>
      <c r="G805" s="7"/>
      <c r="H805" s="7"/>
      <c r="I805" s="7"/>
    </row>
    <row r="806">
      <c r="F806" s="7"/>
      <c r="G806" s="7"/>
      <c r="H806" s="7"/>
      <c r="I806" s="7"/>
    </row>
    <row r="807">
      <c r="F807" s="7"/>
      <c r="G807" s="7"/>
      <c r="H807" s="7"/>
      <c r="I807" s="7"/>
    </row>
    <row r="808">
      <c r="F808" s="7"/>
      <c r="G808" s="7"/>
      <c r="H808" s="7"/>
      <c r="I808" s="7"/>
    </row>
    <row r="809">
      <c r="F809" s="7"/>
      <c r="G809" s="7"/>
      <c r="H809" s="7"/>
      <c r="I809" s="7"/>
    </row>
    <row r="810">
      <c r="F810" s="7"/>
      <c r="G810" s="7"/>
      <c r="H810" s="7"/>
      <c r="I810" s="7"/>
    </row>
    <row r="811">
      <c r="F811" s="7"/>
      <c r="G811" s="7"/>
      <c r="H811" s="7"/>
      <c r="I811" s="7"/>
    </row>
    <row r="812">
      <c r="F812" s="7"/>
      <c r="G812" s="7"/>
      <c r="H812" s="7"/>
      <c r="I812" s="7"/>
    </row>
    <row r="813">
      <c r="F813" s="7"/>
      <c r="G813" s="7"/>
      <c r="H813" s="7"/>
      <c r="I813" s="7"/>
    </row>
    <row r="814">
      <c r="F814" s="7"/>
      <c r="G814" s="7"/>
      <c r="H814" s="7"/>
      <c r="I814" s="7"/>
    </row>
    <row r="815">
      <c r="F815" s="7"/>
      <c r="G815" s="7"/>
      <c r="H815" s="7"/>
      <c r="I815" s="7"/>
    </row>
    <row r="816">
      <c r="F816" s="7"/>
      <c r="G816" s="7"/>
      <c r="H816" s="7"/>
      <c r="I816" s="7"/>
    </row>
    <row r="817">
      <c r="F817" s="7"/>
      <c r="G817" s="7"/>
      <c r="H817" s="7"/>
      <c r="I817" s="7"/>
    </row>
    <row r="818">
      <c r="F818" s="7"/>
      <c r="G818" s="7"/>
      <c r="H818" s="7"/>
      <c r="I818" s="7"/>
    </row>
    <row r="819">
      <c r="F819" s="7"/>
      <c r="G819" s="7"/>
      <c r="H819" s="7"/>
      <c r="I819" s="7"/>
    </row>
    <row r="820">
      <c r="F820" s="7"/>
      <c r="G820" s="7"/>
      <c r="H820" s="7"/>
      <c r="I820" s="7"/>
    </row>
    <row r="821">
      <c r="F821" s="7"/>
      <c r="G821" s="7"/>
      <c r="H821" s="7"/>
      <c r="I821" s="7"/>
    </row>
    <row r="822">
      <c r="F822" s="7"/>
      <c r="G822" s="7"/>
      <c r="H822" s="7"/>
      <c r="I822" s="7"/>
    </row>
    <row r="823">
      <c r="F823" s="7"/>
      <c r="G823" s="7"/>
      <c r="H823" s="7"/>
      <c r="I823" s="7"/>
    </row>
    <row r="824">
      <c r="F824" s="7"/>
      <c r="G824" s="7"/>
      <c r="H824" s="7"/>
      <c r="I824" s="7"/>
    </row>
    <row r="825">
      <c r="F825" s="7"/>
      <c r="G825" s="7"/>
      <c r="H825" s="7"/>
      <c r="I825" s="7"/>
    </row>
    <row r="826">
      <c r="F826" s="7"/>
      <c r="G826" s="7"/>
      <c r="H826" s="7"/>
      <c r="I826" s="7"/>
    </row>
    <row r="827">
      <c r="F827" s="7"/>
      <c r="G827" s="7"/>
      <c r="H827" s="7"/>
      <c r="I827" s="7"/>
    </row>
    <row r="828">
      <c r="F828" s="7"/>
      <c r="G828" s="7"/>
      <c r="H828" s="7"/>
      <c r="I828" s="7"/>
    </row>
    <row r="829">
      <c r="F829" s="7"/>
      <c r="G829" s="7"/>
      <c r="H829" s="7"/>
      <c r="I829" s="7"/>
    </row>
    <row r="830">
      <c r="F830" s="7"/>
      <c r="G830" s="7"/>
      <c r="H830" s="7"/>
      <c r="I830" s="7"/>
    </row>
    <row r="831">
      <c r="F831" s="7"/>
      <c r="G831" s="7"/>
      <c r="H831" s="7"/>
      <c r="I831" s="7"/>
    </row>
    <row r="832">
      <c r="F832" s="7"/>
      <c r="G832" s="7"/>
      <c r="H832" s="7"/>
      <c r="I832" s="7"/>
    </row>
    <row r="833">
      <c r="F833" s="7"/>
      <c r="G833" s="7"/>
      <c r="H833" s="7"/>
      <c r="I833" s="7"/>
    </row>
    <row r="834">
      <c r="F834" s="7"/>
      <c r="G834" s="7"/>
      <c r="H834" s="7"/>
      <c r="I834" s="7"/>
    </row>
    <row r="835">
      <c r="F835" s="7"/>
      <c r="G835" s="7"/>
      <c r="H835" s="7"/>
      <c r="I835" s="7"/>
    </row>
    <row r="836">
      <c r="F836" s="7"/>
      <c r="G836" s="7"/>
      <c r="H836" s="7"/>
      <c r="I836" s="7"/>
    </row>
    <row r="837">
      <c r="F837" s="7"/>
      <c r="G837" s="7"/>
      <c r="H837" s="7"/>
      <c r="I837" s="7"/>
    </row>
    <row r="838">
      <c r="F838" s="7"/>
      <c r="G838" s="7"/>
      <c r="H838" s="7"/>
      <c r="I838" s="7"/>
    </row>
    <row r="839">
      <c r="F839" s="7"/>
      <c r="G839" s="7"/>
      <c r="H839" s="7"/>
      <c r="I839" s="7"/>
    </row>
    <row r="840">
      <c r="F840" s="7"/>
      <c r="G840" s="7"/>
      <c r="H840" s="7"/>
      <c r="I840" s="7"/>
    </row>
    <row r="841">
      <c r="F841" s="7"/>
      <c r="G841" s="7"/>
      <c r="H841" s="7"/>
      <c r="I841" s="7"/>
    </row>
    <row r="842">
      <c r="F842" s="7"/>
      <c r="G842" s="7"/>
      <c r="H842" s="7"/>
      <c r="I842" s="7"/>
    </row>
    <row r="843">
      <c r="F843" s="7"/>
      <c r="G843" s="7"/>
      <c r="H843" s="7"/>
      <c r="I843" s="7"/>
    </row>
    <row r="844">
      <c r="F844" s="7"/>
      <c r="G844" s="7"/>
      <c r="H844" s="7"/>
      <c r="I844" s="7"/>
    </row>
    <row r="845">
      <c r="F845" s="7"/>
      <c r="G845" s="7"/>
      <c r="H845" s="7"/>
      <c r="I845" s="7"/>
    </row>
    <row r="846">
      <c r="F846" s="7"/>
      <c r="G846" s="7"/>
      <c r="H846" s="7"/>
      <c r="I846" s="7"/>
    </row>
    <row r="847">
      <c r="F847" s="7"/>
      <c r="G847" s="7"/>
      <c r="H847" s="7"/>
      <c r="I847" s="7"/>
    </row>
    <row r="848">
      <c r="F848" s="7"/>
      <c r="G848" s="7"/>
      <c r="H848" s="7"/>
      <c r="I848" s="7"/>
    </row>
    <row r="849">
      <c r="F849" s="7"/>
      <c r="G849" s="7"/>
      <c r="H849" s="7"/>
      <c r="I849" s="7"/>
    </row>
    <row r="850">
      <c r="F850" s="7"/>
      <c r="G850" s="7"/>
      <c r="H850" s="7"/>
      <c r="I850" s="7"/>
    </row>
    <row r="851">
      <c r="F851" s="7"/>
      <c r="G851" s="7"/>
      <c r="H851" s="7"/>
      <c r="I851" s="7"/>
    </row>
    <row r="852">
      <c r="F852" s="7"/>
      <c r="G852" s="7"/>
      <c r="H852" s="7"/>
      <c r="I852" s="7"/>
    </row>
    <row r="853">
      <c r="F853" s="7"/>
      <c r="G853" s="7"/>
      <c r="H853" s="7"/>
      <c r="I853" s="7"/>
    </row>
    <row r="854">
      <c r="F854" s="7"/>
      <c r="G854" s="7"/>
      <c r="H854" s="7"/>
      <c r="I854" s="7"/>
    </row>
    <row r="855">
      <c r="F855" s="7"/>
      <c r="G855" s="7"/>
      <c r="H855" s="7"/>
      <c r="I855" s="7"/>
    </row>
    <row r="856">
      <c r="F856" s="7"/>
      <c r="G856" s="7"/>
      <c r="H856" s="7"/>
      <c r="I856" s="7"/>
    </row>
    <row r="857">
      <c r="F857" s="7"/>
      <c r="G857" s="7"/>
      <c r="H857" s="7"/>
      <c r="I857" s="7"/>
    </row>
    <row r="858">
      <c r="F858" s="7"/>
      <c r="G858" s="7"/>
      <c r="H858" s="7"/>
      <c r="I858" s="7"/>
    </row>
    <row r="859">
      <c r="F859" s="7"/>
      <c r="G859" s="7"/>
      <c r="H859" s="7"/>
      <c r="I859" s="7"/>
    </row>
    <row r="860">
      <c r="F860" s="7"/>
      <c r="G860" s="7"/>
      <c r="H860" s="7"/>
      <c r="I860" s="7"/>
    </row>
    <row r="861">
      <c r="F861" s="7"/>
      <c r="G861" s="7"/>
      <c r="H861" s="7"/>
      <c r="I861" s="7"/>
    </row>
    <row r="862">
      <c r="F862" s="7"/>
      <c r="G862" s="7"/>
      <c r="H862" s="7"/>
      <c r="I862" s="7"/>
    </row>
    <row r="863">
      <c r="F863" s="7"/>
      <c r="G863" s="7"/>
      <c r="H863" s="7"/>
      <c r="I863" s="7"/>
    </row>
    <row r="864">
      <c r="F864" s="7"/>
      <c r="G864" s="7"/>
      <c r="H864" s="7"/>
      <c r="I864" s="7"/>
    </row>
    <row r="865">
      <c r="F865" s="7"/>
      <c r="G865" s="7"/>
      <c r="H865" s="7"/>
      <c r="I865" s="7"/>
    </row>
    <row r="866">
      <c r="F866" s="7"/>
      <c r="G866" s="7"/>
      <c r="H866" s="7"/>
      <c r="I866" s="7"/>
    </row>
    <row r="867">
      <c r="F867" s="7"/>
      <c r="G867" s="7"/>
      <c r="H867" s="7"/>
      <c r="I867" s="7"/>
    </row>
    <row r="868">
      <c r="F868" s="7"/>
      <c r="G868" s="7"/>
      <c r="H868" s="7"/>
      <c r="I868" s="7"/>
    </row>
    <row r="869">
      <c r="F869" s="7"/>
      <c r="G869" s="7"/>
      <c r="H869" s="7"/>
      <c r="I869" s="7"/>
    </row>
    <row r="870">
      <c r="F870" s="7"/>
      <c r="G870" s="7"/>
      <c r="H870" s="7"/>
      <c r="I870" s="7"/>
    </row>
    <row r="871">
      <c r="F871" s="7"/>
      <c r="G871" s="7"/>
      <c r="H871" s="7"/>
      <c r="I871" s="7"/>
    </row>
    <row r="872">
      <c r="F872" s="7"/>
      <c r="G872" s="7"/>
      <c r="H872" s="7"/>
      <c r="I872" s="7"/>
    </row>
    <row r="873">
      <c r="F873" s="7"/>
      <c r="G873" s="7"/>
      <c r="H873" s="7"/>
      <c r="I873" s="7"/>
    </row>
    <row r="874">
      <c r="F874" s="7"/>
      <c r="G874" s="7"/>
      <c r="H874" s="7"/>
      <c r="I874" s="7"/>
    </row>
    <row r="875">
      <c r="F875" s="7"/>
      <c r="G875" s="7"/>
      <c r="H875" s="7"/>
      <c r="I875" s="7"/>
    </row>
    <row r="876">
      <c r="F876" s="7"/>
      <c r="G876" s="7"/>
      <c r="H876" s="7"/>
      <c r="I876" s="7"/>
    </row>
    <row r="877">
      <c r="F877" s="7"/>
      <c r="G877" s="7"/>
      <c r="H877" s="7"/>
      <c r="I877" s="7"/>
    </row>
    <row r="878">
      <c r="F878" s="7"/>
      <c r="G878" s="7"/>
      <c r="H878" s="7"/>
      <c r="I878" s="7"/>
    </row>
    <row r="879">
      <c r="F879" s="7"/>
      <c r="G879" s="7"/>
      <c r="H879" s="7"/>
      <c r="I879" s="7"/>
    </row>
    <row r="880">
      <c r="F880" s="7"/>
      <c r="G880" s="7"/>
      <c r="H880" s="7"/>
      <c r="I880" s="7"/>
    </row>
    <row r="881">
      <c r="F881" s="7"/>
      <c r="G881" s="7"/>
      <c r="H881" s="7"/>
      <c r="I881" s="7"/>
    </row>
    <row r="882">
      <c r="F882" s="7"/>
      <c r="G882" s="7"/>
      <c r="H882" s="7"/>
      <c r="I882" s="7"/>
    </row>
    <row r="883">
      <c r="F883" s="7"/>
      <c r="G883" s="7"/>
      <c r="H883" s="7"/>
      <c r="I883" s="7"/>
    </row>
    <row r="884">
      <c r="F884" s="7"/>
      <c r="G884" s="7"/>
      <c r="H884" s="7"/>
      <c r="I884" s="7"/>
    </row>
    <row r="885">
      <c r="F885" s="7"/>
      <c r="G885" s="7"/>
      <c r="H885" s="7"/>
      <c r="I885" s="7"/>
    </row>
    <row r="886">
      <c r="F886" s="7"/>
      <c r="G886" s="7"/>
      <c r="H886" s="7"/>
      <c r="I886" s="7"/>
    </row>
    <row r="887">
      <c r="F887" s="7"/>
      <c r="G887" s="7"/>
      <c r="H887" s="7"/>
      <c r="I887" s="7"/>
    </row>
    <row r="888">
      <c r="F888" s="7"/>
      <c r="G888" s="7"/>
      <c r="H888" s="7"/>
      <c r="I888" s="7"/>
    </row>
    <row r="889">
      <c r="F889" s="7"/>
      <c r="G889" s="7"/>
      <c r="H889" s="7"/>
      <c r="I889" s="7"/>
    </row>
    <row r="890">
      <c r="F890" s="7"/>
      <c r="G890" s="7"/>
      <c r="H890" s="7"/>
      <c r="I890" s="7"/>
    </row>
    <row r="891">
      <c r="F891" s="7"/>
      <c r="G891" s="7"/>
      <c r="H891" s="7"/>
      <c r="I891" s="7"/>
    </row>
    <row r="892">
      <c r="F892" s="7"/>
      <c r="G892" s="7"/>
      <c r="H892" s="7"/>
      <c r="I892" s="7"/>
    </row>
    <row r="893">
      <c r="F893" s="7"/>
      <c r="G893" s="7"/>
      <c r="H893" s="7"/>
      <c r="I893" s="7"/>
    </row>
    <row r="894">
      <c r="F894" s="7"/>
      <c r="G894" s="7"/>
      <c r="H894" s="7"/>
      <c r="I894" s="7"/>
    </row>
    <row r="895">
      <c r="F895" s="7"/>
      <c r="G895" s="7"/>
      <c r="H895" s="7"/>
      <c r="I895" s="7"/>
    </row>
    <row r="896">
      <c r="F896" s="7"/>
      <c r="G896" s="7"/>
      <c r="H896" s="7"/>
      <c r="I896" s="7"/>
    </row>
    <row r="897">
      <c r="F897" s="7"/>
      <c r="G897" s="7"/>
      <c r="H897" s="7"/>
      <c r="I897" s="7"/>
    </row>
    <row r="898">
      <c r="F898" s="7"/>
      <c r="G898" s="7"/>
      <c r="H898" s="7"/>
      <c r="I898" s="7"/>
    </row>
    <row r="899">
      <c r="F899" s="7"/>
      <c r="G899" s="7"/>
      <c r="H899" s="7"/>
      <c r="I899" s="7"/>
    </row>
    <row r="900">
      <c r="F900" s="7"/>
      <c r="G900" s="7"/>
      <c r="H900" s="7"/>
      <c r="I900" s="7"/>
    </row>
    <row r="901">
      <c r="F901" s="7"/>
      <c r="G901" s="7"/>
      <c r="H901" s="7"/>
      <c r="I901" s="7"/>
    </row>
    <row r="902">
      <c r="F902" s="7"/>
      <c r="G902" s="7"/>
      <c r="H902" s="7"/>
      <c r="I902" s="7"/>
    </row>
    <row r="903">
      <c r="F903" s="7"/>
      <c r="G903" s="7"/>
      <c r="H903" s="7"/>
      <c r="I903" s="7"/>
    </row>
    <row r="904">
      <c r="F904" s="7"/>
      <c r="G904" s="7"/>
      <c r="H904" s="7"/>
      <c r="I904" s="7"/>
    </row>
    <row r="905">
      <c r="F905" s="7"/>
      <c r="G905" s="7"/>
      <c r="H905" s="7"/>
      <c r="I905" s="7"/>
    </row>
    <row r="906">
      <c r="F906" s="7"/>
      <c r="G906" s="7"/>
      <c r="H906" s="7"/>
      <c r="I906" s="7"/>
    </row>
    <row r="907">
      <c r="F907" s="7"/>
      <c r="G907" s="7"/>
      <c r="H907" s="7"/>
      <c r="I907" s="7"/>
    </row>
    <row r="908">
      <c r="F908" s="7"/>
      <c r="G908" s="7"/>
      <c r="H908" s="7"/>
      <c r="I908" s="7"/>
    </row>
    <row r="909">
      <c r="F909" s="7"/>
      <c r="G909" s="7"/>
      <c r="H909" s="7"/>
      <c r="I909" s="7"/>
    </row>
    <row r="910">
      <c r="F910" s="7"/>
      <c r="G910" s="7"/>
      <c r="H910" s="7"/>
      <c r="I910" s="7"/>
    </row>
    <row r="911">
      <c r="F911" s="7"/>
      <c r="G911" s="7"/>
      <c r="H911" s="7"/>
      <c r="I911" s="7"/>
    </row>
    <row r="912">
      <c r="F912" s="7"/>
      <c r="G912" s="7"/>
      <c r="H912" s="7"/>
      <c r="I912" s="7"/>
    </row>
    <row r="913">
      <c r="F913" s="7"/>
      <c r="G913" s="7"/>
      <c r="H913" s="7"/>
      <c r="I913" s="7"/>
    </row>
    <row r="914">
      <c r="F914" s="7"/>
      <c r="G914" s="7"/>
      <c r="H914" s="7"/>
      <c r="I914" s="7"/>
    </row>
    <row r="915">
      <c r="F915" s="7"/>
      <c r="G915" s="7"/>
      <c r="H915" s="7"/>
      <c r="I915" s="7"/>
    </row>
    <row r="916">
      <c r="F916" s="7"/>
      <c r="G916" s="7"/>
      <c r="H916" s="7"/>
      <c r="I916" s="7"/>
    </row>
    <row r="917">
      <c r="F917" s="7"/>
      <c r="G917" s="7"/>
      <c r="H917" s="7"/>
      <c r="I917" s="7"/>
    </row>
    <row r="918">
      <c r="F918" s="7"/>
      <c r="G918" s="7"/>
      <c r="H918" s="7"/>
      <c r="I918" s="7"/>
    </row>
    <row r="919">
      <c r="F919" s="7"/>
      <c r="G919" s="7"/>
      <c r="H919" s="7"/>
      <c r="I919" s="7"/>
    </row>
    <row r="920">
      <c r="F920" s="7"/>
      <c r="G920" s="7"/>
      <c r="H920" s="7"/>
      <c r="I920" s="7"/>
    </row>
    <row r="921">
      <c r="F921" s="7"/>
      <c r="G921" s="7"/>
      <c r="H921" s="7"/>
      <c r="I921" s="7"/>
    </row>
    <row r="922">
      <c r="F922" s="7"/>
      <c r="G922" s="7"/>
      <c r="H922" s="7"/>
      <c r="I922" s="7"/>
    </row>
    <row r="923">
      <c r="F923" s="7"/>
      <c r="G923" s="7"/>
      <c r="H923" s="7"/>
      <c r="I923" s="7"/>
    </row>
    <row r="924">
      <c r="F924" s="7"/>
      <c r="G924" s="7"/>
      <c r="H924" s="7"/>
      <c r="I924" s="7"/>
    </row>
    <row r="925">
      <c r="F925" s="7"/>
      <c r="G925" s="7"/>
      <c r="H925" s="7"/>
      <c r="I925" s="7"/>
    </row>
    <row r="926">
      <c r="F926" s="7"/>
      <c r="G926" s="7"/>
      <c r="H926" s="7"/>
      <c r="I926" s="7"/>
    </row>
    <row r="927">
      <c r="F927" s="7"/>
      <c r="G927" s="7"/>
      <c r="H927" s="7"/>
      <c r="I927" s="7"/>
    </row>
    <row r="928">
      <c r="F928" s="7"/>
      <c r="G928" s="7"/>
      <c r="H928" s="7"/>
      <c r="I928" s="7"/>
    </row>
    <row r="929">
      <c r="F929" s="7"/>
      <c r="G929" s="7"/>
      <c r="H929" s="7"/>
      <c r="I929" s="7"/>
    </row>
    <row r="930">
      <c r="F930" s="7"/>
      <c r="G930" s="7"/>
      <c r="H930" s="7"/>
      <c r="I930" s="7"/>
    </row>
    <row r="931">
      <c r="F931" s="7"/>
      <c r="G931" s="7"/>
      <c r="H931" s="7"/>
      <c r="I931" s="7"/>
    </row>
    <row r="932">
      <c r="F932" s="7"/>
      <c r="G932" s="7"/>
      <c r="H932" s="7"/>
      <c r="I932" s="7"/>
    </row>
    <row r="933">
      <c r="F933" s="7"/>
      <c r="G933" s="7"/>
      <c r="H933" s="7"/>
      <c r="I933" s="7"/>
    </row>
    <row r="934">
      <c r="F934" s="7"/>
      <c r="G934" s="7"/>
      <c r="H934" s="7"/>
      <c r="I934" s="7"/>
    </row>
    <row r="935">
      <c r="F935" s="7"/>
      <c r="G935" s="7"/>
      <c r="H935" s="7"/>
      <c r="I935" s="7"/>
    </row>
    <row r="936">
      <c r="F936" s="7"/>
      <c r="G936" s="7"/>
      <c r="H936" s="7"/>
      <c r="I936" s="7"/>
    </row>
    <row r="937">
      <c r="F937" s="7"/>
      <c r="G937" s="7"/>
      <c r="H937" s="7"/>
      <c r="I937" s="7"/>
    </row>
    <row r="938">
      <c r="F938" s="7"/>
      <c r="G938" s="7"/>
      <c r="H938" s="7"/>
      <c r="I938" s="7"/>
    </row>
    <row r="939">
      <c r="F939" s="7"/>
      <c r="G939" s="7"/>
      <c r="H939" s="7"/>
      <c r="I939" s="7"/>
    </row>
    <row r="940">
      <c r="F940" s="7"/>
      <c r="G940" s="7"/>
      <c r="H940" s="7"/>
      <c r="I940" s="7"/>
    </row>
    <row r="941">
      <c r="F941" s="7"/>
      <c r="G941" s="7"/>
      <c r="H941" s="7"/>
      <c r="I941" s="7"/>
    </row>
    <row r="942">
      <c r="F942" s="7"/>
      <c r="G942" s="7"/>
      <c r="H942" s="7"/>
      <c r="I942" s="7"/>
    </row>
    <row r="943">
      <c r="F943" s="7"/>
      <c r="G943" s="7"/>
      <c r="H943" s="7"/>
      <c r="I943" s="7"/>
    </row>
    <row r="944">
      <c r="F944" s="7"/>
      <c r="G944" s="7"/>
      <c r="H944" s="7"/>
      <c r="I944" s="7"/>
    </row>
    <row r="945">
      <c r="F945" s="7"/>
      <c r="G945" s="7"/>
      <c r="H945" s="7"/>
      <c r="I945" s="7"/>
    </row>
    <row r="946">
      <c r="F946" s="7"/>
      <c r="G946" s="7"/>
      <c r="H946" s="7"/>
      <c r="I946" s="7"/>
    </row>
    <row r="947">
      <c r="F947" s="7"/>
      <c r="G947" s="7"/>
      <c r="H947" s="7"/>
      <c r="I947" s="7"/>
    </row>
    <row r="948">
      <c r="F948" s="7"/>
      <c r="G948" s="7"/>
      <c r="H948" s="7"/>
      <c r="I948" s="7"/>
    </row>
    <row r="949">
      <c r="F949" s="7"/>
      <c r="G949" s="7"/>
      <c r="H949" s="7"/>
      <c r="I949" s="7"/>
    </row>
    <row r="950">
      <c r="F950" s="7"/>
      <c r="G950" s="7"/>
      <c r="H950" s="7"/>
      <c r="I950" s="7"/>
    </row>
    <row r="951">
      <c r="F951" s="7"/>
      <c r="G951" s="7"/>
      <c r="H951" s="7"/>
      <c r="I951" s="7"/>
    </row>
    <row r="952">
      <c r="F952" s="7"/>
      <c r="G952" s="7"/>
      <c r="H952" s="7"/>
      <c r="I952" s="7"/>
    </row>
    <row r="953">
      <c r="F953" s="7"/>
      <c r="G953" s="7"/>
      <c r="H953" s="7"/>
      <c r="I953" s="7"/>
    </row>
    <row r="954">
      <c r="F954" s="7"/>
      <c r="G954" s="7"/>
      <c r="H954" s="7"/>
      <c r="I954" s="7"/>
    </row>
    <row r="955">
      <c r="F955" s="7"/>
      <c r="G955" s="7"/>
      <c r="H955" s="7"/>
      <c r="I955" s="7"/>
    </row>
    <row r="956">
      <c r="F956" s="7"/>
      <c r="G956" s="7"/>
      <c r="H956" s="7"/>
      <c r="I956" s="7"/>
    </row>
    <row r="957">
      <c r="F957" s="7"/>
      <c r="G957" s="7"/>
      <c r="H957" s="7"/>
      <c r="I957" s="7"/>
    </row>
    <row r="958">
      <c r="F958" s="7"/>
      <c r="G958" s="7"/>
      <c r="H958" s="7"/>
      <c r="I958" s="7"/>
    </row>
    <row r="959">
      <c r="F959" s="7"/>
      <c r="G959" s="7"/>
      <c r="H959" s="7"/>
      <c r="I959" s="7"/>
    </row>
    <row r="960">
      <c r="F960" s="7"/>
      <c r="G960" s="7"/>
      <c r="H960" s="7"/>
      <c r="I960" s="7"/>
    </row>
    <row r="961">
      <c r="F961" s="7"/>
      <c r="G961" s="7"/>
      <c r="H961" s="7"/>
      <c r="I961" s="7"/>
    </row>
    <row r="962">
      <c r="F962" s="7"/>
      <c r="G962" s="7"/>
      <c r="H962" s="7"/>
      <c r="I962" s="7"/>
    </row>
    <row r="963">
      <c r="F963" s="7"/>
      <c r="G963" s="7"/>
      <c r="H963" s="7"/>
      <c r="I963" s="7"/>
    </row>
    <row r="964">
      <c r="F964" s="7"/>
      <c r="G964" s="7"/>
      <c r="H964" s="7"/>
      <c r="I964" s="7"/>
    </row>
    <row r="965">
      <c r="F965" s="7"/>
      <c r="G965" s="7"/>
      <c r="H965" s="7"/>
      <c r="I965" s="7"/>
    </row>
    <row r="966">
      <c r="F966" s="7"/>
      <c r="G966" s="7"/>
      <c r="H966" s="7"/>
      <c r="I966" s="7"/>
    </row>
    <row r="967">
      <c r="F967" s="7"/>
      <c r="G967" s="7"/>
      <c r="H967" s="7"/>
      <c r="I967" s="7"/>
    </row>
    <row r="968">
      <c r="F968" s="7"/>
      <c r="G968" s="7"/>
      <c r="H968" s="7"/>
      <c r="I968" s="7"/>
    </row>
    <row r="969">
      <c r="F969" s="7"/>
      <c r="G969" s="7"/>
      <c r="H969" s="7"/>
      <c r="I969" s="7"/>
    </row>
    <row r="970">
      <c r="F970" s="7"/>
      <c r="G970" s="7"/>
      <c r="H970" s="7"/>
      <c r="I970" s="7"/>
    </row>
    <row r="971">
      <c r="F971" s="7"/>
      <c r="G971" s="7"/>
      <c r="H971" s="7"/>
      <c r="I971" s="7"/>
    </row>
    <row r="972">
      <c r="F972" s="7"/>
      <c r="G972" s="7"/>
      <c r="H972" s="7"/>
      <c r="I972" s="7"/>
    </row>
    <row r="973">
      <c r="F973" s="7"/>
      <c r="G973" s="7"/>
      <c r="H973" s="7"/>
      <c r="I973" s="7"/>
    </row>
    <row r="974">
      <c r="F974" s="7"/>
      <c r="G974" s="7"/>
      <c r="H974" s="7"/>
      <c r="I974" s="7"/>
    </row>
    <row r="975">
      <c r="F975" s="7"/>
      <c r="G975" s="7"/>
      <c r="H975" s="7"/>
      <c r="I975" s="7"/>
    </row>
    <row r="976">
      <c r="F976" s="7"/>
      <c r="G976" s="7"/>
      <c r="H976" s="7"/>
      <c r="I976" s="7"/>
    </row>
    <row r="977">
      <c r="F977" s="7"/>
      <c r="G977" s="7"/>
      <c r="H977" s="7"/>
      <c r="I977" s="7"/>
    </row>
    <row r="978">
      <c r="F978" s="7"/>
      <c r="G978" s="7"/>
      <c r="H978" s="7"/>
      <c r="I978" s="7"/>
    </row>
    <row r="979">
      <c r="F979" s="7"/>
      <c r="G979" s="7"/>
      <c r="H979" s="7"/>
      <c r="I979" s="7"/>
    </row>
    <row r="980">
      <c r="F980" s="7"/>
      <c r="G980" s="7"/>
      <c r="H980" s="7"/>
      <c r="I980" s="7"/>
    </row>
    <row r="981">
      <c r="F981" s="7"/>
      <c r="G981" s="7"/>
      <c r="H981" s="7"/>
      <c r="I981" s="7"/>
    </row>
    <row r="982">
      <c r="F982" s="7"/>
      <c r="G982" s="7"/>
      <c r="H982" s="7"/>
      <c r="I982" s="7"/>
    </row>
    <row r="983">
      <c r="F983" s="7"/>
      <c r="G983" s="7"/>
      <c r="H983" s="7"/>
      <c r="I983" s="7"/>
    </row>
    <row r="984">
      <c r="F984" s="7"/>
      <c r="G984" s="7"/>
      <c r="H984" s="7"/>
      <c r="I984" s="7"/>
    </row>
    <row r="985">
      <c r="F985" s="7"/>
      <c r="G985" s="7"/>
      <c r="H985" s="7"/>
      <c r="I985" s="7"/>
    </row>
    <row r="986">
      <c r="F986" s="7"/>
      <c r="G986" s="7"/>
      <c r="H986" s="7"/>
      <c r="I986" s="7"/>
    </row>
    <row r="987">
      <c r="F987" s="7"/>
      <c r="G987" s="7"/>
      <c r="H987" s="7"/>
      <c r="I987" s="7"/>
    </row>
    <row r="988">
      <c r="F988" s="7"/>
      <c r="G988" s="7"/>
      <c r="H988" s="7"/>
      <c r="I988" s="7"/>
    </row>
    <row r="989">
      <c r="F989" s="7"/>
      <c r="G989" s="7"/>
      <c r="H989" s="7"/>
      <c r="I989" s="7"/>
    </row>
    <row r="990">
      <c r="F990" s="7"/>
      <c r="G990" s="7"/>
      <c r="H990" s="7"/>
      <c r="I990" s="7"/>
    </row>
    <row r="991">
      <c r="F991" s="7"/>
      <c r="G991" s="7"/>
      <c r="H991" s="7"/>
      <c r="I991" s="7"/>
    </row>
    <row r="992">
      <c r="F992" s="7"/>
      <c r="G992" s="7"/>
      <c r="H992" s="7"/>
      <c r="I992" s="7"/>
    </row>
    <row r="993">
      <c r="F993" s="7"/>
      <c r="G993" s="7"/>
      <c r="H993" s="7"/>
      <c r="I993" s="7"/>
    </row>
    <row r="994">
      <c r="F994" s="7"/>
      <c r="G994" s="7"/>
      <c r="H994" s="7"/>
      <c r="I994" s="7"/>
    </row>
    <row r="995">
      <c r="F995" s="7"/>
      <c r="G995" s="7"/>
      <c r="H995" s="7"/>
      <c r="I995" s="7"/>
    </row>
    <row r="996">
      <c r="F996" s="7"/>
      <c r="G996" s="7"/>
      <c r="H996" s="7"/>
      <c r="I996" s="7"/>
    </row>
    <row r="997">
      <c r="F997" s="7"/>
      <c r="G997" s="7"/>
      <c r="H997" s="7"/>
      <c r="I997" s="7"/>
    </row>
    <row r="998">
      <c r="F998" s="7"/>
      <c r="G998" s="7"/>
      <c r="H998" s="7"/>
      <c r="I998" s="7"/>
    </row>
    <row r="999">
      <c r="F999" s="7"/>
      <c r="G999" s="7"/>
      <c r="H999" s="7"/>
      <c r="I999" s="7"/>
    </row>
    <row r="1000">
      <c r="F1000" s="7"/>
      <c r="G1000" s="7"/>
      <c r="H1000" s="7"/>
      <c r="I1000" s="7"/>
    </row>
  </sheetData>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3.14"/>
  </cols>
  <sheetData>
    <row r="1">
      <c r="A1" s="2" t="s">
        <v>2804</v>
      </c>
      <c r="B1" s="2" t="s">
        <v>2805</v>
      </c>
      <c r="C1" s="7" t="s">
        <v>2806</v>
      </c>
      <c r="D1" s="4" t="s">
        <v>4</v>
      </c>
      <c r="E1" s="1" t="s">
        <v>2807</v>
      </c>
    </row>
    <row r="2">
      <c r="A2" s="8" t="s">
        <v>2808</v>
      </c>
      <c r="B2" s="111">
        <v>45448.0</v>
      </c>
      <c r="C2" s="7">
        <v>230882.0</v>
      </c>
      <c r="D2" s="3">
        <v>1676203.32</v>
      </c>
      <c r="E2" s="1">
        <v>7.26</v>
      </c>
    </row>
    <row r="3">
      <c r="A3" s="8" t="s">
        <v>2809</v>
      </c>
      <c r="B3" s="111">
        <v>45424.0</v>
      </c>
      <c r="C3" s="7">
        <v>298052.0</v>
      </c>
      <c r="D3" s="3">
        <v>1976084.76</v>
      </c>
      <c r="E3" s="1">
        <v>6.63</v>
      </c>
    </row>
    <row r="4">
      <c r="A4" s="8" t="s">
        <v>2810</v>
      </c>
      <c r="B4" s="111">
        <v>45400.0</v>
      </c>
      <c r="C4" s="7">
        <v>332681.0</v>
      </c>
      <c r="D4" s="3">
        <v>2258903.99</v>
      </c>
      <c r="E4" s="1">
        <v>6.79</v>
      </c>
    </row>
    <row r="5">
      <c r="A5" s="8" t="s">
        <v>2811</v>
      </c>
      <c r="B5" s="111">
        <v>45375.0</v>
      </c>
      <c r="C5" s="7">
        <v>368289.0</v>
      </c>
      <c r="D5" s="3">
        <v>3450867.9299999997</v>
      </c>
      <c r="E5" s="1">
        <v>9.37</v>
      </c>
    </row>
    <row r="6">
      <c r="A6" s="8" t="s">
        <v>2812</v>
      </c>
      <c r="B6" s="111">
        <v>45351.0</v>
      </c>
      <c r="C6" s="7">
        <v>417664.0</v>
      </c>
      <c r="D6" s="3">
        <v>3449904.64</v>
      </c>
      <c r="E6" s="1">
        <v>8.26</v>
      </c>
    </row>
    <row r="7">
      <c r="A7" s="8" t="s">
        <v>2813</v>
      </c>
      <c r="B7" s="111">
        <v>45327.0</v>
      </c>
      <c r="C7" s="7">
        <v>427318.0</v>
      </c>
      <c r="D7" s="3">
        <v>2875850.14</v>
      </c>
      <c r="E7" s="1">
        <v>6.73</v>
      </c>
    </row>
    <row r="8">
      <c r="A8" s="8" t="s">
        <v>2814</v>
      </c>
      <c r="B8" s="111">
        <v>45303.0</v>
      </c>
      <c r="C8" s="7">
        <v>431795.0</v>
      </c>
      <c r="D8" s="3">
        <v>3264370.1999999997</v>
      </c>
      <c r="E8" s="1">
        <v>7.56</v>
      </c>
    </row>
    <row r="9">
      <c r="A9" s="8" t="s">
        <v>2815</v>
      </c>
      <c r="B9" s="111">
        <v>45279.0</v>
      </c>
      <c r="C9" s="7">
        <v>434424.0</v>
      </c>
      <c r="D9" s="3">
        <v>3097443.12</v>
      </c>
      <c r="E9" s="1">
        <v>7.13</v>
      </c>
    </row>
    <row r="10">
      <c r="A10" s="8" t="s">
        <v>2816</v>
      </c>
      <c r="B10" s="111">
        <v>45255.0</v>
      </c>
      <c r="C10" s="7">
        <v>442718.0</v>
      </c>
      <c r="D10" s="3">
        <v>2359686.94</v>
      </c>
      <c r="E10" s="1">
        <v>5.33</v>
      </c>
    </row>
    <row r="11">
      <c r="A11" s="8" t="s">
        <v>2817</v>
      </c>
      <c r="B11" s="111">
        <v>45231.0</v>
      </c>
      <c r="C11" s="7">
        <v>442282.0</v>
      </c>
      <c r="D11" s="3">
        <v>2091993.86</v>
      </c>
      <c r="E11" s="1">
        <v>4.73</v>
      </c>
    </row>
    <row r="12">
      <c r="A12" s="8" t="s">
        <v>2818</v>
      </c>
      <c r="B12" s="111">
        <v>45207.0</v>
      </c>
      <c r="C12" s="7">
        <v>448198.0</v>
      </c>
      <c r="D12" s="3">
        <v>1801755.9599999997</v>
      </c>
      <c r="E12" s="1">
        <v>4.02</v>
      </c>
    </row>
    <row r="13">
      <c r="A13" s="8" t="s">
        <v>2819</v>
      </c>
      <c r="B13" s="111">
        <v>45183.0</v>
      </c>
      <c r="C13" s="7">
        <v>453478.0</v>
      </c>
      <c r="D13" s="3">
        <v>1841120.68</v>
      </c>
      <c r="E13" s="1">
        <v>4.06</v>
      </c>
    </row>
    <row r="14">
      <c r="A14" s="8" t="s">
        <v>2820</v>
      </c>
      <c r="B14" s="111">
        <v>45159.0</v>
      </c>
      <c r="C14" s="7">
        <v>456100.0</v>
      </c>
      <c r="D14" s="3">
        <v>2020522.9999999998</v>
      </c>
      <c r="E14" s="1">
        <v>4.43</v>
      </c>
    </row>
    <row r="15">
      <c r="A15" s="8" t="s">
        <v>2821</v>
      </c>
      <c r="B15" s="111">
        <v>45135.0</v>
      </c>
      <c r="C15" s="7">
        <v>458006.0</v>
      </c>
      <c r="D15" s="3">
        <v>2390791.32</v>
      </c>
      <c r="E15" s="1">
        <v>5.22</v>
      </c>
    </row>
    <row r="16">
      <c r="A16" s="8" t="s">
        <v>2822</v>
      </c>
      <c r="B16" s="111">
        <v>45111.0</v>
      </c>
      <c r="C16" s="7">
        <v>465232.0</v>
      </c>
      <c r="D16" s="3">
        <v>2488991.1999999997</v>
      </c>
      <c r="E16" s="1">
        <v>5.35</v>
      </c>
    </row>
    <row r="17">
      <c r="A17" s="8" t="s">
        <v>2823</v>
      </c>
      <c r="B17" s="111">
        <v>45086.0</v>
      </c>
      <c r="C17" s="7">
        <v>458022.0</v>
      </c>
      <c r="D17" s="3">
        <v>2280949.56</v>
      </c>
      <c r="E17" s="1">
        <v>4.98</v>
      </c>
    </row>
    <row r="18">
      <c r="C18" s="7"/>
      <c r="D18" s="3"/>
    </row>
    <row r="19">
      <c r="C19" s="7"/>
      <c r="D19" s="3"/>
    </row>
    <row r="20">
      <c r="C20" s="7"/>
      <c r="D20" s="3"/>
    </row>
    <row r="21">
      <c r="C21" s="7"/>
      <c r="D21" s="3"/>
    </row>
    <row r="22">
      <c r="C22" s="7"/>
      <c r="D22" s="3"/>
    </row>
    <row r="23">
      <c r="C23" s="7"/>
      <c r="D23" s="3"/>
    </row>
    <row r="24">
      <c r="C24" s="7"/>
      <c r="D24" s="3"/>
    </row>
    <row r="25">
      <c r="C25" s="7"/>
      <c r="D25" s="3"/>
    </row>
    <row r="26">
      <c r="C26" s="7"/>
      <c r="D26" s="3"/>
    </row>
    <row r="27">
      <c r="C27" s="7"/>
      <c r="D27" s="3"/>
    </row>
    <row r="28">
      <c r="C28" s="7"/>
      <c r="D28" s="3"/>
    </row>
    <row r="29">
      <c r="C29" s="7"/>
      <c r="D29" s="3"/>
    </row>
    <row r="30">
      <c r="C30" s="7"/>
      <c r="D30" s="3"/>
    </row>
    <row r="31">
      <c r="C31" s="7"/>
      <c r="D31" s="3"/>
    </row>
    <row r="32">
      <c r="C32" s="7"/>
      <c r="D32" s="3"/>
    </row>
    <row r="33">
      <c r="C33" s="7"/>
      <c r="D33" s="3"/>
    </row>
    <row r="34">
      <c r="C34" s="7"/>
      <c r="D34" s="3"/>
    </row>
    <row r="35">
      <c r="C35" s="7"/>
      <c r="D35" s="3"/>
    </row>
    <row r="36">
      <c r="C36" s="7"/>
      <c r="D36" s="3"/>
    </row>
    <row r="37">
      <c r="C37" s="7"/>
      <c r="D37" s="3"/>
    </row>
    <row r="38">
      <c r="C38" s="7"/>
      <c r="D38" s="3"/>
    </row>
    <row r="39">
      <c r="C39" s="7"/>
      <c r="D39" s="3"/>
    </row>
    <row r="40">
      <c r="C40" s="7"/>
      <c r="D40" s="3"/>
    </row>
    <row r="41">
      <c r="C41" s="7"/>
      <c r="D41" s="3"/>
    </row>
    <row r="42">
      <c r="C42" s="7"/>
      <c r="D42" s="3"/>
    </row>
    <row r="43">
      <c r="C43" s="7"/>
      <c r="D43" s="3"/>
    </row>
    <row r="44">
      <c r="C44" s="7"/>
      <c r="D44" s="3"/>
    </row>
    <row r="45">
      <c r="C45" s="7"/>
      <c r="D45" s="3"/>
    </row>
    <row r="46">
      <c r="C46" s="7"/>
      <c r="D46" s="3"/>
    </row>
    <row r="47">
      <c r="C47" s="7"/>
      <c r="D47" s="3"/>
    </row>
    <row r="48">
      <c r="C48" s="7"/>
      <c r="D48" s="3"/>
    </row>
    <row r="49">
      <c r="C49" s="7"/>
      <c r="D49" s="3"/>
    </row>
    <row r="50">
      <c r="C50" s="7"/>
      <c r="D50" s="3"/>
    </row>
    <row r="51">
      <c r="C51" s="7"/>
      <c r="D51" s="3"/>
    </row>
    <row r="52">
      <c r="C52" s="7"/>
      <c r="D52" s="3"/>
    </row>
    <row r="53">
      <c r="C53" s="7"/>
      <c r="D53" s="3"/>
    </row>
    <row r="54">
      <c r="C54" s="7"/>
      <c r="D54" s="3"/>
    </row>
    <row r="55">
      <c r="C55" s="7"/>
      <c r="D55" s="3"/>
    </row>
    <row r="56">
      <c r="C56" s="7"/>
      <c r="D56" s="3"/>
    </row>
    <row r="57">
      <c r="C57" s="7"/>
      <c r="D57" s="3"/>
    </row>
    <row r="58">
      <c r="C58" s="7"/>
      <c r="D58" s="3"/>
    </row>
    <row r="59">
      <c r="C59" s="7"/>
      <c r="D59" s="3"/>
    </row>
    <row r="60">
      <c r="C60" s="7"/>
      <c r="D60" s="3"/>
    </row>
    <row r="61">
      <c r="C61" s="7"/>
      <c r="D61" s="3"/>
    </row>
    <row r="62">
      <c r="C62" s="7"/>
      <c r="D62" s="3"/>
    </row>
    <row r="63">
      <c r="C63" s="7"/>
      <c r="D63" s="3"/>
    </row>
    <row r="64">
      <c r="C64" s="7"/>
      <c r="D64" s="3"/>
    </row>
    <row r="65">
      <c r="C65" s="7"/>
      <c r="D65" s="3"/>
    </row>
    <row r="66">
      <c r="C66" s="7"/>
      <c r="D66" s="3"/>
    </row>
    <row r="67">
      <c r="C67" s="7"/>
      <c r="D67" s="3"/>
    </row>
    <row r="68">
      <c r="C68" s="7"/>
      <c r="D68" s="3"/>
    </row>
    <row r="69">
      <c r="C69" s="7"/>
      <c r="D69" s="3"/>
    </row>
    <row r="70">
      <c r="C70" s="7"/>
      <c r="D70" s="3"/>
    </row>
    <row r="71">
      <c r="C71" s="7"/>
      <c r="D71" s="3"/>
    </row>
    <row r="72">
      <c r="C72" s="7"/>
      <c r="D72" s="3"/>
    </row>
    <row r="73">
      <c r="C73" s="7"/>
      <c r="D73" s="3"/>
    </row>
    <row r="74">
      <c r="C74" s="7"/>
      <c r="D74" s="3"/>
    </row>
    <row r="75">
      <c r="C75" s="7"/>
      <c r="D75" s="3"/>
    </row>
    <row r="76">
      <c r="C76" s="7"/>
      <c r="D76" s="3"/>
    </row>
    <row r="77">
      <c r="C77" s="7"/>
      <c r="D77" s="3"/>
    </row>
    <row r="78">
      <c r="C78" s="7"/>
      <c r="D78" s="3"/>
    </row>
    <row r="79">
      <c r="C79" s="7"/>
      <c r="D79" s="3"/>
    </row>
    <row r="80">
      <c r="C80" s="7"/>
      <c r="D80" s="3"/>
    </row>
    <row r="81">
      <c r="C81" s="7"/>
      <c r="D81" s="3"/>
    </row>
    <row r="82">
      <c r="C82" s="7"/>
      <c r="D82" s="3"/>
    </row>
    <row r="83">
      <c r="C83" s="7"/>
      <c r="D83" s="3"/>
    </row>
    <row r="84">
      <c r="C84" s="7"/>
      <c r="D84" s="3"/>
    </row>
    <row r="85">
      <c r="C85" s="7"/>
      <c r="D85" s="3"/>
    </row>
    <row r="86">
      <c r="C86" s="7"/>
      <c r="D86" s="3"/>
    </row>
    <row r="87">
      <c r="C87" s="7"/>
      <c r="D87" s="3"/>
    </row>
    <row r="88">
      <c r="C88" s="7"/>
      <c r="D88" s="3"/>
    </row>
    <row r="89">
      <c r="C89" s="7"/>
      <c r="D89" s="3"/>
    </row>
    <row r="90">
      <c r="C90" s="7"/>
      <c r="D90" s="3"/>
    </row>
    <row r="91">
      <c r="C91" s="7"/>
      <c r="D91" s="3"/>
    </row>
    <row r="92">
      <c r="C92" s="7"/>
      <c r="D92" s="3"/>
    </row>
    <row r="93">
      <c r="C93" s="7"/>
      <c r="D93" s="3"/>
    </row>
    <row r="94">
      <c r="C94" s="7"/>
      <c r="D94" s="3"/>
    </row>
    <row r="95">
      <c r="C95" s="7"/>
      <c r="D95" s="3"/>
    </row>
    <row r="96">
      <c r="C96" s="7"/>
      <c r="D96" s="3"/>
    </row>
    <row r="97">
      <c r="C97" s="7"/>
      <c r="D97" s="3"/>
    </row>
    <row r="98">
      <c r="C98" s="7"/>
      <c r="D98" s="3"/>
    </row>
    <row r="99">
      <c r="C99" s="7"/>
      <c r="D99" s="3"/>
    </row>
    <row r="100">
      <c r="C100" s="7"/>
      <c r="D100" s="3"/>
    </row>
    <row r="101">
      <c r="C101" s="7"/>
      <c r="D101" s="3"/>
    </row>
    <row r="102">
      <c r="C102" s="7"/>
      <c r="D102" s="3"/>
    </row>
    <row r="103">
      <c r="C103" s="7"/>
      <c r="D103" s="3"/>
    </row>
    <row r="104">
      <c r="C104" s="7"/>
      <c r="D104" s="3"/>
    </row>
    <row r="105">
      <c r="C105" s="7"/>
      <c r="D105" s="3"/>
    </row>
    <row r="106">
      <c r="C106" s="7"/>
      <c r="D106" s="3"/>
    </row>
    <row r="107">
      <c r="C107" s="7"/>
      <c r="D107" s="3"/>
    </row>
    <row r="108">
      <c r="C108" s="7"/>
      <c r="D108" s="3"/>
    </row>
    <row r="109">
      <c r="C109" s="7"/>
      <c r="D109" s="3"/>
    </row>
    <row r="110">
      <c r="C110" s="7"/>
      <c r="D110" s="3"/>
    </row>
    <row r="111">
      <c r="C111" s="7"/>
      <c r="D111" s="3"/>
    </row>
    <row r="112">
      <c r="C112" s="7"/>
      <c r="D112" s="3"/>
    </row>
    <row r="113">
      <c r="C113" s="7"/>
      <c r="D113" s="3"/>
    </row>
    <row r="114">
      <c r="C114" s="7"/>
      <c r="D114" s="3"/>
    </row>
    <row r="115">
      <c r="C115" s="7"/>
      <c r="D115" s="3"/>
    </row>
    <row r="116">
      <c r="C116" s="7"/>
      <c r="D116" s="3"/>
    </row>
    <row r="117">
      <c r="C117" s="7"/>
      <c r="D117" s="3"/>
    </row>
    <row r="118">
      <c r="C118" s="7"/>
      <c r="D118" s="3"/>
    </row>
    <row r="119">
      <c r="C119" s="7"/>
      <c r="D119" s="3"/>
    </row>
    <row r="120">
      <c r="C120" s="7"/>
      <c r="D120" s="3"/>
    </row>
    <row r="121">
      <c r="C121" s="7"/>
      <c r="D121" s="3"/>
    </row>
    <row r="122">
      <c r="C122" s="7"/>
      <c r="D122" s="3"/>
    </row>
    <row r="123">
      <c r="C123" s="7"/>
      <c r="D123" s="3"/>
    </row>
    <row r="124">
      <c r="C124" s="7"/>
      <c r="D124" s="3"/>
    </row>
    <row r="125">
      <c r="C125" s="7"/>
      <c r="D125" s="3"/>
    </row>
    <row r="126">
      <c r="C126" s="7"/>
      <c r="D126" s="3"/>
    </row>
    <row r="127">
      <c r="C127" s="7"/>
      <c r="D127" s="3"/>
    </row>
    <row r="128">
      <c r="C128" s="7"/>
      <c r="D128" s="3"/>
    </row>
    <row r="129">
      <c r="C129" s="7"/>
      <c r="D129" s="3"/>
    </row>
    <row r="130">
      <c r="C130" s="7"/>
      <c r="D130" s="3"/>
    </row>
    <row r="131">
      <c r="C131" s="7"/>
      <c r="D131" s="3"/>
    </row>
    <row r="132">
      <c r="C132" s="7"/>
      <c r="D132" s="3"/>
    </row>
    <row r="133">
      <c r="C133" s="7"/>
      <c r="D133" s="3"/>
    </row>
    <row r="134">
      <c r="C134" s="7"/>
      <c r="D134" s="3"/>
    </row>
    <row r="135">
      <c r="C135" s="7"/>
      <c r="D135" s="3"/>
    </row>
    <row r="136">
      <c r="C136" s="7"/>
      <c r="D136" s="3"/>
    </row>
    <row r="137">
      <c r="C137" s="7"/>
      <c r="D137" s="3"/>
    </row>
    <row r="138">
      <c r="C138" s="7"/>
      <c r="D138" s="3"/>
    </row>
    <row r="139">
      <c r="C139" s="7"/>
      <c r="D139" s="3"/>
    </row>
    <row r="140">
      <c r="C140" s="7"/>
      <c r="D140" s="3"/>
    </row>
    <row r="141">
      <c r="C141" s="7"/>
      <c r="D141" s="3"/>
    </row>
    <row r="142">
      <c r="C142" s="7"/>
      <c r="D142" s="3"/>
    </row>
    <row r="143">
      <c r="C143" s="7"/>
      <c r="D143" s="3"/>
    </row>
    <row r="144">
      <c r="C144" s="7"/>
      <c r="D144" s="3"/>
    </row>
    <row r="145">
      <c r="C145" s="7"/>
      <c r="D145" s="3"/>
    </row>
    <row r="146">
      <c r="C146" s="7"/>
      <c r="D146" s="3"/>
    </row>
    <row r="147">
      <c r="C147" s="7"/>
      <c r="D147" s="3"/>
    </row>
    <row r="148">
      <c r="C148" s="7"/>
      <c r="D148" s="3"/>
    </row>
    <row r="149">
      <c r="C149" s="7"/>
      <c r="D149" s="3"/>
    </row>
    <row r="150">
      <c r="C150" s="7"/>
      <c r="D150" s="3"/>
    </row>
    <row r="151">
      <c r="C151" s="7"/>
      <c r="D151" s="3"/>
    </row>
    <row r="152">
      <c r="C152" s="7"/>
      <c r="D152" s="3"/>
    </row>
    <row r="153">
      <c r="C153" s="7"/>
      <c r="D153" s="3"/>
    </row>
    <row r="154">
      <c r="C154" s="7"/>
      <c r="D154" s="3"/>
    </row>
    <row r="155">
      <c r="C155" s="7"/>
      <c r="D155" s="3"/>
    </row>
    <row r="156">
      <c r="C156" s="7"/>
      <c r="D156" s="3"/>
    </row>
    <row r="157">
      <c r="C157" s="7"/>
      <c r="D157" s="3"/>
    </row>
    <row r="158">
      <c r="C158" s="7"/>
      <c r="D158" s="3"/>
    </row>
    <row r="159">
      <c r="C159" s="7"/>
      <c r="D159" s="3"/>
    </row>
    <row r="160">
      <c r="C160" s="7"/>
      <c r="D160" s="3"/>
    </row>
    <row r="161">
      <c r="C161" s="7"/>
      <c r="D161" s="3"/>
    </row>
    <row r="162">
      <c r="C162" s="7"/>
      <c r="D162" s="3"/>
    </row>
    <row r="163">
      <c r="C163" s="7"/>
      <c r="D163" s="3"/>
    </row>
    <row r="164">
      <c r="C164" s="7"/>
      <c r="D164" s="3"/>
    </row>
    <row r="165">
      <c r="C165" s="7"/>
      <c r="D165" s="3"/>
    </row>
    <row r="166">
      <c r="C166" s="7"/>
      <c r="D166" s="3"/>
    </row>
    <row r="167">
      <c r="C167" s="7"/>
      <c r="D167" s="3"/>
    </row>
    <row r="168">
      <c r="C168" s="7"/>
      <c r="D168" s="3"/>
    </row>
    <row r="169">
      <c r="C169" s="7"/>
      <c r="D169" s="3"/>
    </row>
    <row r="170">
      <c r="C170" s="7"/>
      <c r="D170" s="3"/>
    </row>
    <row r="171">
      <c r="C171" s="7"/>
      <c r="D171" s="3"/>
    </row>
    <row r="172">
      <c r="C172" s="7"/>
      <c r="D172" s="3"/>
    </row>
    <row r="173">
      <c r="C173" s="7"/>
      <c r="D173" s="3"/>
    </row>
    <row r="174">
      <c r="C174" s="7"/>
      <c r="D174" s="3"/>
    </row>
    <row r="175">
      <c r="C175" s="7"/>
      <c r="D175" s="3"/>
    </row>
    <row r="176">
      <c r="C176" s="7"/>
      <c r="D176" s="3"/>
    </row>
    <row r="177">
      <c r="C177" s="7"/>
      <c r="D177" s="3"/>
    </row>
    <row r="178">
      <c r="C178" s="7"/>
      <c r="D178" s="3"/>
    </row>
    <row r="179">
      <c r="C179" s="7"/>
      <c r="D179" s="3"/>
    </row>
    <row r="180">
      <c r="C180" s="7"/>
      <c r="D180" s="3"/>
    </row>
    <row r="181">
      <c r="C181" s="7"/>
      <c r="D181" s="3"/>
    </row>
    <row r="182">
      <c r="C182" s="7"/>
      <c r="D182" s="3"/>
    </row>
    <row r="183">
      <c r="C183" s="7"/>
      <c r="D183" s="3"/>
    </row>
    <row r="184">
      <c r="C184" s="7"/>
      <c r="D184" s="3"/>
    </row>
    <row r="185">
      <c r="C185" s="7"/>
      <c r="D185" s="3"/>
    </row>
    <row r="186">
      <c r="C186" s="7"/>
      <c r="D186" s="3"/>
    </row>
    <row r="187">
      <c r="C187" s="7"/>
      <c r="D187" s="3"/>
    </row>
    <row r="188">
      <c r="C188" s="7"/>
      <c r="D188" s="3"/>
    </row>
    <row r="189">
      <c r="C189" s="7"/>
      <c r="D189" s="3"/>
    </row>
    <row r="190">
      <c r="C190" s="7"/>
      <c r="D190" s="3"/>
    </row>
    <row r="191">
      <c r="C191" s="7"/>
      <c r="D191" s="3"/>
    </row>
    <row r="192">
      <c r="C192" s="7"/>
      <c r="D192" s="3"/>
    </row>
    <row r="193">
      <c r="C193" s="7"/>
      <c r="D193" s="3"/>
    </row>
    <row r="194">
      <c r="C194" s="7"/>
      <c r="D194" s="3"/>
    </row>
    <row r="195">
      <c r="C195" s="7"/>
      <c r="D195" s="3"/>
    </row>
    <row r="196">
      <c r="C196" s="7"/>
      <c r="D196" s="3"/>
    </row>
    <row r="197">
      <c r="C197" s="7"/>
      <c r="D197" s="3"/>
    </row>
    <row r="198">
      <c r="C198" s="7"/>
      <c r="D198" s="3"/>
    </row>
    <row r="199">
      <c r="C199" s="7"/>
      <c r="D199" s="3"/>
    </row>
    <row r="200">
      <c r="C200" s="7"/>
      <c r="D200" s="3"/>
    </row>
    <row r="201">
      <c r="C201" s="7"/>
      <c r="D201" s="3"/>
    </row>
    <row r="202">
      <c r="C202" s="7"/>
      <c r="D202" s="3"/>
    </row>
    <row r="203">
      <c r="C203" s="7"/>
      <c r="D203" s="3"/>
    </row>
    <row r="204">
      <c r="C204" s="7"/>
      <c r="D204" s="3"/>
    </row>
    <row r="205">
      <c r="C205" s="7"/>
      <c r="D205" s="3"/>
    </row>
    <row r="206">
      <c r="C206" s="7"/>
      <c r="D206" s="3"/>
    </row>
    <row r="207">
      <c r="C207" s="7"/>
      <c r="D207" s="3"/>
    </row>
    <row r="208">
      <c r="C208" s="7"/>
      <c r="D208" s="3"/>
    </row>
    <row r="209">
      <c r="C209" s="7"/>
      <c r="D209" s="3"/>
    </row>
    <row r="210">
      <c r="C210" s="7"/>
      <c r="D210" s="3"/>
    </row>
    <row r="211">
      <c r="C211" s="7"/>
      <c r="D211" s="3"/>
    </row>
    <row r="212">
      <c r="C212" s="7"/>
      <c r="D212" s="3"/>
    </row>
    <row r="213">
      <c r="C213" s="7"/>
      <c r="D213" s="3"/>
    </row>
    <row r="214">
      <c r="C214" s="7"/>
      <c r="D214" s="3"/>
    </row>
    <row r="215">
      <c r="C215" s="7"/>
      <c r="D215" s="3"/>
    </row>
    <row r="216">
      <c r="C216" s="7"/>
      <c r="D216" s="3"/>
    </row>
    <row r="217">
      <c r="C217" s="7"/>
      <c r="D217" s="3"/>
    </row>
    <row r="218">
      <c r="C218" s="7"/>
      <c r="D218" s="3"/>
    </row>
    <row r="219">
      <c r="C219" s="7"/>
      <c r="D219" s="3"/>
    </row>
    <row r="220">
      <c r="C220" s="7"/>
      <c r="D220" s="3"/>
    </row>
    <row r="221">
      <c r="C221" s="7"/>
      <c r="D221" s="3"/>
    </row>
    <row r="222">
      <c r="C222" s="7"/>
      <c r="D222" s="3"/>
    </row>
    <row r="223">
      <c r="C223" s="7"/>
      <c r="D223" s="3"/>
    </row>
    <row r="224">
      <c r="C224" s="7"/>
      <c r="D224" s="3"/>
    </row>
    <row r="225">
      <c r="C225" s="7"/>
      <c r="D225" s="3"/>
    </row>
    <row r="226">
      <c r="C226" s="7"/>
      <c r="D226" s="3"/>
    </row>
    <row r="227">
      <c r="C227" s="7"/>
      <c r="D227" s="3"/>
    </row>
    <row r="228">
      <c r="C228" s="7"/>
      <c r="D228" s="3"/>
    </row>
    <row r="229">
      <c r="C229" s="7"/>
      <c r="D229" s="3"/>
    </row>
    <row r="230">
      <c r="C230" s="7"/>
      <c r="D230" s="3"/>
    </row>
    <row r="231">
      <c r="C231" s="7"/>
      <c r="D231" s="3"/>
    </row>
    <row r="232">
      <c r="C232" s="7"/>
      <c r="D232" s="3"/>
    </row>
    <row r="233">
      <c r="C233" s="7"/>
      <c r="D233" s="3"/>
    </row>
    <row r="234">
      <c r="C234" s="7"/>
      <c r="D234" s="3"/>
    </row>
    <row r="235">
      <c r="C235" s="7"/>
      <c r="D235" s="3"/>
    </row>
    <row r="236">
      <c r="C236" s="7"/>
      <c r="D236" s="3"/>
    </row>
    <row r="237">
      <c r="C237" s="7"/>
      <c r="D237" s="3"/>
    </row>
    <row r="238">
      <c r="C238" s="7"/>
      <c r="D238" s="3"/>
    </row>
    <row r="239">
      <c r="C239" s="7"/>
      <c r="D239" s="3"/>
    </row>
    <row r="240">
      <c r="C240" s="7"/>
      <c r="D240" s="3"/>
    </row>
    <row r="241">
      <c r="C241" s="7"/>
      <c r="D241" s="3"/>
    </row>
    <row r="242">
      <c r="C242" s="7"/>
      <c r="D242" s="3"/>
    </row>
    <row r="243">
      <c r="C243" s="7"/>
      <c r="D243" s="3"/>
    </row>
    <row r="244">
      <c r="C244" s="7"/>
      <c r="D244" s="3"/>
    </row>
    <row r="245">
      <c r="C245" s="7"/>
      <c r="D245" s="3"/>
    </row>
    <row r="246">
      <c r="C246" s="7"/>
      <c r="D246" s="3"/>
    </row>
    <row r="247">
      <c r="C247" s="7"/>
      <c r="D247" s="3"/>
    </row>
    <row r="248">
      <c r="C248" s="7"/>
      <c r="D248" s="3"/>
    </row>
    <row r="249">
      <c r="C249" s="7"/>
      <c r="D249" s="3"/>
    </row>
    <row r="250">
      <c r="C250" s="7"/>
      <c r="D250" s="3"/>
    </row>
    <row r="251">
      <c r="C251" s="7"/>
      <c r="D251" s="3"/>
    </row>
    <row r="252">
      <c r="C252" s="7"/>
      <c r="D252" s="3"/>
    </row>
    <row r="253">
      <c r="C253" s="7"/>
      <c r="D253" s="3"/>
    </row>
    <row r="254">
      <c r="C254" s="7"/>
      <c r="D254" s="3"/>
    </row>
    <row r="255">
      <c r="C255" s="7"/>
      <c r="D255" s="3"/>
    </row>
    <row r="256">
      <c r="C256" s="7"/>
      <c r="D256" s="3"/>
    </row>
    <row r="257">
      <c r="C257" s="7"/>
      <c r="D257" s="3"/>
    </row>
    <row r="258">
      <c r="C258" s="7"/>
      <c r="D258" s="3"/>
    </row>
    <row r="259">
      <c r="C259" s="7"/>
      <c r="D259" s="3"/>
    </row>
    <row r="260">
      <c r="C260" s="7"/>
      <c r="D260" s="3"/>
    </row>
    <row r="261">
      <c r="C261" s="7"/>
      <c r="D261" s="3"/>
    </row>
    <row r="262">
      <c r="C262" s="7"/>
      <c r="D262" s="3"/>
    </row>
    <row r="263">
      <c r="C263" s="7"/>
      <c r="D263" s="3"/>
    </row>
    <row r="264">
      <c r="C264" s="7"/>
      <c r="D264" s="3"/>
    </row>
    <row r="265">
      <c r="C265" s="7"/>
      <c r="D265" s="3"/>
    </row>
    <row r="266">
      <c r="C266" s="7"/>
      <c r="D266" s="3"/>
    </row>
    <row r="267">
      <c r="C267" s="7"/>
      <c r="D267" s="3"/>
    </row>
    <row r="268">
      <c r="C268" s="7"/>
      <c r="D268" s="3"/>
    </row>
    <row r="269">
      <c r="C269" s="7"/>
      <c r="D269" s="3"/>
    </row>
    <row r="270">
      <c r="C270" s="7"/>
      <c r="D270" s="3"/>
    </row>
    <row r="271">
      <c r="C271" s="7"/>
      <c r="D271" s="3"/>
    </row>
    <row r="272">
      <c r="C272" s="7"/>
      <c r="D272" s="3"/>
    </row>
    <row r="273">
      <c r="C273" s="7"/>
      <c r="D273" s="3"/>
    </row>
    <row r="274">
      <c r="C274" s="7"/>
      <c r="D274" s="3"/>
    </row>
    <row r="275">
      <c r="C275" s="7"/>
      <c r="D275" s="3"/>
    </row>
    <row r="276">
      <c r="C276" s="7"/>
      <c r="D276" s="3"/>
    </row>
    <row r="277">
      <c r="C277" s="7"/>
      <c r="D277" s="3"/>
    </row>
    <row r="278">
      <c r="C278" s="7"/>
      <c r="D278" s="3"/>
    </row>
    <row r="279">
      <c r="C279" s="7"/>
      <c r="D279" s="3"/>
    </row>
    <row r="280">
      <c r="C280" s="7"/>
      <c r="D280" s="3"/>
    </row>
    <row r="281">
      <c r="C281" s="7"/>
      <c r="D281" s="3"/>
    </row>
    <row r="282">
      <c r="C282" s="7"/>
      <c r="D282" s="3"/>
    </row>
    <row r="283">
      <c r="C283" s="7"/>
      <c r="D283" s="3"/>
    </row>
    <row r="284">
      <c r="C284" s="7"/>
      <c r="D284" s="3"/>
    </row>
    <row r="285">
      <c r="C285" s="7"/>
      <c r="D285" s="3"/>
    </row>
    <row r="286">
      <c r="C286" s="7"/>
      <c r="D286" s="3"/>
    </row>
    <row r="287">
      <c r="C287" s="7"/>
      <c r="D287" s="3"/>
    </row>
    <row r="288">
      <c r="C288" s="7"/>
      <c r="D288" s="3"/>
    </row>
    <row r="289">
      <c r="C289" s="7"/>
      <c r="D289" s="3"/>
    </row>
    <row r="290">
      <c r="C290" s="7"/>
      <c r="D290" s="3"/>
    </row>
    <row r="291">
      <c r="C291" s="7"/>
      <c r="D291" s="3"/>
    </row>
    <row r="292">
      <c r="C292" s="7"/>
      <c r="D292" s="3"/>
    </row>
    <row r="293">
      <c r="C293" s="7"/>
      <c r="D293" s="3"/>
    </row>
    <row r="294">
      <c r="C294" s="7"/>
      <c r="D294" s="3"/>
    </row>
    <row r="295">
      <c r="C295" s="7"/>
      <c r="D295" s="3"/>
    </row>
    <row r="296">
      <c r="C296" s="7"/>
      <c r="D296" s="3"/>
    </row>
    <row r="297">
      <c r="C297" s="7"/>
      <c r="D297" s="3"/>
    </row>
    <row r="298">
      <c r="C298" s="7"/>
      <c r="D298" s="3"/>
    </row>
    <row r="299">
      <c r="C299" s="7"/>
      <c r="D299" s="3"/>
    </row>
    <row r="300">
      <c r="C300" s="7"/>
      <c r="D300" s="3"/>
    </row>
    <row r="301">
      <c r="C301" s="7"/>
      <c r="D301" s="3"/>
    </row>
    <row r="302">
      <c r="C302" s="7"/>
      <c r="D302" s="3"/>
    </row>
    <row r="303">
      <c r="C303" s="7"/>
      <c r="D303" s="3"/>
    </row>
    <row r="304">
      <c r="C304" s="7"/>
      <c r="D304" s="3"/>
    </row>
    <row r="305">
      <c r="C305" s="7"/>
      <c r="D305" s="3"/>
    </row>
    <row r="306">
      <c r="C306" s="7"/>
      <c r="D306" s="3"/>
    </row>
    <row r="307">
      <c r="C307" s="7"/>
      <c r="D307" s="3"/>
    </row>
    <row r="308">
      <c r="C308" s="7"/>
      <c r="D308" s="3"/>
    </row>
    <row r="309">
      <c r="C309" s="7"/>
      <c r="D309" s="3"/>
    </row>
    <row r="310">
      <c r="C310" s="7"/>
      <c r="D310" s="3"/>
    </row>
    <row r="311">
      <c r="C311" s="7"/>
      <c r="D311" s="3"/>
    </row>
    <row r="312">
      <c r="C312" s="7"/>
      <c r="D312" s="3"/>
    </row>
    <row r="313">
      <c r="C313" s="7"/>
      <c r="D313" s="3"/>
    </row>
    <row r="314">
      <c r="C314" s="7"/>
      <c r="D314" s="3"/>
    </row>
    <row r="315">
      <c r="C315" s="7"/>
      <c r="D315" s="3"/>
    </row>
    <row r="316">
      <c r="C316" s="7"/>
      <c r="D316" s="3"/>
    </row>
    <row r="317">
      <c r="C317" s="7"/>
      <c r="D317" s="3"/>
    </row>
    <row r="318">
      <c r="C318" s="7"/>
      <c r="D318" s="3"/>
    </row>
    <row r="319">
      <c r="C319" s="7"/>
      <c r="D319" s="3"/>
    </row>
    <row r="320">
      <c r="C320" s="7"/>
      <c r="D320" s="3"/>
    </row>
    <row r="321">
      <c r="C321" s="7"/>
      <c r="D321" s="3"/>
    </row>
    <row r="322">
      <c r="C322" s="7"/>
      <c r="D322" s="3"/>
    </row>
    <row r="323">
      <c r="C323" s="7"/>
      <c r="D323" s="3"/>
    </row>
    <row r="324">
      <c r="C324" s="7"/>
      <c r="D324" s="3"/>
    </row>
    <row r="325">
      <c r="C325" s="7"/>
      <c r="D325" s="3"/>
    </row>
    <row r="326">
      <c r="C326" s="7"/>
      <c r="D326" s="3"/>
    </row>
    <row r="327">
      <c r="C327" s="7"/>
      <c r="D327" s="3"/>
    </row>
    <row r="328">
      <c r="C328" s="7"/>
      <c r="D328" s="3"/>
    </row>
    <row r="329">
      <c r="C329" s="7"/>
      <c r="D329" s="3"/>
    </row>
    <row r="330">
      <c r="C330" s="7"/>
      <c r="D330" s="3"/>
    </row>
    <row r="331">
      <c r="C331" s="7"/>
      <c r="D331" s="3"/>
    </row>
    <row r="332">
      <c r="C332" s="7"/>
      <c r="D332" s="3"/>
    </row>
    <row r="333">
      <c r="C333" s="7"/>
      <c r="D333" s="3"/>
    </row>
    <row r="334">
      <c r="C334" s="7"/>
      <c r="D334" s="3"/>
    </row>
    <row r="335">
      <c r="C335" s="7"/>
      <c r="D335" s="3"/>
    </row>
    <row r="336">
      <c r="C336" s="7"/>
      <c r="D336" s="3"/>
    </row>
    <row r="337">
      <c r="C337" s="7"/>
      <c r="D337" s="3"/>
    </row>
    <row r="338">
      <c r="C338" s="7"/>
      <c r="D338" s="3"/>
    </row>
    <row r="339">
      <c r="C339" s="7"/>
      <c r="D339" s="3"/>
    </row>
    <row r="340">
      <c r="C340" s="7"/>
      <c r="D340" s="3"/>
    </row>
    <row r="341">
      <c r="C341" s="7"/>
      <c r="D341" s="3"/>
    </row>
    <row r="342">
      <c r="C342" s="7"/>
      <c r="D342" s="3"/>
    </row>
    <row r="343">
      <c r="C343" s="7"/>
      <c r="D343" s="3"/>
    </row>
    <row r="344">
      <c r="C344" s="7"/>
      <c r="D344" s="3"/>
    </row>
    <row r="345">
      <c r="C345" s="7"/>
      <c r="D345" s="3"/>
    </row>
    <row r="346">
      <c r="C346" s="7"/>
      <c r="D346" s="3"/>
    </row>
    <row r="347">
      <c r="C347" s="7"/>
      <c r="D347" s="3"/>
    </row>
    <row r="348">
      <c r="C348" s="7"/>
      <c r="D348" s="3"/>
    </row>
    <row r="349">
      <c r="C349" s="7"/>
      <c r="D349" s="3"/>
    </row>
    <row r="350">
      <c r="C350" s="7"/>
      <c r="D350" s="3"/>
    </row>
    <row r="351">
      <c r="C351" s="7"/>
      <c r="D351" s="3"/>
    </row>
    <row r="352">
      <c r="C352" s="7"/>
      <c r="D352" s="3"/>
    </row>
    <row r="353">
      <c r="C353" s="7"/>
      <c r="D353" s="3"/>
    </row>
    <row r="354">
      <c r="C354" s="7"/>
      <c r="D354" s="3"/>
    </row>
    <row r="355">
      <c r="C355" s="7"/>
      <c r="D355" s="3"/>
    </row>
    <row r="356">
      <c r="C356" s="7"/>
      <c r="D356" s="3"/>
    </row>
    <row r="357">
      <c r="C357" s="7"/>
      <c r="D357" s="3"/>
    </row>
    <row r="358">
      <c r="C358" s="7"/>
      <c r="D358" s="3"/>
    </row>
    <row r="359">
      <c r="C359" s="7"/>
      <c r="D359" s="3"/>
    </row>
    <row r="360">
      <c r="C360" s="7"/>
      <c r="D360" s="3"/>
    </row>
    <row r="361">
      <c r="C361" s="7"/>
      <c r="D361" s="3"/>
    </row>
    <row r="362">
      <c r="C362" s="7"/>
      <c r="D362" s="3"/>
    </row>
    <row r="363">
      <c r="C363" s="7"/>
      <c r="D363" s="3"/>
    </row>
    <row r="364">
      <c r="C364" s="7"/>
      <c r="D364" s="3"/>
    </row>
    <row r="365">
      <c r="C365" s="7"/>
      <c r="D365" s="3"/>
    </row>
    <row r="366">
      <c r="C366" s="7"/>
      <c r="D366" s="3"/>
    </row>
    <row r="367">
      <c r="C367" s="7"/>
      <c r="D367" s="3"/>
    </row>
    <row r="368">
      <c r="C368" s="7"/>
      <c r="D368" s="3"/>
    </row>
    <row r="369">
      <c r="C369" s="7"/>
      <c r="D369" s="3"/>
    </row>
    <row r="370">
      <c r="C370" s="7"/>
      <c r="D370" s="3"/>
    </row>
    <row r="371">
      <c r="C371" s="7"/>
      <c r="D371" s="3"/>
    </row>
    <row r="372">
      <c r="C372" s="7"/>
      <c r="D372" s="3"/>
    </row>
    <row r="373">
      <c r="C373" s="7"/>
      <c r="D373" s="3"/>
    </row>
    <row r="374">
      <c r="C374" s="7"/>
      <c r="D374" s="3"/>
    </row>
    <row r="375">
      <c r="C375" s="7"/>
      <c r="D375" s="3"/>
    </row>
    <row r="376">
      <c r="C376" s="7"/>
      <c r="D376" s="3"/>
    </row>
    <row r="377">
      <c r="C377" s="7"/>
      <c r="D377" s="3"/>
    </row>
    <row r="378">
      <c r="C378" s="7"/>
      <c r="D378" s="3"/>
    </row>
    <row r="379">
      <c r="C379" s="7"/>
      <c r="D379" s="3"/>
    </row>
    <row r="380">
      <c r="C380" s="7"/>
      <c r="D380" s="3"/>
    </row>
    <row r="381">
      <c r="C381" s="7"/>
      <c r="D381" s="3"/>
    </row>
    <row r="382">
      <c r="C382" s="7"/>
      <c r="D382" s="3"/>
    </row>
    <row r="383">
      <c r="C383" s="7"/>
      <c r="D383" s="3"/>
    </row>
    <row r="384">
      <c r="C384" s="7"/>
      <c r="D384" s="3"/>
    </row>
    <row r="385">
      <c r="C385" s="7"/>
      <c r="D385" s="3"/>
    </row>
    <row r="386">
      <c r="C386" s="7"/>
      <c r="D386" s="3"/>
    </row>
    <row r="387">
      <c r="C387" s="7"/>
      <c r="D387" s="3"/>
    </row>
    <row r="388">
      <c r="C388" s="7"/>
      <c r="D388" s="3"/>
    </row>
    <row r="389">
      <c r="C389" s="7"/>
      <c r="D389" s="3"/>
    </row>
    <row r="390">
      <c r="C390" s="7"/>
      <c r="D390" s="3"/>
    </row>
    <row r="391">
      <c r="C391" s="7"/>
      <c r="D391" s="3"/>
    </row>
    <row r="392">
      <c r="C392" s="7"/>
      <c r="D392" s="3"/>
    </row>
    <row r="393">
      <c r="C393" s="7"/>
      <c r="D393" s="3"/>
    </row>
    <row r="394">
      <c r="C394" s="7"/>
      <c r="D394" s="3"/>
    </row>
    <row r="395">
      <c r="C395" s="7"/>
      <c r="D395" s="3"/>
    </row>
    <row r="396">
      <c r="C396" s="7"/>
      <c r="D396" s="3"/>
    </row>
    <row r="397">
      <c r="C397" s="7"/>
      <c r="D397" s="3"/>
    </row>
    <row r="398">
      <c r="C398" s="7"/>
      <c r="D398" s="3"/>
    </row>
    <row r="399">
      <c r="C399" s="7"/>
      <c r="D399" s="3"/>
    </row>
    <row r="400">
      <c r="C400" s="7"/>
      <c r="D400" s="3"/>
    </row>
    <row r="401">
      <c r="C401" s="7"/>
      <c r="D401" s="3"/>
    </row>
    <row r="402">
      <c r="C402" s="7"/>
      <c r="D402" s="3"/>
    </row>
    <row r="403">
      <c r="C403" s="7"/>
      <c r="D403" s="3"/>
    </row>
    <row r="404">
      <c r="C404" s="7"/>
      <c r="D404" s="3"/>
    </row>
    <row r="405">
      <c r="C405" s="7"/>
      <c r="D405" s="3"/>
    </row>
    <row r="406">
      <c r="C406" s="7"/>
      <c r="D406" s="3"/>
    </row>
    <row r="407">
      <c r="C407" s="7"/>
      <c r="D407" s="3"/>
    </row>
    <row r="408">
      <c r="C408" s="7"/>
      <c r="D408" s="3"/>
    </row>
    <row r="409">
      <c r="C409" s="7"/>
      <c r="D409" s="3"/>
    </row>
    <row r="410">
      <c r="C410" s="7"/>
      <c r="D410" s="3"/>
    </row>
    <row r="411">
      <c r="C411" s="7"/>
      <c r="D411" s="3"/>
    </row>
    <row r="412">
      <c r="C412" s="7"/>
      <c r="D412" s="3"/>
    </row>
    <row r="413">
      <c r="C413" s="7"/>
      <c r="D413" s="3"/>
    </row>
    <row r="414">
      <c r="C414" s="7"/>
      <c r="D414" s="3"/>
    </row>
    <row r="415">
      <c r="C415" s="7"/>
      <c r="D415" s="3"/>
    </row>
    <row r="416">
      <c r="C416" s="7"/>
      <c r="D416" s="3"/>
    </row>
    <row r="417">
      <c r="C417" s="7"/>
      <c r="D417" s="3"/>
    </row>
    <row r="418">
      <c r="C418" s="7"/>
      <c r="D418" s="3"/>
    </row>
    <row r="419">
      <c r="C419" s="7"/>
      <c r="D419" s="3"/>
    </row>
    <row r="420">
      <c r="C420" s="7"/>
      <c r="D420" s="3"/>
    </row>
    <row r="421">
      <c r="C421" s="7"/>
      <c r="D421" s="3"/>
    </row>
    <row r="422">
      <c r="C422" s="7"/>
      <c r="D422" s="3"/>
    </row>
    <row r="423">
      <c r="C423" s="7"/>
      <c r="D423" s="3"/>
    </row>
    <row r="424">
      <c r="C424" s="7"/>
      <c r="D424" s="3"/>
    </row>
    <row r="425">
      <c r="C425" s="7"/>
      <c r="D425" s="3"/>
    </row>
    <row r="426">
      <c r="C426" s="7"/>
      <c r="D426" s="3"/>
    </row>
    <row r="427">
      <c r="C427" s="7"/>
      <c r="D427" s="3"/>
    </row>
    <row r="428">
      <c r="C428" s="7"/>
      <c r="D428" s="3"/>
    </row>
    <row r="429">
      <c r="C429" s="7"/>
      <c r="D429" s="3"/>
    </row>
    <row r="430">
      <c r="C430" s="7"/>
      <c r="D430" s="3"/>
    </row>
    <row r="431">
      <c r="C431" s="7"/>
      <c r="D431" s="3"/>
    </row>
    <row r="432">
      <c r="C432" s="7"/>
      <c r="D432" s="3"/>
    </row>
    <row r="433">
      <c r="C433" s="7"/>
      <c r="D433" s="3"/>
    </row>
    <row r="434">
      <c r="C434" s="7"/>
      <c r="D434" s="3"/>
    </row>
    <row r="435">
      <c r="C435" s="7"/>
      <c r="D435" s="3"/>
    </row>
    <row r="436">
      <c r="C436" s="7"/>
      <c r="D436" s="3"/>
    </row>
    <row r="437">
      <c r="C437" s="7"/>
      <c r="D437" s="3"/>
    </row>
    <row r="438">
      <c r="C438" s="7"/>
      <c r="D438" s="3"/>
    </row>
    <row r="439">
      <c r="C439" s="7"/>
      <c r="D439" s="3"/>
    </row>
    <row r="440">
      <c r="C440" s="7"/>
      <c r="D440" s="3"/>
    </row>
    <row r="441">
      <c r="C441" s="7"/>
      <c r="D441" s="3"/>
    </row>
    <row r="442">
      <c r="C442" s="7"/>
      <c r="D442" s="3"/>
    </row>
    <row r="443">
      <c r="C443" s="7"/>
      <c r="D443" s="3"/>
    </row>
    <row r="444">
      <c r="C444" s="7"/>
      <c r="D444" s="3"/>
    </row>
    <row r="445">
      <c r="C445" s="7"/>
      <c r="D445" s="3"/>
    </row>
    <row r="446">
      <c r="C446" s="7"/>
      <c r="D446" s="3"/>
    </row>
    <row r="447">
      <c r="C447" s="7"/>
      <c r="D447" s="3"/>
    </row>
    <row r="448">
      <c r="C448" s="7"/>
      <c r="D448" s="3"/>
    </row>
    <row r="449">
      <c r="C449" s="7"/>
      <c r="D449" s="3"/>
    </row>
    <row r="450">
      <c r="C450" s="7"/>
      <c r="D450" s="3"/>
    </row>
    <row r="451">
      <c r="C451" s="7"/>
      <c r="D451" s="3"/>
    </row>
    <row r="452">
      <c r="C452" s="7"/>
      <c r="D452" s="3"/>
    </row>
    <row r="453">
      <c r="C453" s="7"/>
      <c r="D453" s="3"/>
    </row>
    <row r="454">
      <c r="C454" s="7"/>
      <c r="D454" s="3"/>
    </row>
    <row r="455">
      <c r="C455" s="7"/>
      <c r="D455" s="3"/>
    </row>
    <row r="456">
      <c r="C456" s="7"/>
      <c r="D456" s="3"/>
    </row>
    <row r="457">
      <c r="C457" s="7"/>
      <c r="D457" s="3"/>
    </row>
    <row r="458">
      <c r="C458" s="7"/>
      <c r="D458" s="3"/>
    </row>
    <row r="459">
      <c r="C459" s="7"/>
      <c r="D459" s="3"/>
    </row>
    <row r="460">
      <c r="C460" s="7"/>
      <c r="D460" s="3"/>
    </row>
    <row r="461">
      <c r="C461" s="7"/>
      <c r="D461" s="3"/>
    </row>
    <row r="462">
      <c r="C462" s="7"/>
      <c r="D462" s="3"/>
    </row>
    <row r="463">
      <c r="C463" s="7"/>
      <c r="D463" s="3"/>
    </row>
    <row r="464">
      <c r="C464" s="7"/>
      <c r="D464" s="3"/>
    </row>
    <row r="465">
      <c r="C465" s="7"/>
      <c r="D465" s="3"/>
    </row>
    <row r="466">
      <c r="C466" s="7"/>
      <c r="D466" s="3"/>
    </row>
    <row r="467">
      <c r="C467" s="7"/>
      <c r="D467" s="3"/>
    </row>
    <row r="468">
      <c r="C468" s="7"/>
      <c r="D468" s="3"/>
    </row>
    <row r="469">
      <c r="C469" s="7"/>
      <c r="D469" s="3"/>
    </row>
    <row r="470">
      <c r="C470" s="7"/>
      <c r="D470" s="3"/>
    </row>
    <row r="471">
      <c r="C471" s="7"/>
      <c r="D471" s="3"/>
    </row>
    <row r="472">
      <c r="C472" s="7"/>
      <c r="D472" s="3"/>
    </row>
    <row r="473">
      <c r="C473" s="7"/>
      <c r="D473" s="3"/>
    </row>
    <row r="474">
      <c r="C474" s="7"/>
      <c r="D474" s="3"/>
    </row>
    <row r="475">
      <c r="C475" s="7"/>
      <c r="D475" s="3"/>
    </row>
    <row r="476">
      <c r="C476" s="7"/>
      <c r="D476" s="3"/>
    </row>
    <row r="477">
      <c r="C477" s="7"/>
      <c r="D477" s="3"/>
    </row>
    <row r="478">
      <c r="C478" s="7"/>
      <c r="D478" s="3"/>
    </row>
    <row r="479">
      <c r="C479" s="7"/>
      <c r="D479" s="3"/>
    </row>
    <row r="480">
      <c r="C480" s="7"/>
      <c r="D480" s="3"/>
    </row>
    <row r="481">
      <c r="C481" s="7"/>
      <c r="D481" s="3"/>
    </row>
    <row r="482">
      <c r="C482" s="7"/>
      <c r="D482" s="3"/>
    </row>
    <row r="483">
      <c r="C483" s="7"/>
      <c r="D483" s="3"/>
    </row>
    <row r="484">
      <c r="C484" s="7"/>
      <c r="D484" s="3"/>
    </row>
    <row r="485">
      <c r="C485" s="7"/>
      <c r="D485" s="3"/>
    </row>
    <row r="486">
      <c r="C486" s="7"/>
      <c r="D486" s="3"/>
    </row>
    <row r="487">
      <c r="C487" s="7"/>
      <c r="D487" s="3"/>
    </row>
    <row r="488">
      <c r="C488" s="7"/>
      <c r="D488" s="3"/>
    </row>
    <row r="489">
      <c r="C489" s="7"/>
      <c r="D489" s="3"/>
    </row>
    <row r="490">
      <c r="C490" s="7"/>
      <c r="D490" s="3"/>
    </row>
    <row r="491">
      <c r="C491" s="7"/>
      <c r="D491" s="3"/>
    </row>
    <row r="492">
      <c r="C492" s="7"/>
      <c r="D492" s="3"/>
    </row>
    <row r="493">
      <c r="C493" s="7"/>
      <c r="D493" s="3"/>
    </row>
    <row r="494">
      <c r="C494" s="7"/>
      <c r="D494" s="3"/>
    </row>
    <row r="495">
      <c r="C495" s="7"/>
      <c r="D495" s="3"/>
    </row>
    <row r="496">
      <c r="C496" s="7"/>
      <c r="D496" s="3"/>
    </row>
    <row r="497">
      <c r="C497" s="7"/>
      <c r="D497" s="3"/>
    </row>
    <row r="498">
      <c r="C498" s="7"/>
      <c r="D498" s="3"/>
    </row>
    <row r="499">
      <c r="C499" s="7"/>
      <c r="D499" s="3"/>
    </row>
    <row r="500">
      <c r="C500" s="7"/>
      <c r="D500" s="3"/>
    </row>
    <row r="501">
      <c r="C501" s="7"/>
      <c r="D501" s="3"/>
    </row>
    <row r="502">
      <c r="C502" s="7"/>
      <c r="D502" s="3"/>
    </row>
    <row r="503">
      <c r="C503" s="7"/>
      <c r="D503" s="3"/>
    </row>
    <row r="504">
      <c r="C504" s="7"/>
      <c r="D504" s="3"/>
    </row>
    <row r="505">
      <c r="C505" s="7"/>
      <c r="D505" s="3"/>
    </row>
    <row r="506">
      <c r="C506" s="7"/>
      <c r="D506" s="3"/>
    </row>
    <row r="507">
      <c r="C507" s="7"/>
      <c r="D507" s="3"/>
    </row>
    <row r="508">
      <c r="C508" s="7"/>
      <c r="D508" s="3"/>
    </row>
    <row r="509">
      <c r="C509" s="7"/>
      <c r="D509" s="3"/>
    </row>
    <row r="510">
      <c r="C510" s="7"/>
      <c r="D510" s="3"/>
    </row>
    <row r="511">
      <c r="C511" s="7"/>
      <c r="D511" s="3"/>
    </row>
    <row r="512">
      <c r="C512" s="7"/>
      <c r="D512" s="3"/>
    </row>
    <row r="513">
      <c r="C513" s="7"/>
      <c r="D513" s="3"/>
    </row>
    <row r="514">
      <c r="C514" s="7"/>
      <c r="D514" s="3"/>
    </row>
    <row r="515">
      <c r="C515" s="7"/>
      <c r="D515" s="3"/>
    </row>
    <row r="516">
      <c r="C516" s="7"/>
      <c r="D516" s="3"/>
    </row>
    <row r="517">
      <c r="C517" s="7"/>
      <c r="D517" s="3"/>
    </row>
    <row r="518">
      <c r="C518" s="7"/>
      <c r="D518" s="3"/>
    </row>
    <row r="519">
      <c r="C519" s="7"/>
      <c r="D519" s="3"/>
    </row>
    <row r="520">
      <c r="C520" s="7"/>
      <c r="D520" s="3"/>
    </row>
    <row r="521">
      <c r="C521" s="7"/>
      <c r="D521" s="3"/>
    </row>
    <row r="522">
      <c r="C522" s="7"/>
      <c r="D522" s="3"/>
    </row>
    <row r="523">
      <c r="C523" s="7"/>
      <c r="D523" s="3"/>
    </row>
    <row r="524">
      <c r="C524" s="7"/>
      <c r="D524" s="3"/>
    </row>
    <row r="525">
      <c r="C525" s="7"/>
      <c r="D525" s="3"/>
    </row>
    <row r="526">
      <c r="C526" s="7"/>
      <c r="D526" s="3"/>
    </row>
    <row r="527">
      <c r="C527" s="7"/>
      <c r="D527" s="3"/>
    </row>
    <row r="528">
      <c r="C528" s="7"/>
      <c r="D528" s="3"/>
    </row>
    <row r="529">
      <c r="C529" s="7"/>
      <c r="D529" s="3"/>
    </row>
    <row r="530">
      <c r="C530" s="7"/>
      <c r="D530" s="3"/>
    </row>
    <row r="531">
      <c r="C531" s="7"/>
      <c r="D531" s="3"/>
    </row>
    <row r="532">
      <c r="C532" s="7"/>
      <c r="D532" s="3"/>
    </row>
    <row r="533">
      <c r="C533" s="7"/>
      <c r="D533" s="3"/>
    </row>
    <row r="534">
      <c r="C534" s="7"/>
      <c r="D534" s="3"/>
    </row>
    <row r="535">
      <c r="C535" s="7"/>
      <c r="D535" s="3"/>
    </row>
    <row r="536">
      <c r="C536" s="7"/>
      <c r="D536" s="3"/>
    </row>
    <row r="537">
      <c r="C537" s="7"/>
      <c r="D537" s="3"/>
    </row>
    <row r="538">
      <c r="C538" s="7"/>
      <c r="D538" s="3"/>
    </row>
    <row r="539">
      <c r="C539" s="7"/>
      <c r="D539" s="3"/>
    </row>
    <row r="540">
      <c r="C540" s="7"/>
      <c r="D540" s="3"/>
    </row>
    <row r="541">
      <c r="C541" s="7"/>
      <c r="D541" s="3"/>
    </row>
    <row r="542">
      <c r="C542" s="7"/>
      <c r="D542" s="3"/>
    </row>
    <row r="543">
      <c r="C543" s="7"/>
      <c r="D543" s="3"/>
    </row>
    <row r="544">
      <c r="C544" s="7"/>
      <c r="D544" s="3"/>
    </row>
    <row r="545">
      <c r="C545" s="7"/>
      <c r="D545" s="3"/>
    </row>
    <row r="546">
      <c r="C546" s="7"/>
      <c r="D546" s="3"/>
    </row>
    <row r="547">
      <c r="C547" s="7"/>
      <c r="D547" s="3"/>
    </row>
    <row r="548">
      <c r="C548" s="7"/>
      <c r="D548" s="3"/>
    </row>
    <row r="549">
      <c r="C549" s="7"/>
      <c r="D549" s="3"/>
    </row>
    <row r="550">
      <c r="C550" s="7"/>
      <c r="D550" s="3"/>
    </row>
    <row r="551">
      <c r="C551" s="7"/>
      <c r="D551" s="3"/>
    </row>
    <row r="552">
      <c r="C552" s="7"/>
      <c r="D552" s="3"/>
    </row>
    <row r="553">
      <c r="C553" s="7"/>
      <c r="D553" s="3"/>
    </row>
    <row r="554">
      <c r="C554" s="7"/>
      <c r="D554" s="3"/>
    </row>
    <row r="555">
      <c r="C555" s="7"/>
      <c r="D555" s="3"/>
    </row>
    <row r="556">
      <c r="C556" s="7"/>
      <c r="D556" s="3"/>
    </row>
    <row r="557">
      <c r="C557" s="7"/>
      <c r="D557" s="3"/>
    </row>
    <row r="558">
      <c r="C558" s="7"/>
      <c r="D558" s="3"/>
    </row>
    <row r="559">
      <c r="C559" s="7"/>
      <c r="D559" s="3"/>
    </row>
    <row r="560">
      <c r="C560" s="7"/>
      <c r="D560" s="3"/>
    </row>
    <row r="561">
      <c r="C561" s="7"/>
      <c r="D561" s="3"/>
    </row>
    <row r="562">
      <c r="C562" s="7"/>
      <c r="D562" s="3"/>
    </row>
    <row r="563">
      <c r="C563" s="7"/>
      <c r="D563" s="3"/>
    </row>
    <row r="564">
      <c r="C564" s="7"/>
      <c r="D564" s="3"/>
    </row>
    <row r="565">
      <c r="C565" s="7"/>
      <c r="D565" s="3"/>
    </row>
    <row r="566">
      <c r="C566" s="7"/>
      <c r="D566" s="3"/>
    </row>
    <row r="567">
      <c r="C567" s="7"/>
      <c r="D567" s="3"/>
    </row>
    <row r="568">
      <c r="C568" s="7"/>
      <c r="D568" s="3"/>
    </row>
    <row r="569">
      <c r="C569" s="7"/>
      <c r="D569" s="3"/>
    </row>
    <row r="570">
      <c r="C570" s="7"/>
      <c r="D570" s="3"/>
    </row>
    <row r="571">
      <c r="C571" s="7"/>
      <c r="D571" s="3"/>
    </row>
    <row r="572">
      <c r="C572" s="7"/>
      <c r="D572" s="3"/>
    </row>
    <row r="573">
      <c r="C573" s="7"/>
      <c r="D573" s="3"/>
    </row>
    <row r="574">
      <c r="C574" s="7"/>
      <c r="D574" s="3"/>
    </row>
    <row r="575">
      <c r="C575" s="7"/>
      <c r="D575" s="3"/>
    </row>
    <row r="576">
      <c r="C576" s="7"/>
      <c r="D576" s="3"/>
    </row>
    <row r="577">
      <c r="C577" s="7"/>
      <c r="D577" s="3"/>
    </row>
    <row r="578">
      <c r="C578" s="7"/>
      <c r="D578" s="3"/>
    </row>
    <row r="579">
      <c r="C579" s="7"/>
      <c r="D579" s="3"/>
    </row>
    <row r="580">
      <c r="C580" s="7"/>
      <c r="D580" s="3"/>
    </row>
    <row r="581">
      <c r="C581" s="7"/>
      <c r="D581" s="3"/>
    </row>
    <row r="582">
      <c r="C582" s="7"/>
      <c r="D582" s="3"/>
    </row>
    <row r="583">
      <c r="C583" s="7"/>
      <c r="D583" s="3"/>
    </row>
    <row r="584">
      <c r="C584" s="7"/>
      <c r="D584" s="3"/>
    </row>
    <row r="585">
      <c r="C585" s="7"/>
      <c r="D585" s="3"/>
    </row>
    <row r="586">
      <c r="C586" s="7"/>
      <c r="D586" s="3"/>
    </row>
    <row r="587">
      <c r="C587" s="7"/>
      <c r="D587" s="3"/>
    </row>
    <row r="588">
      <c r="C588" s="7"/>
      <c r="D588" s="3"/>
    </row>
    <row r="589">
      <c r="C589" s="7"/>
      <c r="D589" s="3"/>
    </row>
    <row r="590">
      <c r="C590" s="7"/>
      <c r="D590" s="3"/>
    </row>
    <row r="591">
      <c r="C591" s="7"/>
      <c r="D591" s="3"/>
    </row>
    <row r="592">
      <c r="C592" s="7"/>
      <c r="D592" s="3"/>
    </row>
    <row r="593">
      <c r="C593" s="7"/>
      <c r="D593" s="3"/>
    </row>
    <row r="594">
      <c r="C594" s="7"/>
      <c r="D594" s="3"/>
    </row>
    <row r="595">
      <c r="C595" s="7"/>
      <c r="D595" s="3"/>
    </row>
    <row r="596">
      <c r="C596" s="7"/>
      <c r="D596" s="3"/>
    </row>
    <row r="597">
      <c r="C597" s="7"/>
      <c r="D597" s="3"/>
    </row>
    <row r="598">
      <c r="C598" s="7"/>
      <c r="D598" s="3"/>
    </row>
    <row r="599">
      <c r="C599" s="7"/>
      <c r="D599" s="3"/>
    </row>
    <row r="600">
      <c r="C600" s="7"/>
      <c r="D600" s="3"/>
    </row>
    <row r="601">
      <c r="C601" s="7"/>
      <c r="D601" s="3"/>
    </row>
    <row r="602">
      <c r="C602" s="7"/>
      <c r="D602" s="3"/>
    </row>
    <row r="603">
      <c r="C603" s="7"/>
      <c r="D603" s="3"/>
    </row>
    <row r="604">
      <c r="C604" s="7"/>
      <c r="D604" s="3"/>
    </row>
    <row r="605">
      <c r="C605" s="7"/>
      <c r="D605" s="3"/>
    </row>
    <row r="606">
      <c r="C606" s="7"/>
      <c r="D606" s="3"/>
    </row>
    <row r="607">
      <c r="C607" s="7"/>
      <c r="D607" s="3"/>
    </row>
    <row r="608">
      <c r="C608" s="7"/>
      <c r="D608" s="3"/>
    </row>
    <row r="609">
      <c r="C609" s="7"/>
      <c r="D609" s="3"/>
    </row>
    <row r="610">
      <c r="C610" s="7"/>
      <c r="D610" s="3"/>
    </row>
    <row r="611">
      <c r="C611" s="7"/>
      <c r="D611" s="3"/>
    </row>
    <row r="612">
      <c r="C612" s="7"/>
      <c r="D612" s="3"/>
    </row>
    <row r="613">
      <c r="C613" s="7"/>
      <c r="D613" s="3"/>
    </row>
    <row r="614">
      <c r="C614" s="7"/>
      <c r="D614" s="3"/>
    </row>
    <row r="615">
      <c r="C615" s="7"/>
      <c r="D615" s="3"/>
    </row>
    <row r="616">
      <c r="C616" s="7"/>
      <c r="D616" s="3"/>
    </row>
    <row r="617">
      <c r="C617" s="7"/>
      <c r="D617" s="3"/>
    </row>
    <row r="618">
      <c r="C618" s="7"/>
      <c r="D618" s="3"/>
    </row>
    <row r="619">
      <c r="C619" s="7"/>
      <c r="D619" s="3"/>
    </row>
    <row r="620">
      <c r="C620" s="7"/>
      <c r="D620" s="3"/>
    </row>
    <row r="621">
      <c r="C621" s="7"/>
      <c r="D621" s="3"/>
    </row>
    <row r="622">
      <c r="C622" s="7"/>
      <c r="D622" s="3"/>
    </row>
    <row r="623">
      <c r="C623" s="7"/>
      <c r="D623" s="3"/>
    </row>
    <row r="624">
      <c r="C624" s="7"/>
      <c r="D624" s="3"/>
    </row>
    <row r="625">
      <c r="C625" s="7"/>
      <c r="D625" s="3"/>
    </row>
    <row r="626">
      <c r="C626" s="7"/>
      <c r="D626" s="3"/>
    </row>
    <row r="627">
      <c r="C627" s="7"/>
      <c r="D627" s="3"/>
    </row>
    <row r="628">
      <c r="C628" s="7"/>
      <c r="D628" s="3"/>
    </row>
    <row r="629">
      <c r="C629" s="7"/>
      <c r="D629" s="3"/>
    </row>
    <row r="630">
      <c r="C630" s="7"/>
      <c r="D630" s="3"/>
    </row>
    <row r="631">
      <c r="C631" s="7"/>
      <c r="D631" s="3"/>
    </row>
    <row r="632">
      <c r="C632" s="7"/>
      <c r="D632" s="3"/>
    </row>
    <row r="633">
      <c r="C633" s="7"/>
      <c r="D633" s="3"/>
    </row>
    <row r="634">
      <c r="C634" s="7"/>
      <c r="D634" s="3"/>
    </row>
    <row r="635">
      <c r="C635" s="7"/>
      <c r="D635" s="3"/>
    </row>
    <row r="636">
      <c r="C636" s="7"/>
      <c r="D636" s="3"/>
    </row>
    <row r="637">
      <c r="C637" s="7"/>
      <c r="D637" s="3"/>
    </row>
    <row r="638">
      <c r="C638" s="7"/>
      <c r="D638" s="3"/>
    </row>
    <row r="639">
      <c r="C639" s="7"/>
      <c r="D639" s="3"/>
    </row>
    <row r="640">
      <c r="C640" s="7"/>
      <c r="D640" s="3"/>
    </row>
    <row r="641">
      <c r="C641" s="7"/>
      <c r="D641" s="3"/>
    </row>
    <row r="642">
      <c r="C642" s="7"/>
      <c r="D642" s="3"/>
    </row>
    <row r="643">
      <c r="C643" s="7"/>
      <c r="D643" s="3"/>
    </row>
    <row r="644">
      <c r="C644" s="7"/>
      <c r="D644" s="3"/>
    </row>
    <row r="645">
      <c r="C645" s="7"/>
      <c r="D645" s="3"/>
    </row>
    <row r="646">
      <c r="C646" s="7"/>
      <c r="D646" s="3"/>
    </row>
    <row r="647">
      <c r="C647" s="7"/>
      <c r="D647" s="3"/>
    </row>
    <row r="648">
      <c r="C648" s="7"/>
      <c r="D648" s="3"/>
    </row>
    <row r="649">
      <c r="C649" s="7"/>
      <c r="D649" s="3"/>
    </row>
    <row r="650">
      <c r="C650" s="7"/>
      <c r="D650" s="3"/>
    </row>
    <row r="651">
      <c r="C651" s="7"/>
      <c r="D651" s="3"/>
    </row>
    <row r="652">
      <c r="C652" s="7"/>
      <c r="D652" s="3"/>
    </row>
    <row r="653">
      <c r="C653" s="7"/>
      <c r="D653" s="3"/>
    </row>
    <row r="654">
      <c r="C654" s="7"/>
      <c r="D654" s="3"/>
    </row>
    <row r="655">
      <c r="C655" s="7"/>
      <c r="D655" s="3"/>
    </row>
    <row r="656">
      <c r="C656" s="7"/>
      <c r="D656" s="3"/>
    </row>
    <row r="657">
      <c r="C657" s="7"/>
      <c r="D657" s="3"/>
    </row>
    <row r="658">
      <c r="C658" s="7"/>
      <c r="D658" s="3"/>
    </row>
    <row r="659">
      <c r="C659" s="7"/>
      <c r="D659" s="3"/>
    </row>
    <row r="660">
      <c r="C660" s="7"/>
      <c r="D660" s="3"/>
    </row>
    <row r="661">
      <c r="C661" s="7"/>
      <c r="D661" s="3"/>
    </row>
    <row r="662">
      <c r="C662" s="7"/>
      <c r="D662" s="3"/>
    </row>
    <row r="663">
      <c r="C663" s="7"/>
      <c r="D663" s="3"/>
    </row>
    <row r="664">
      <c r="C664" s="7"/>
      <c r="D664" s="3"/>
    </row>
    <row r="665">
      <c r="C665" s="7"/>
      <c r="D665" s="3"/>
    </row>
    <row r="666">
      <c r="C666" s="7"/>
      <c r="D666" s="3"/>
    </row>
    <row r="667">
      <c r="C667" s="7"/>
      <c r="D667" s="3"/>
    </row>
    <row r="668">
      <c r="C668" s="7"/>
      <c r="D668" s="3"/>
    </row>
    <row r="669">
      <c r="C669" s="7"/>
      <c r="D669" s="3"/>
    </row>
    <row r="670">
      <c r="C670" s="7"/>
      <c r="D670" s="3"/>
    </row>
    <row r="671">
      <c r="C671" s="7"/>
      <c r="D671" s="3"/>
    </row>
    <row r="672">
      <c r="C672" s="7"/>
      <c r="D672" s="3"/>
    </row>
    <row r="673">
      <c r="C673" s="7"/>
      <c r="D673" s="3"/>
    </row>
    <row r="674">
      <c r="C674" s="7"/>
      <c r="D674" s="3"/>
    </row>
    <row r="675">
      <c r="C675" s="7"/>
      <c r="D675" s="3"/>
    </row>
    <row r="676">
      <c r="C676" s="7"/>
      <c r="D676" s="3"/>
    </row>
    <row r="677">
      <c r="C677" s="7"/>
      <c r="D677" s="3"/>
    </row>
    <row r="678">
      <c r="C678" s="7"/>
      <c r="D678" s="3"/>
    </row>
    <row r="679">
      <c r="C679" s="7"/>
      <c r="D679" s="3"/>
    </row>
    <row r="680">
      <c r="C680" s="7"/>
      <c r="D680" s="3"/>
    </row>
    <row r="681">
      <c r="C681" s="7"/>
      <c r="D681" s="3"/>
    </row>
    <row r="682">
      <c r="C682" s="7"/>
      <c r="D682" s="3"/>
    </row>
    <row r="683">
      <c r="C683" s="7"/>
      <c r="D683" s="3"/>
    </row>
    <row r="684">
      <c r="C684" s="7"/>
      <c r="D684" s="3"/>
    </row>
    <row r="685">
      <c r="C685" s="7"/>
      <c r="D685" s="3"/>
    </row>
    <row r="686">
      <c r="C686" s="7"/>
      <c r="D686" s="3"/>
    </row>
    <row r="687">
      <c r="C687" s="7"/>
      <c r="D687" s="3"/>
    </row>
    <row r="688">
      <c r="C688" s="7"/>
      <c r="D688" s="3"/>
    </row>
    <row r="689">
      <c r="C689" s="7"/>
      <c r="D689" s="3"/>
    </row>
    <row r="690">
      <c r="C690" s="7"/>
      <c r="D690" s="3"/>
    </row>
    <row r="691">
      <c r="C691" s="7"/>
      <c r="D691" s="3"/>
    </row>
    <row r="692">
      <c r="C692" s="7"/>
      <c r="D692" s="3"/>
    </row>
    <row r="693">
      <c r="C693" s="7"/>
      <c r="D693" s="3"/>
    </row>
    <row r="694">
      <c r="C694" s="7"/>
      <c r="D694" s="3"/>
    </row>
    <row r="695">
      <c r="C695" s="7"/>
      <c r="D695" s="3"/>
    </row>
    <row r="696">
      <c r="C696" s="7"/>
      <c r="D696" s="3"/>
    </row>
    <row r="697">
      <c r="C697" s="7"/>
      <c r="D697" s="3"/>
    </row>
    <row r="698">
      <c r="C698" s="7"/>
      <c r="D698" s="3"/>
    </row>
    <row r="699">
      <c r="C699" s="7"/>
      <c r="D699" s="3"/>
    </row>
    <row r="700">
      <c r="C700" s="7"/>
      <c r="D700" s="3"/>
    </row>
    <row r="701">
      <c r="C701" s="7"/>
      <c r="D701" s="3"/>
    </row>
    <row r="702">
      <c r="C702" s="7"/>
      <c r="D702" s="3"/>
    </row>
    <row r="703">
      <c r="C703" s="7"/>
      <c r="D703" s="3"/>
    </row>
    <row r="704">
      <c r="C704" s="7"/>
      <c r="D704" s="3"/>
    </row>
    <row r="705">
      <c r="C705" s="7"/>
      <c r="D705" s="3"/>
    </row>
    <row r="706">
      <c r="C706" s="7"/>
      <c r="D706" s="3"/>
    </row>
    <row r="707">
      <c r="C707" s="7"/>
      <c r="D707" s="3"/>
    </row>
    <row r="708">
      <c r="C708" s="7"/>
      <c r="D708" s="3"/>
    </row>
    <row r="709">
      <c r="C709" s="7"/>
      <c r="D709" s="3"/>
    </row>
    <row r="710">
      <c r="C710" s="7"/>
      <c r="D710" s="3"/>
    </row>
    <row r="711">
      <c r="C711" s="7"/>
      <c r="D711" s="3"/>
    </row>
    <row r="712">
      <c r="C712" s="7"/>
      <c r="D712" s="3"/>
    </row>
    <row r="713">
      <c r="C713" s="7"/>
      <c r="D713" s="3"/>
    </row>
    <row r="714">
      <c r="C714" s="7"/>
      <c r="D714" s="3"/>
    </row>
    <row r="715">
      <c r="C715" s="7"/>
      <c r="D715" s="3"/>
    </row>
    <row r="716">
      <c r="C716" s="7"/>
      <c r="D716" s="3"/>
    </row>
    <row r="717">
      <c r="C717" s="7"/>
      <c r="D717" s="3"/>
    </row>
    <row r="718">
      <c r="C718" s="7"/>
      <c r="D718" s="3"/>
    </row>
    <row r="719">
      <c r="C719" s="7"/>
      <c r="D719" s="3"/>
    </row>
    <row r="720">
      <c r="C720" s="7"/>
      <c r="D720" s="3"/>
    </row>
    <row r="721">
      <c r="C721" s="7"/>
      <c r="D721" s="3"/>
    </row>
    <row r="722">
      <c r="C722" s="7"/>
      <c r="D722" s="3"/>
    </row>
    <row r="723">
      <c r="C723" s="7"/>
      <c r="D723" s="3"/>
    </row>
    <row r="724">
      <c r="C724" s="7"/>
      <c r="D724" s="3"/>
    </row>
    <row r="725">
      <c r="C725" s="7"/>
      <c r="D725" s="3"/>
    </row>
    <row r="726">
      <c r="C726" s="7"/>
      <c r="D726" s="3"/>
    </row>
    <row r="727">
      <c r="C727" s="7"/>
      <c r="D727" s="3"/>
    </row>
    <row r="728">
      <c r="C728" s="7"/>
      <c r="D728" s="3"/>
    </row>
    <row r="729">
      <c r="C729" s="7"/>
      <c r="D729" s="3"/>
    </row>
    <row r="730">
      <c r="C730" s="7"/>
      <c r="D730" s="3"/>
    </row>
    <row r="731">
      <c r="C731" s="7"/>
      <c r="D731" s="3"/>
    </row>
    <row r="732">
      <c r="C732" s="7"/>
      <c r="D732" s="3"/>
    </row>
    <row r="733">
      <c r="C733" s="7"/>
      <c r="D733" s="3"/>
    </row>
    <row r="734">
      <c r="C734" s="7"/>
      <c r="D734" s="3"/>
    </row>
    <row r="735">
      <c r="C735" s="7"/>
      <c r="D735" s="3"/>
    </row>
    <row r="736">
      <c r="C736" s="7"/>
      <c r="D736" s="3"/>
    </row>
    <row r="737">
      <c r="C737" s="7"/>
      <c r="D737" s="3"/>
    </row>
    <row r="738">
      <c r="C738" s="7"/>
      <c r="D738" s="3"/>
    </row>
    <row r="739">
      <c r="C739" s="7"/>
      <c r="D739" s="3"/>
    </row>
    <row r="740">
      <c r="C740" s="7"/>
      <c r="D740" s="3"/>
    </row>
    <row r="741">
      <c r="C741" s="7"/>
      <c r="D741" s="3"/>
    </row>
    <row r="742">
      <c r="C742" s="7"/>
      <c r="D742" s="3"/>
    </row>
    <row r="743">
      <c r="C743" s="7"/>
      <c r="D743" s="3"/>
    </row>
    <row r="744">
      <c r="C744" s="7"/>
      <c r="D744" s="3"/>
    </row>
    <row r="745">
      <c r="C745" s="7"/>
      <c r="D745" s="3"/>
    </row>
    <row r="746">
      <c r="C746" s="7"/>
      <c r="D746" s="3"/>
    </row>
    <row r="747">
      <c r="C747" s="7"/>
      <c r="D747" s="3"/>
    </row>
    <row r="748">
      <c r="C748" s="7"/>
      <c r="D748" s="3"/>
    </row>
    <row r="749">
      <c r="C749" s="7"/>
      <c r="D749" s="3"/>
    </row>
    <row r="750">
      <c r="C750" s="7"/>
      <c r="D750" s="3"/>
    </row>
    <row r="751">
      <c r="C751" s="7"/>
      <c r="D751" s="3"/>
    </row>
    <row r="752">
      <c r="C752" s="7"/>
      <c r="D752" s="3"/>
    </row>
    <row r="753">
      <c r="C753" s="7"/>
      <c r="D753" s="3"/>
    </row>
    <row r="754">
      <c r="C754" s="7"/>
      <c r="D754" s="3"/>
    </row>
    <row r="755">
      <c r="C755" s="7"/>
      <c r="D755" s="3"/>
    </row>
    <row r="756">
      <c r="C756" s="7"/>
      <c r="D756" s="3"/>
    </row>
    <row r="757">
      <c r="C757" s="7"/>
      <c r="D757" s="3"/>
    </row>
    <row r="758">
      <c r="C758" s="7"/>
      <c r="D758" s="3"/>
    </row>
    <row r="759">
      <c r="C759" s="7"/>
      <c r="D759" s="3"/>
    </row>
    <row r="760">
      <c r="C760" s="7"/>
      <c r="D760" s="3"/>
    </row>
    <row r="761">
      <c r="C761" s="7"/>
      <c r="D761" s="3"/>
    </row>
    <row r="762">
      <c r="C762" s="7"/>
      <c r="D762" s="3"/>
    </row>
    <row r="763">
      <c r="C763" s="7"/>
      <c r="D763" s="3"/>
    </row>
    <row r="764">
      <c r="C764" s="7"/>
      <c r="D764" s="3"/>
    </row>
    <row r="765">
      <c r="C765" s="7"/>
      <c r="D765" s="3"/>
    </row>
    <row r="766">
      <c r="C766" s="7"/>
      <c r="D766" s="3"/>
    </row>
    <row r="767">
      <c r="C767" s="7"/>
      <c r="D767" s="3"/>
    </row>
    <row r="768">
      <c r="C768" s="7"/>
      <c r="D768" s="3"/>
    </row>
    <row r="769">
      <c r="C769" s="7"/>
      <c r="D769" s="3"/>
    </row>
    <row r="770">
      <c r="C770" s="7"/>
      <c r="D770" s="3"/>
    </row>
    <row r="771">
      <c r="C771" s="7"/>
      <c r="D771" s="3"/>
    </row>
    <row r="772">
      <c r="C772" s="7"/>
      <c r="D772" s="3"/>
    </row>
    <row r="773">
      <c r="C773" s="7"/>
      <c r="D773" s="3"/>
    </row>
    <row r="774">
      <c r="C774" s="7"/>
      <c r="D774" s="3"/>
    </row>
    <row r="775">
      <c r="C775" s="7"/>
      <c r="D775" s="3"/>
    </row>
    <row r="776">
      <c r="C776" s="7"/>
      <c r="D776" s="3"/>
    </row>
    <row r="777">
      <c r="C777" s="7"/>
      <c r="D777" s="3"/>
    </row>
    <row r="778">
      <c r="C778" s="7"/>
      <c r="D778" s="3"/>
    </row>
    <row r="779">
      <c r="C779" s="7"/>
      <c r="D779" s="3"/>
    </row>
    <row r="780">
      <c r="C780" s="7"/>
      <c r="D780" s="3"/>
    </row>
    <row r="781">
      <c r="C781" s="7"/>
      <c r="D781" s="3"/>
    </row>
    <row r="782">
      <c r="C782" s="7"/>
      <c r="D782" s="3"/>
    </row>
    <row r="783">
      <c r="C783" s="7"/>
      <c r="D783" s="3"/>
    </row>
    <row r="784">
      <c r="C784" s="7"/>
      <c r="D784" s="3"/>
    </row>
    <row r="785">
      <c r="C785" s="7"/>
      <c r="D785" s="3"/>
    </row>
    <row r="786">
      <c r="C786" s="7"/>
      <c r="D786" s="3"/>
    </row>
    <row r="787">
      <c r="C787" s="7"/>
      <c r="D787" s="3"/>
    </row>
    <row r="788">
      <c r="C788" s="7"/>
      <c r="D788" s="3"/>
    </row>
    <row r="789">
      <c r="C789" s="7"/>
      <c r="D789" s="3"/>
    </row>
    <row r="790">
      <c r="C790" s="7"/>
      <c r="D790" s="3"/>
    </row>
    <row r="791">
      <c r="C791" s="7"/>
      <c r="D791" s="3"/>
    </row>
    <row r="792">
      <c r="C792" s="7"/>
      <c r="D792" s="3"/>
    </row>
    <row r="793">
      <c r="C793" s="7"/>
      <c r="D793" s="3"/>
    </row>
    <row r="794">
      <c r="C794" s="7"/>
      <c r="D794" s="3"/>
    </row>
    <row r="795">
      <c r="C795" s="7"/>
      <c r="D795" s="3"/>
    </row>
    <row r="796">
      <c r="C796" s="7"/>
      <c r="D796" s="3"/>
    </row>
    <row r="797">
      <c r="C797" s="7"/>
      <c r="D797" s="3"/>
    </row>
    <row r="798">
      <c r="C798" s="7"/>
      <c r="D798" s="3"/>
    </row>
    <row r="799">
      <c r="C799" s="7"/>
      <c r="D799" s="3"/>
    </row>
    <row r="800">
      <c r="C800" s="7"/>
      <c r="D800" s="3"/>
    </row>
    <row r="801">
      <c r="C801" s="7"/>
      <c r="D801" s="3"/>
    </row>
    <row r="802">
      <c r="C802" s="7"/>
      <c r="D802" s="3"/>
    </row>
    <row r="803">
      <c r="C803" s="7"/>
      <c r="D803" s="3"/>
    </row>
    <row r="804">
      <c r="C804" s="7"/>
      <c r="D804" s="3"/>
    </row>
    <row r="805">
      <c r="C805" s="7"/>
      <c r="D805" s="3"/>
    </row>
    <row r="806">
      <c r="C806" s="7"/>
      <c r="D806" s="3"/>
    </row>
    <row r="807">
      <c r="C807" s="7"/>
      <c r="D807" s="3"/>
    </row>
    <row r="808">
      <c r="C808" s="7"/>
      <c r="D808" s="3"/>
    </row>
    <row r="809">
      <c r="C809" s="7"/>
      <c r="D809" s="3"/>
    </row>
    <row r="810">
      <c r="C810" s="7"/>
      <c r="D810" s="3"/>
    </row>
    <row r="811">
      <c r="C811" s="7"/>
      <c r="D811" s="3"/>
    </row>
    <row r="812">
      <c r="C812" s="7"/>
      <c r="D812" s="3"/>
    </row>
    <row r="813">
      <c r="C813" s="7"/>
      <c r="D813" s="3"/>
    </row>
    <row r="814">
      <c r="C814" s="7"/>
      <c r="D814" s="3"/>
    </row>
    <row r="815">
      <c r="C815" s="7"/>
      <c r="D815" s="3"/>
    </row>
    <row r="816">
      <c r="C816" s="7"/>
      <c r="D816" s="3"/>
    </row>
    <row r="817">
      <c r="C817" s="7"/>
      <c r="D817" s="3"/>
    </row>
    <row r="818">
      <c r="C818" s="7"/>
      <c r="D818" s="3"/>
    </row>
    <row r="819">
      <c r="C819" s="7"/>
      <c r="D819" s="3"/>
    </row>
    <row r="820">
      <c r="C820" s="7"/>
      <c r="D820" s="3"/>
    </row>
    <row r="821">
      <c r="C821" s="7"/>
      <c r="D821" s="3"/>
    </row>
    <row r="822">
      <c r="C822" s="7"/>
      <c r="D822" s="3"/>
    </row>
    <row r="823">
      <c r="C823" s="7"/>
      <c r="D823" s="3"/>
    </row>
    <row r="824">
      <c r="C824" s="7"/>
      <c r="D824" s="3"/>
    </row>
    <row r="825">
      <c r="C825" s="7"/>
      <c r="D825" s="3"/>
    </row>
    <row r="826">
      <c r="C826" s="7"/>
      <c r="D826" s="3"/>
    </row>
    <row r="827">
      <c r="C827" s="7"/>
      <c r="D827" s="3"/>
    </row>
    <row r="828">
      <c r="C828" s="7"/>
      <c r="D828" s="3"/>
    </row>
    <row r="829">
      <c r="C829" s="7"/>
      <c r="D829" s="3"/>
    </row>
    <row r="830">
      <c r="C830" s="7"/>
      <c r="D830" s="3"/>
    </row>
    <row r="831">
      <c r="C831" s="7"/>
      <c r="D831" s="3"/>
    </row>
    <row r="832">
      <c r="C832" s="7"/>
      <c r="D832" s="3"/>
    </row>
    <row r="833">
      <c r="C833" s="7"/>
      <c r="D833" s="3"/>
    </row>
    <row r="834">
      <c r="C834" s="7"/>
      <c r="D834" s="3"/>
    </row>
    <row r="835">
      <c r="C835" s="7"/>
      <c r="D835" s="3"/>
    </row>
    <row r="836">
      <c r="C836" s="7"/>
      <c r="D836" s="3"/>
    </row>
    <row r="837">
      <c r="C837" s="7"/>
      <c r="D837" s="3"/>
    </row>
    <row r="838">
      <c r="C838" s="7"/>
      <c r="D838" s="3"/>
    </row>
    <row r="839">
      <c r="C839" s="7"/>
      <c r="D839" s="3"/>
    </row>
    <row r="840">
      <c r="C840" s="7"/>
      <c r="D840" s="3"/>
    </row>
    <row r="841">
      <c r="C841" s="7"/>
      <c r="D841" s="3"/>
    </row>
    <row r="842">
      <c r="C842" s="7"/>
      <c r="D842" s="3"/>
    </row>
    <row r="843">
      <c r="C843" s="7"/>
      <c r="D843" s="3"/>
    </row>
    <row r="844">
      <c r="C844" s="7"/>
      <c r="D844" s="3"/>
    </row>
    <row r="845">
      <c r="C845" s="7"/>
      <c r="D845" s="3"/>
    </row>
    <row r="846">
      <c r="C846" s="7"/>
      <c r="D846" s="3"/>
    </row>
    <row r="847">
      <c r="C847" s="7"/>
      <c r="D847" s="3"/>
    </row>
    <row r="848">
      <c r="C848" s="7"/>
      <c r="D848" s="3"/>
    </row>
    <row r="849">
      <c r="C849" s="7"/>
      <c r="D849" s="3"/>
    </row>
    <row r="850">
      <c r="C850" s="7"/>
      <c r="D850" s="3"/>
    </row>
    <row r="851">
      <c r="C851" s="7"/>
      <c r="D851" s="3"/>
    </row>
    <row r="852">
      <c r="C852" s="7"/>
      <c r="D852" s="3"/>
    </row>
    <row r="853">
      <c r="C853" s="7"/>
      <c r="D853" s="3"/>
    </row>
    <row r="854">
      <c r="C854" s="7"/>
      <c r="D854" s="3"/>
    </row>
    <row r="855">
      <c r="C855" s="7"/>
      <c r="D855" s="3"/>
    </row>
    <row r="856">
      <c r="C856" s="7"/>
      <c r="D856" s="3"/>
    </row>
    <row r="857">
      <c r="C857" s="7"/>
      <c r="D857" s="3"/>
    </row>
    <row r="858">
      <c r="C858" s="7"/>
      <c r="D858" s="3"/>
    </row>
    <row r="859">
      <c r="C859" s="7"/>
      <c r="D859" s="3"/>
    </row>
    <row r="860">
      <c r="C860" s="7"/>
      <c r="D860" s="3"/>
    </row>
    <row r="861">
      <c r="C861" s="7"/>
      <c r="D861" s="3"/>
    </row>
    <row r="862">
      <c r="C862" s="7"/>
      <c r="D862" s="3"/>
    </row>
    <row r="863">
      <c r="C863" s="7"/>
      <c r="D863" s="3"/>
    </row>
    <row r="864">
      <c r="C864" s="7"/>
      <c r="D864" s="3"/>
    </row>
    <row r="865">
      <c r="C865" s="7"/>
      <c r="D865" s="3"/>
    </row>
    <row r="866">
      <c r="C866" s="7"/>
      <c r="D866" s="3"/>
    </row>
    <row r="867">
      <c r="C867" s="7"/>
      <c r="D867" s="3"/>
    </row>
    <row r="868">
      <c r="C868" s="7"/>
      <c r="D868" s="3"/>
    </row>
    <row r="869">
      <c r="C869" s="7"/>
      <c r="D869" s="3"/>
    </row>
    <row r="870">
      <c r="C870" s="7"/>
      <c r="D870" s="3"/>
    </row>
    <row r="871">
      <c r="C871" s="7"/>
      <c r="D871" s="3"/>
    </row>
    <row r="872">
      <c r="C872" s="7"/>
      <c r="D872" s="3"/>
    </row>
    <row r="873">
      <c r="C873" s="7"/>
      <c r="D873" s="3"/>
    </row>
    <row r="874">
      <c r="C874" s="7"/>
      <c r="D874" s="3"/>
    </row>
    <row r="875">
      <c r="C875" s="7"/>
      <c r="D875" s="3"/>
    </row>
    <row r="876">
      <c r="C876" s="7"/>
      <c r="D876" s="3"/>
    </row>
    <row r="877">
      <c r="C877" s="7"/>
      <c r="D877" s="3"/>
    </row>
    <row r="878">
      <c r="C878" s="7"/>
      <c r="D878" s="3"/>
    </row>
    <row r="879">
      <c r="C879" s="7"/>
      <c r="D879" s="3"/>
    </row>
    <row r="880">
      <c r="C880" s="7"/>
      <c r="D880" s="3"/>
    </row>
    <row r="881">
      <c r="C881" s="7"/>
      <c r="D881" s="3"/>
    </row>
    <row r="882">
      <c r="C882" s="7"/>
      <c r="D882" s="3"/>
    </row>
    <row r="883">
      <c r="C883" s="7"/>
      <c r="D883" s="3"/>
    </row>
    <row r="884">
      <c r="C884" s="7"/>
      <c r="D884" s="3"/>
    </row>
    <row r="885">
      <c r="C885" s="7"/>
      <c r="D885" s="3"/>
    </row>
    <row r="886">
      <c r="C886" s="7"/>
      <c r="D886" s="3"/>
    </row>
    <row r="887">
      <c r="C887" s="7"/>
      <c r="D887" s="3"/>
    </row>
    <row r="888">
      <c r="C888" s="7"/>
      <c r="D888" s="3"/>
    </row>
    <row r="889">
      <c r="C889" s="7"/>
      <c r="D889" s="3"/>
    </row>
    <row r="890">
      <c r="C890" s="7"/>
      <c r="D890" s="3"/>
    </row>
    <row r="891">
      <c r="C891" s="7"/>
      <c r="D891" s="3"/>
    </row>
    <row r="892">
      <c r="C892" s="7"/>
      <c r="D892" s="3"/>
    </row>
    <row r="893">
      <c r="C893" s="7"/>
      <c r="D893" s="3"/>
    </row>
    <row r="894">
      <c r="C894" s="7"/>
      <c r="D894" s="3"/>
    </row>
    <row r="895">
      <c r="C895" s="7"/>
      <c r="D895" s="3"/>
    </row>
    <row r="896">
      <c r="C896" s="7"/>
      <c r="D896" s="3"/>
    </row>
    <row r="897">
      <c r="C897" s="7"/>
      <c r="D897" s="3"/>
    </row>
    <row r="898">
      <c r="C898" s="7"/>
      <c r="D898" s="3"/>
    </row>
    <row r="899">
      <c r="C899" s="7"/>
      <c r="D899" s="3"/>
    </row>
    <row r="900">
      <c r="C900" s="7"/>
      <c r="D900" s="3"/>
    </row>
    <row r="901">
      <c r="C901" s="7"/>
      <c r="D901" s="3"/>
    </row>
    <row r="902">
      <c r="C902" s="7"/>
      <c r="D902" s="3"/>
    </row>
    <row r="903">
      <c r="C903" s="7"/>
      <c r="D903" s="3"/>
    </row>
    <row r="904">
      <c r="C904" s="7"/>
      <c r="D904" s="3"/>
    </row>
    <row r="905">
      <c r="C905" s="7"/>
      <c r="D905" s="3"/>
    </row>
    <row r="906">
      <c r="C906" s="7"/>
      <c r="D906" s="3"/>
    </row>
    <row r="907">
      <c r="C907" s="7"/>
      <c r="D907" s="3"/>
    </row>
    <row r="908">
      <c r="C908" s="7"/>
      <c r="D908" s="3"/>
    </row>
    <row r="909">
      <c r="C909" s="7"/>
      <c r="D909" s="3"/>
    </row>
    <row r="910">
      <c r="C910" s="7"/>
      <c r="D910" s="3"/>
    </row>
    <row r="911">
      <c r="C911" s="7"/>
      <c r="D911" s="3"/>
    </row>
    <row r="912">
      <c r="C912" s="7"/>
      <c r="D912" s="3"/>
    </row>
    <row r="913">
      <c r="C913" s="7"/>
      <c r="D913" s="3"/>
    </row>
    <row r="914">
      <c r="C914" s="7"/>
      <c r="D914" s="3"/>
    </row>
    <row r="915">
      <c r="C915" s="7"/>
      <c r="D915" s="3"/>
    </row>
    <row r="916">
      <c r="C916" s="7"/>
      <c r="D916" s="3"/>
    </row>
    <row r="917">
      <c r="C917" s="7"/>
      <c r="D917" s="3"/>
    </row>
    <row r="918">
      <c r="C918" s="7"/>
      <c r="D918" s="3"/>
    </row>
    <row r="919">
      <c r="C919" s="7"/>
      <c r="D919" s="3"/>
    </row>
    <row r="920">
      <c r="C920" s="7"/>
      <c r="D920" s="3"/>
    </row>
    <row r="921">
      <c r="C921" s="7"/>
      <c r="D921" s="3"/>
    </row>
    <row r="922">
      <c r="C922" s="7"/>
      <c r="D922" s="3"/>
    </row>
    <row r="923">
      <c r="C923" s="7"/>
      <c r="D923" s="3"/>
    </row>
    <row r="924">
      <c r="C924" s="7"/>
      <c r="D924" s="3"/>
    </row>
    <row r="925">
      <c r="C925" s="7"/>
      <c r="D925" s="3"/>
    </row>
    <row r="926">
      <c r="C926" s="7"/>
      <c r="D926" s="3"/>
    </row>
    <row r="927">
      <c r="C927" s="7"/>
      <c r="D927" s="3"/>
    </row>
    <row r="928">
      <c r="C928" s="7"/>
      <c r="D928" s="3"/>
    </row>
    <row r="929">
      <c r="C929" s="7"/>
      <c r="D929" s="3"/>
    </row>
    <row r="930">
      <c r="C930" s="7"/>
      <c r="D930" s="3"/>
    </row>
    <row r="931">
      <c r="C931" s="7"/>
      <c r="D931" s="3"/>
    </row>
    <row r="932">
      <c r="C932" s="7"/>
      <c r="D932" s="3"/>
    </row>
    <row r="933">
      <c r="C933" s="7"/>
      <c r="D933" s="3"/>
    </row>
    <row r="934">
      <c r="C934" s="7"/>
      <c r="D934" s="3"/>
    </row>
    <row r="935">
      <c r="C935" s="7"/>
      <c r="D935" s="3"/>
    </row>
    <row r="936">
      <c r="C936" s="7"/>
      <c r="D936" s="3"/>
    </row>
    <row r="937">
      <c r="C937" s="7"/>
      <c r="D937" s="3"/>
    </row>
    <row r="938">
      <c r="C938" s="7"/>
      <c r="D938" s="3"/>
    </row>
    <row r="939">
      <c r="C939" s="7"/>
      <c r="D939" s="3"/>
    </row>
    <row r="940">
      <c r="C940" s="7"/>
      <c r="D940" s="3"/>
    </row>
    <row r="941">
      <c r="C941" s="7"/>
      <c r="D941" s="3"/>
    </row>
    <row r="942">
      <c r="C942" s="7"/>
      <c r="D942" s="3"/>
    </row>
    <row r="943">
      <c r="C943" s="7"/>
      <c r="D943" s="3"/>
    </row>
    <row r="944">
      <c r="C944" s="7"/>
      <c r="D944" s="3"/>
    </row>
    <row r="945">
      <c r="C945" s="7"/>
      <c r="D945" s="3"/>
    </row>
    <row r="946">
      <c r="C946" s="7"/>
      <c r="D946" s="3"/>
    </row>
    <row r="947">
      <c r="C947" s="7"/>
      <c r="D947" s="3"/>
    </row>
    <row r="948">
      <c r="C948" s="7"/>
      <c r="D948" s="3"/>
    </row>
    <row r="949">
      <c r="C949" s="7"/>
      <c r="D949" s="3"/>
    </row>
    <row r="950">
      <c r="C950" s="7"/>
      <c r="D950" s="3"/>
    </row>
    <row r="951">
      <c r="C951" s="7"/>
      <c r="D951" s="3"/>
    </row>
    <row r="952">
      <c r="C952" s="7"/>
      <c r="D952" s="3"/>
    </row>
    <row r="953">
      <c r="C953" s="7"/>
      <c r="D953" s="3"/>
    </row>
    <row r="954">
      <c r="C954" s="7"/>
      <c r="D954" s="3"/>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s>
  <drawing r:id="rId3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3" width="35.86"/>
  </cols>
  <sheetData>
    <row r="1">
      <c r="A1" s="1" t="s">
        <v>2824</v>
      </c>
      <c r="B1" s="1" t="s">
        <v>2825</v>
      </c>
      <c r="C1" s="1" t="s">
        <v>947</v>
      </c>
      <c r="D1" s="1" t="s">
        <v>2826</v>
      </c>
      <c r="E1" s="1" t="s">
        <v>176</v>
      </c>
      <c r="F1" s="1" t="s">
        <v>1833</v>
      </c>
      <c r="G1" s="1" t="s">
        <v>3</v>
      </c>
      <c r="H1" s="1" t="s">
        <v>2827</v>
      </c>
      <c r="I1" s="1" t="s">
        <v>946</v>
      </c>
      <c r="J1" s="1" t="s">
        <v>1835</v>
      </c>
    </row>
    <row r="2">
      <c r="A2" s="59">
        <f>HYPERLINK("https://polkadot.subsquare.io/treasury/proposals/833", 833)</f>
        <v>833</v>
      </c>
      <c r="B2" s="59">
        <f>HYPERLINK("https://polkadot.subsquare.io/referenda/848", 848)</f>
        <v>848</v>
      </c>
      <c r="C2" s="1" t="s">
        <v>1301</v>
      </c>
      <c r="D2" s="69">
        <v>45452.0</v>
      </c>
      <c r="E2" s="69">
        <v>45457.0</v>
      </c>
      <c r="F2" s="1" t="s">
        <v>2119</v>
      </c>
      <c r="G2" s="112">
        <v>348.7</v>
      </c>
      <c r="H2" s="112">
        <v>2249.115</v>
      </c>
      <c r="I2" s="112">
        <v>2249.115</v>
      </c>
      <c r="J2" s="1" t="s">
        <v>2828</v>
      </c>
    </row>
    <row r="3">
      <c r="A3" s="59">
        <f>HYPERLINK("https://polkadot.subsquare.io/treasury/proposals/832", 832)</f>
        <v>832</v>
      </c>
      <c r="B3" s="59">
        <f>HYPERLINK("https://polkadot.subsquare.io/referenda/842", 842)</f>
        <v>842</v>
      </c>
      <c r="C3" s="1" t="s">
        <v>1300</v>
      </c>
      <c r="D3" s="69">
        <v>45450.0</v>
      </c>
      <c r="E3" s="69">
        <v>45455.0</v>
      </c>
      <c r="F3" s="1" t="s">
        <v>2119</v>
      </c>
      <c r="G3" s="112">
        <v>440.0</v>
      </c>
      <c r="H3" s="112">
        <v>2838.0</v>
      </c>
      <c r="I3" s="112">
        <v>2838.0</v>
      </c>
      <c r="J3" s="1" t="s">
        <v>2828</v>
      </c>
    </row>
    <row r="4">
      <c r="A4" s="59">
        <f>HYPERLINK("https://polkadot.subsquare.io/treasury/proposals/831", 831)</f>
        <v>831</v>
      </c>
      <c r="B4" s="59">
        <f>HYPERLINK("https://polkadot.subsquare.io/referenda/776", 776)</f>
        <v>776</v>
      </c>
      <c r="C4" s="1" t="s">
        <v>1284</v>
      </c>
      <c r="D4" s="69">
        <v>45428.0</v>
      </c>
      <c r="E4" s="69">
        <v>45454.0</v>
      </c>
      <c r="F4" s="1" t="s">
        <v>2119</v>
      </c>
      <c r="G4" s="112">
        <v>49075.43</v>
      </c>
      <c r="H4" s="112">
        <v>316536.5235</v>
      </c>
      <c r="I4" s="112">
        <v>316536.5235</v>
      </c>
      <c r="J4" s="1" t="s">
        <v>2829</v>
      </c>
    </row>
    <row r="5">
      <c r="A5" s="59">
        <f>HYPERLINK("https://polkadot.subsquare.io/treasury/proposals/830", 830)</f>
        <v>830</v>
      </c>
      <c r="B5" s="59">
        <f>HYPERLINK("https://polkadot.subsquare.io/referenda/773", 773)</f>
        <v>773</v>
      </c>
      <c r="C5" s="1" t="s">
        <v>1283</v>
      </c>
      <c r="D5" s="69">
        <v>45426.0</v>
      </c>
      <c r="E5" s="69">
        <v>45453.0</v>
      </c>
      <c r="F5" s="1" t="s">
        <v>2119</v>
      </c>
      <c r="G5" s="112">
        <v>50000.0</v>
      </c>
      <c r="H5" s="112">
        <v>322500.0</v>
      </c>
      <c r="I5" s="112">
        <v>322500.0</v>
      </c>
      <c r="J5" s="1" t="s">
        <v>2829</v>
      </c>
    </row>
    <row r="6">
      <c r="A6" s="59">
        <f>HYPERLINK("https://polkadot.subsquare.io/treasury/proposals/829", 829)</f>
        <v>829</v>
      </c>
      <c r="B6" s="59">
        <f>HYPERLINK("https://polkadot.subsquare.io/referenda/760", 760)</f>
        <v>760</v>
      </c>
      <c r="C6" s="1" t="s">
        <v>1274</v>
      </c>
      <c r="D6" s="69">
        <v>45422.0</v>
      </c>
      <c r="E6" s="69">
        <v>45452.0</v>
      </c>
      <c r="F6" s="1" t="s">
        <v>2119</v>
      </c>
      <c r="G6" s="112">
        <v>39713.0</v>
      </c>
      <c r="H6" s="112">
        <v>256148.85</v>
      </c>
      <c r="I6" s="112">
        <v>256148.85</v>
      </c>
      <c r="J6" s="1" t="s">
        <v>2829</v>
      </c>
    </row>
    <row r="7">
      <c r="A7" s="59">
        <f>HYPERLINK("https://polkadot.subsquare.io/treasury/proposals/828", 828)</f>
        <v>828</v>
      </c>
      <c r="B7" s="59">
        <f>HYPERLINK("https://polkadot.subsquare.io/referenda/792", 792)</f>
        <v>792</v>
      </c>
      <c r="C7" s="1" t="s">
        <v>1288</v>
      </c>
      <c r="D7" s="69">
        <v>45433.0</v>
      </c>
      <c r="E7" s="69">
        <v>45451.0</v>
      </c>
      <c r="F7" s="1" t="s">
        <v>2119</v>
      </c>
      <c r="G7" s="112">
        <v>4670.0</v>
      </c>
      <c r="H7" s="112">
        <v>30121.5</v>
      </c>
      <c r="I7" s="112">
        <v>30121.5</v>
      </c>
      <c r="J7" s="1" t="s">
        <v>2830</v>
      </c>
    </row>
    <row r="8">
      <c r="A8" s="59">
        <f>HYPERLINK("https://polkadot.subsquare.io/treasury/proposals/827", 827)</f>
        <v>827</v>
      </c>
      <c r="B8" s="59">
        <f>HYPERLINK("https://polkadot.subsquare.io/referenda/762", 762)</f>
        <v>762</v>
      </c>
      <c r="C8" s="1" t="s">
        <v>1276</v>
      </c>
      <c r="D8" s="69">
        <v>45423.0</v>
      </c>
      <c r="E8" s="69">
        <v>45451.0</v>
      </c>
      <c r="F8" s="1" t="s">
        <v>2119</v>
      </c>
      <c r="G8" s="112">
        <v>199260.0</v>
      </c>
      <c r="H8" s="112">
        <v>1285227.0</v>
      </c>
      <c r="I8" s="112">
        <v>1285227.0</v>
      </c>
      <c r="J8" s="1" t="s">
        <v>2831</v>
      </c>
    </row>
    <row r="9">
      <c r="A9" s="59">
        <f>HYPERLINK("https://polkadot.subsquare.io/treasury/proposals/826", 826)</f>
        <v>826</v>
      </c>
      <c r="B9" s="59">
        <f>HYPERLINK("https://polkadot.subsquare.io/referenda/827", 827)</f>
        <v>827</v>
      </c>
      <c r="C9" s="1" t="s">
        <v>1299</v>
      </c>
      <c r="D9" s="69">
        <v>45446.0</v>
      </c>
      <c r="E9" s="69">
        <v>45450.0</v>
      </c>
      <c r="F9" s="1" t="s">
        <v>2119</v>
      </c>
      <c r="G9" s="112">
        <v>408.45</v>
      </c>
      <c r="H9" s="112">
        <v>2634.5025</v>
      </c>
      <c r="I9" s="112">
        <v>2634.5025</v>
      </c>
      <c r="J9" s="1" t="s">
        <v>2828</v>
      </c>
    </row>
    <row r="10">
      <c r="A10" s="59">
        <f>HYPERLINK("https://polkadot.subsquare.io/treasury/proposals/825", 825)</f>
        <v>825</v>
      </c>
      <c r="B10" s="59">
        <f>HYPERLINK("https://polkadot.subsquare.io/referenda/761", 761)</f>
        <v>761</v>
      </c>
      <c r="C10" s="1" t="s">
        <v>1275</v>
      </c>
      <c r="D10" s="69">
        <v>45423.0</v>
      </c>
      <c r="E10" s="69">
        <v>45450.0</v>
      </c>
      <c r="F10" s="1" t="s">
        <v>2119</v>
      </c>
      <c r="G10" s="112">
        <v>37882.0</v>
      </c>
      <c r="H10" s="112">
        <v>244338.9</v>
      </c>
      <c r="I10" s="112">
        <v>244338.9</v>
      </c>
      <c r="J10" s="1" t="s">
        <v>2829</v>
      </c>
    </row>
    <row r="11">
      <c r="A11" s="59">
        <f>HYPERLINK("https://polkadot.subsquare.io/treasury/proposals/824", 824)</f>
        <v>824</v>
      </c>
      <c r="B11" s="59">
        <f>HYPERLINK("https://polkadot.subsquare.io/referenda/759", 759)</f>
        <v>759</v>
      </c>
      <c r="C11" s="1" t="s">
        <v>1273</v>
      </c>
      <c r="D11" s="69">
        <v>45422.0</v>
      </c>
      <c r="E11" s="69">
        <v>45450.0</v>
      </c>
      <c r="F11" s="1" t="s">
        <v>2119</v>
      </c>
      <c r="G11" s="112">
        <v>20422.0</v>
      </c>
      <c r="H11" s="112">
        <v>131721.9</v>
      </c>
      <c r="I11" s="112">
        <v>131721.9</v>
      </c>
      <c r="J11" s="1" t="s">
        <v>2829</v>
      </c>
    </row>
    <row r="12">
      <c r="A12" s="59">
        <f>HYPERLINK("https://polkadot.subsquare.io/treasury/proposals/823", 823)</f>
        <v>823</v>
      </c>
      <c r="B12" s="59">
        <f>HYPERLINK("https://polkadot.subsquare.io/referenda/766", 766)</f>
        <v>766</v>
      </c>
      <c r="C12" s="1" t="s">
        <v>1279</v>
      </c>
      <c r="D12" s="69">
        <v>45425.0</v>
      </c>
      <c r="E12" s="69">
        <v>45449.0</v>
      </c>
      <c r="F12" s="1" t="s">
        <v>2119</v>
      </c>
      <c r="G12" s="112">
        <v>13242.0</v>
      </c>
      <c r="H12" s="112">
        <v>85410.90000000001</v>
      </c>
      <c r="I12" s="112">
        <v>85410.90000000001</v>
      </c>
      <c r="J12" s="1" t="s">
        <v>2829</v>
      </c>
    </row>
    <row r="13">
      <c r="A13" s="59">
        <f>HYPERLINK("https://polkadot.subsquare.io/treasury/proposals/822", 822)</f>
        <v>822</v>
      </c>
      <c r="B13" s="59">
        <f>HYPERLINK("https://polkadot.subsquare.io/referenda/772", 772)</f>
        <v>772</v>
      </c>
      <c r="C13" s="1" t="s">
        <v>1282</v>
      </c>
      <c r="D13" s="69">
        <v>45426.0</v>
      </c>
      <c r="E13" s="69">
        <v>45449.0</v>
      </c>
      <c r="F13" s="1" t="s">
        <v>2119</v>
      </c>
      <c r="G13" s="112">
        <v>13982.0</v>
      </c>
      <c r="H13" s="112">
        <v>90183.90000000001</v>
      </c>
      <c r="I13" s="112">
        <v>90183.90000000001</v>
      </c>
      <c r="J13" s="1" t="s">
        <v>2829</v>
      </c>
    </row>
    <row r="14">
      <c r="A14" s="59">
        <f>HYPERLINK("https://polkadot.subsquare.io/treasury/proposals/821", 821)</f>
        <v>821</v>
      </c>
      <c r="B14" s="59">
        <f>HYPERLINK("https://polkadot.subsquare.io/referenda/748", 748)</f>
        <v>748</v>
      </c>
      <c r="C14" s="1" t="s">
        <v>2248</v>
      </c>
      <c r="D14" s="69">
        <v>45420.0</v>
      </c>
      <c r="E14" s="69">
        <v>45448.0</v>
      </c>
      <c r="F14" s="1" t="s">
        <v>2119</v>
      </c>
      <c r="G14" s="112">
        <v>50000.0</v>
      </c>
      <c r="H14" s="112">
        <v>322500.0</v>
      </c>
      <c r="I14" s="112">
        <v>322500.0</v>
      </c>
      <c r="J14" s="1" t="s">
        <v>2829</v>
      </c>
    </row>
    <row r="15">
      <c r="A15" s="59">
        <f>HYPERLINK("https://polkadot.subsquare.io/treasury/proposals/820", 820)</f>
        <v>820</v>
      </c>
      <c r="B15" s="59">
        <f>HYPERLINK("https://polkadot.subsquare.io/referenda/730", 730)</f>
        <v>730</v>
      </c>
      <c r="C15" s="1" t="s">
        <v>1263</v>
      </c>
      <c r="D15" s="69">
        <v>45412.0</v>
      </c>
      <c r="E15" s="69">
        <v>45448.0</v>
      </c>
      <c r="F15" s="1" t="s">
        <v>2119</v>
      </c>
      <c r="G15" s="112">
        <v>88000.0</v>
      </c>
      <c r="H15" s="112">
        <v>567600.0</v>
      </c>
      <c r="I15" s="112">
        <v>567600.0</v>
      </c>
      <c r="J15" s="1" t="s">
        <v>1866</v>
      </c>
    </row>
    <row r="16">
      <c r="A16" s="59">
        <f>HYPERLINK("https://polkadot.subsquare.io/treasury/proposals/819", 819)</f>
        <v>819</v>
      </c>
      <c r="B16" s="59">
        <f>HYPERLINK("https://polkadot.subsquare.io/referenda/749", 749)</f>
        <v>749</v>
      </c>
      <c r="C16" s="1" t="s">
        <v>1269</v>
      </c>
      <c r="D16" s="69">
        <v>45420.0</v>
      </c>
      <c r="E16" s="69">
        <v>45448.0</v>
      </c>
      <c r="F16" s="1" t="s">
        <v>2832</v>
      </c>
      <c r="G16" s="112">
        <v>75142.0</v>
      </c>
      <c r="H16" s="112">
        <v>484665.9</v>
      </c>
      <c r="I16" s="112">
        <v>484665.9</v>
      </c>
      <c r="J16" s="1" t="s">
        <v>2829</v>
      </c>
    </row>
    <row r="17">
      <c r="A17" s="59">
        <f>HYPERLINK("https://polkadot.subsquare.io/treasury/proposals/818", 818)</f>
        <v>818</v>
      </c>
      <c r="B17" s="59">
        <f>HYPERLINK("https://polkadot.subsquare.io/referenda/768", 768)</f>
        <v>768</v>
      </c>
      <c r="C17" s="1" t="s">
        <v>1281</v>
      </c>
      <c r="D17" s="69">
        <v>45425.0</v>
      </c>
      <c r="E17" s="69">
        <v>45448.0</v>
      </c>
      <c r="F17" s="1" t="s">
        <v>2832</v>
      </c>
      <c r="G17" s="112">
        <v>10979.0</v>
      </c>
      <c r="H17" s="112">
        <v>70814.55</v>
      </c>
      <c r="I17" s="112">
        <v>70814.55</v>
      </c>
      <c r="J17" s="1" t="s">
        <v>2829</v>
      </c>
    </row>
    <row r="18">
      <c r="A18" s="59">
        <f>HYPERLINK("https://polkadot.subsquare.io/treasury/proposals/817", 817)</f>
        <v>817</v>
      </c>
      <c r="B18" s="59">
        <f>HYPERLINK("https://polkadot.subsquare.io/referenda/742", 742)</f>
        <v>742</v>
      </c>
      <c r="C18" s="1" t="s">
        <v>1268</v>
      </c>
      <c r="D18" s="69">
        <v>45419.0</v>
      </c>
      <c r="E18" s="69">
        <v>45446.0</v>
      </c>
      <c r="F18" s="1" t="s">
        <v>2832</v>
      </c>
      <c r="G18" s="112">
        <v>138218.0</v>
      </c>
      <c r="H18" s="112">
        <v>891506.1</v>
      </c>
      <c r="I18" s="112">
        <v>891506.1</v>
      </c>
      <c r="J18" s="1" t="s">
        <v>2831</v>
      </c>
    </row>
    <row r="19">
      <c r="A19" s="59">
        <f>HYPERLINK("https://polkadot.subsquare.io/treasury/proposals/816", 816)</f>
        <v>816</v>
      </c>
      <c r="B19" s="59">
        <f>HYPERLINK("https://polkadot.subsquare.io/referenda/763", 763)</f>
        <v>763</v>
      </c>
      <c r="C19" s="1" t="s">
        <v>1277</v>
      </c>
      <c r="D19" s="69">
        <v>45424.0</v>
      </c>
      <c r="E19" s="69">
        <v>45448.0</v>
      </c>
      <c r="F19" s="1" t="s">
        <v>2832</v>
      </c>
      <c r="G19" s="112">
        <v>35400.53</v>
      </c>
      <c r="H19" s="112">
        <v>228333.4185</v>
      </c>
      <c r="I19" s="112">
        <v>228333.4185</v>
      </c>
      <c r="J19" s="1" t="s">
        <v>2829</v>
      </c>
    </row>
    <row r="20">
      <c r="A20" s="59">
        <f>HYPERLINK("https://polkadot.subsquare.io/treasury/proposals/815", 815)</f>
        <v>815</v>
      </c>
      <c r="B20" s="59">
        <f>HYPERLINK("https://polkadot.subsquare.io/referenda/816", 816)</f>
        <v>816</v>
      </c>
      <c r="C20" s="1" t="s">
        <v>982</v>
      </c>
      <c r="D20" s="69">
        <v>45441.0</v>
      </c>
      <c r="E20" s="69">
        <v>45448.0</v>
      </c>
      <c r="F20" s="1" t="s">
        <v>2832</v>
      </c>
      <c r="G20" s="112"/>
      <c r="H20" s="112"/>
      <c r="I20" s="112"/>
      <c r="J20" s="1" t="s">
        <v>2833</v>
      </c>
    </row>
    <row r="21">
      <c r="A21" s="59">
        <f>HYPERLINK("https://polkadot.subsquare.io/treasury/proposals/814", 814)</f>
        <v>814</v>
      </c>
      <c r="B21" s="59">
        <f>HYPERLINK("https://polkadot.subsquare.io/referenda/751", 751)</f>
        <v>751</v>
      </c>
      <c r="C21" s="1" t="s">
        <v>1270</v>
      </c>
      <c r="D21" s="69">
        <v>45420.0</v>
      </c>
      <c r="E21" s="69">
        <v>45448.0</v>
      </c>
      <c r="F21" s="1" t="s">
        <v>2832</v>
      </c>
      <c r="G21" s="112">
        <v>7873.0</v>
      </c>
      <c r="H21" s="112">
        <v>50780.85</v>
      </c>
      <c r="I21" s="112">
        <v>50780.85</v>
      </c>
      <c r="J21" s="1" t="s">
        <v>2830</v>
      </c>
    </row>
    <row r="22">
      <c r="A22" s="59">
        <f>HYPERLINK("https://polkadot.subsquare.io/treasury/proposals/813", 813)</f>
        <v>813</v>
      </c>
      <c r="B22" s="59">
        <f>HYPERLINK("https://polkadot.subsquare.io/referenda/737", 737)</f>
        <v>737</v>
      </c>
      <c r="C22" s="1" t="s">
        <v>1266</v>
      </c>
      <c r="D22" s="69">
        <v>45416.0</v>
      </c>
      <c r="E22" s="69">
        <v>45448.0</v>
      </c>
      <c r="F22" s="1" t="s">
        <v>2832</v>
      </c>
      <c r="G22" s="112">
        <v>9997.0</v>
      </c>
      <c r="H22" s="112">
        <v>64480.65</v>
      </c>
      <c r="I22" s="112">
        <v>64480.65</v>
      </c>
      <c r="J22" s="1" t="s">
        <v>2830</v>
      </c>
    </row>
    <row r="23">
      <c r="A23" s="59">
        <f>HYPERLINK("https://polkadot.subsquare.io/treasury/proposals/812", 812)</f>
        <v>812</v>
      </c>
      <c r="B23" s="59">
        <f>HYPERLINK("https://polkadot.subsquare.io/referenda/-1", -1)</f>
        <v>-1</v>
      </c>
      <c r="C23" s="1" t="s">
        <v>1293</v>
      </c>
      <c r="D23" s="69"/>
      <c r="E23" s="69">
        <v>45440.0</v>
      </c>
      <c r="F23" s="1" t="s">
        <v>2832</v>
      </c>
      <c r="G23" s="112"/>
      <c r="H23" s="112"/>
      <c r="I23" s="112"/>
      <c r="J23" s="1"/>
    </row>
    <row r="24">
      <c r="A24" s="59">
        <f>HYPERLINK("https://polkadot.subsquare.io/treasury/proposals/811", 811)</f>
        <v>811</v>
      </c>
      <c r="B24" s="59">
        <f>HYPERLINK("https://polkadot.subsquare.io/referenda/733", 733)</f>
        <v>733</v>
      </c>
      <c r="C24" s="1" t="s">
        <v>1264</v>
      </c>
      <c r="D24" s="69">
        <v>45413.0</v>
      </c>
      <c r="E24" s="69">
        <v>45439.0</v>
      </c>
      <c r="F24" s="1" t="s">
        <v>2832</v>
      </c>
      <c r="G24" s="112">
        <v>12563.0</v>
      </c>
      <c r="H24" s="112">
        <v>81031.35</v>
      </c>
      <c r="I24" s="112">
        <v>81031.35</v>
      </c>
      <c r="J24" s="1" t="s">
        <v>2829</v>
      </c>
    </row>
    <row r="25">
      <c r="A25" s="59">
        <f>HYPERLINK("https://polkadot.subsquare.io/treasury/proposals/810", 810)</f>
        <v>810</v>
      </c>
      <c r="B25" s="59">
        <f>HYPERLINK("https://polkadot.subsquare.io/referenda/728", 728)</f>
        <v>728</v>
      </c>
      <c r="C25" s="1" t="s">
        <v>1261</v>
      </c>
      <c r="D25" s="69">
        <v>45412.0</v>
      </c>
      <c r="E25" s="69">
        <v>45439.0</v>
      </c>
      <c r="F25" s="1" t="s">
        <v>2832</v>
      </c>
      <c r="G25" s="112">
        <v>26195.0</v>
      </c>
      <c r="H25" s="112">
        <v>168957.75</v>
      </c>
      <c r="I25" s="112">
        <v>168957.75</v>
      </c>
      <c r="J25" s="1" t="s">
        <v>2829</v>
      </c>
    </row>
    <row r="26">
      <c r="A26" s="59">
        <f>HYPERLINK("https://polkadot.subsquare.io/treasury/proposals/809", 809)</f>
        <v>809</v>
      </c>
      <c r="B26" s="59">
        <f>HYPERLINK("https://polkadot.subsquare.io/referenda/738", 738)</f>
        <v>738</v>
      </c>
      <c r="C26" s="1" t="s">
        <v>1267</v>
      </c>
      <c r="D26" s="69">
        <v>45418.0</v>
      </c>
      <c r="E26" s="69">
        <v>45438.0</v>
      </c>
      <c r="F26" s="1" t="s">
        <v>2832</v>
      </c>
      <c r="G26" s="112">
        <v>10000.0</v>
      </c>
      <c r="H26" s="112">
        <v>64500.0</v>
      </c>
      <c r="I26" s="112">
        <v>64500.0</v>
      </c>
      <c r="J26" s="1" t="s">
        <v>2830</v>
      </c>
    </row>
    <row r="27">
      <c r="A27" s="59">
        <f>HYPERLINK("https://polkadot.subsquare.io/treasury/proposals/808", 808)</f>
        <v>808</v>
      </c>
      <c r="B27" s="59">
        <f>HYPERLINK("https://polkadot.subsquare.io/referenda/709", 709)</f>
        <v>709</v>
      </c>
      <c r="C27" s="1" t="s">
        <v>1253</v>
      </c>
      <c r="D27" s="69">
        <v>45406.0</v>
      </c>
      <c r="E27" s="69">
        <v>45438.0</v>
      </c>
      <c r="F27" s="1" t="s">
        <v>2832</v>
      </c>
      <c r="G27" s="112">
        <v>368016.0</v>
      </c>
      <c r="H27" s="112">
        <v>2373703.2</v>
      </c>
      <c r="I27" s="112">
        <v>2373703.2</v>
      </c>
      <c r="J27" s="1" t="s">
        <v>2831</v>
      </c>
    </row>
    <row r="28">
      <c r="A28" s="59">
        <f>HYPERLINK("https://polkadot.subsquare.io/treasury/proposals/807", 807)</f>
        <v>807</v>
      </c>
      <c r="B28" s="59">
        <f>HYPERLINK("https://polkadot.subsquare.io/referenda/720", 720)</f>
        <v>720</v>
      </c>
      <c r="C28" s="1" t="s">
        <v>1257</v>
      </c>
      <c r="D28" s="69">
        <v>45409.0</v>
      </c>
      <c r="E28" s="69">
        <v>45438.0</v>
      </c>
      <c r="F28" s="1" t="s">
        <v>2832</v>
      </c>
      <c r="G28" s="112">
        <v>42404.0</v>
      </c>
      <c r="H28" s="112">
        <v>273505.8</v>
      </c>
      <c r="I28" s="112">
        <v>273505.8</v>
      </c>
      <c r="J28" s="1" t="s">
        <v>2829</v>
      </c>
    </row>
    <row r="29">
      <c r="A29" s="59">
        <f>HYPERLINK("https://polkadot.subsquare.io/treasury/proposals/806", 806)</f>
        <v>806</v>
      </c>
      <c r="B29" s="59">
        <f>HYPERLINK("https://polkadot.subsquare.io/referenda/735", 735)</f>
        <v>735</v>
      </c>
      <c r="C29" s="1" t="s">
        <v>1265</v>
      </c>
      <c r="D29" s="69">
        <v>45415.0</v>
      </c>
      <c r="E29" s="69">
        <v>45437.0</v>
      </c>
      <c r="F29" s="1" t="s">
        <v>2832</v>
      </c>
      <c r="G29" s="112">
        <v>56016.0</v>
      </c>
      <c r="H29" s="112">
        <v>361303.2</v>
      </c>
      <c r="I29" s="112">
        <v>361303.2</v>
      </c>
      <c r="J29" s="1" t="s">
        <v>2829</v>
      </c>
    </row>
    <row r="30">
      <c r="A30" s="59">
        <f>HYPERLINK("https://polkadot.subsquare.io/treasury/proposals/805", 805)</f>
        <v>805</v>
      </c>
      <c r="B30" s="59">
        <f>HYPERLINK("https://polkadot.subsquare.io/referenda/-1", -1)</f>
        <v>-1</v>
      </c>
      <c r="C30" s="1"/>
      <c r="D30" s="69"/>
      <c r="E30" s="69">
        <v>45436.0</v>
      </c>
      <c r="F30" s="1" t="s">
        <v>2832</v>
      </c>
      <c r="G30" s="112"/>
      <c r="H30" s="112"/>
      <c r="I30" s="112"/>
      <c r="J30" s="1"/>
    </row>
    <row r="31">
      <c r="A31" s="59">
        <f>HYPERLINK("https://polkadot.subsquare.io/treasury/proposals/804", 804)</f>
        <v>804</v>
      </c>
      <c r="B31" s="59">
        <f>HYPERLINK("https://polkadot.subsquare.io/referenda/703", 703)</f>
        <v>703</v>
      </c>
      <c r="C31" s="1" t="s">
        <v>1252</v>
      </c>
      <c r="D31" s="69">
        <v>45405.0</v>
      </c>
      <c r="E31" s="69">
        <v>45448.0</v>
      </c>
      <c r="F31" s="1" t="s">
        <v>2832</v>
      </c>
      <c r="G31" s="112">
        <v>17898.6052999</v>
      </c>
      <c r="H31" s="112">
        <v>115446.004184355</v>
      </c>
      <c r="I31" s="112">
        <v>115446.004184355</v>
      </c>
      <c r="J31" s="1" t="s">
        <v>2829</v>
      </c>
    </row>
    <row r="32">
      <c r="A32" s="59">
        <f>HYPERLINK("https://polkadot.subsquare.io/treasury/proposals/803", 803)</f>
        <v>803</v>
      </c>
      <c r="B32" s="59">
        <f>HYPERLINK("https://polkadot.subsquare.io/referenda/719", 719)</f>
        <v>719</v>
      </c>
      <c r="C32" s="1" t="s">
        <v>1256</v>
      </c>
      <c r="D32" s="69">
        <v>45408.0</v>
      </c>
      <c r="E32" s="69">
        <v>45448.0</v>
      </c>
      <c r="F32" s="1" t="s">
        <v>2832</v>
      </c>
      <c r="G32" s="112">
        <v>14278.99</v>
      </c>
      <c r="H32" s="112">
        <v>92099.4855</v>
      </c>
      <c r="I32" s="112">
        <v>92099.4855</v>
      </c>
      <c r="J32" s="1" t="s">
        <v>2829</v>
      </c>
    </row>
    <row r="33">
      <c r="A33" s="59">
        <f>HYPERLINK("https://polkadot.subsquare.io/treasury/proposals/802", 802)</f>
        <v>802</v>
      </c>
      <c r="B33" s="59">
        <f>HYPERLINK("https://polkadot.subsquare.io/referenda/-1", -1)</f>
        <v>-1</v>
      </c>
      <c r="C33" s="1" t="s">
        <v>2834</v>
      </c>
      <c r="D33" s="69"/>
      <c r="E33" s="69">
        <v>45433.0</v>
      </c>
      <c r="F33" s="1" t="s">
        <v>2826</v>
      </c>
      <c r="G33" s="112"/>
      <c r="H33" s="112"/>
      <c r="I33" s="112"/>
      <c r="J33" s="1"/>
    </row>
    <row r="34">
      <c r="A34" s="59">
        <f>HYPERLINK("https://polkadot.subsquare.io/treasury/proposals/801", 801)</f>
        <v>801</v>
      </c>
      <c r="B34" s="59">
        <f>HYPERLINK("https://polkadot.subsquare.io/referenda/723", 723)</f>
        <v>723</v>
      </c>
      <c r="C34" s="1" t="s">
        <v>1259</v>
      </c>
      <c r="D34" s="69">
        <v>45411.0</v>
      </c>
      <c r="E34" s="69">
        <v>45448.0</v>
      </c>
      <c r="F34" s="1" t="s">
        <v>2832</v>
      </c>
      <c r="G34" s="112">
        <v>9732.0</v>
      </c>
      <c r="H34" s="112">
        <v>62771.4</v>
      </c>
      <c r="I34" s="112">
        <v>62771.4</v>
      </c>
      <c r="J34" s="1" t="s">
        <v>2830</v>
      </c>
    </row>
    <row r="35">
      <c r="A35" s="59">
        <f>HYPERLINK("https://polkadot.subsquare.io/treasury/proposals/800", 800)</f>
        <v>800</v>
      </c>
      <c r="B35" s="59">
        <f>HYPERLINK("https://polkadot.subsquare.io/referenda/698", 698)</f>
        <v>698</v>
      </c>
      <c r="C35" s="1" t="s">
        <v>1249</v>
      </c>
      <c r="D35" s="69">
        <v>45404.0</v>
      </c>
      <c r="E35" s="69">
        <v>45448.0</v>
      </c>
      <c r="F35" s="1" t="s">
        <v>2832</v>
      </c>
      <c r="G35" s="112">
        <v>16448.0</v>
      </c>
      <c r="H35" s="112">
        <v>106089.6</v>
      </c>
      <c r="I35" s="112">
        <v>106089.6</v>
      </c>
      <c r="J35" s="1" t="s">
        <v>2829</v>
      </c>
    </row>
    <row r="36">
      <c r="A36" s="59">
        <f>HYPERLINK("https://polkadot.subsquare.io/treasury/proposals/799", 799)</f>
        <v>799</v>
      </c>
      <c r="B36" s="59">
        <f>HYPERLINK("https://polkadot.subsquare.io/referenda/778", 778)</f>
        <v>778</v>
      </c>
      <c r="C36" s="1"/>
      <c r="D36" s="69">
        <v>45428.0</v>
      </c>
      <c r="E36" s="69">
        <v>45448.0</v>
      </c>
      <c r="F36" s="1" t="s">
        <v>2832</v>
      </c>
      <c r="G36" s="112"/>
      <c r="H36" s="112"/>
      <c r="I36" s="112"/>
      <c r="J36" s="1" t="s">
        <v>2833</v>
      </c>
    </row>
    <row r="37">
      <c r="A37" s="59">
        <f>HYPERLINK("https://polkadot.subsquare.io/treasury/proposals/798", 798)</f>
        <v>798</v>
      </c>
      <c r="B37" s="59">
        <f>HYPERLINK("https://polkadot.subsquare.io/referenda/692", 692)</f>
        <v>692</v>
      </c>
      <c r="C37" s="1" t="s">
        <v>2171</v>
      </c>
      <c r="D37" s="69">
        <v>45402.0</v>
      </c>
      <c r="E37" s="69">
        <v>45448.0</v>
      </c>
      <c r="F37" s="1" t="s">
        <v>2832</v>
      </c>
      <c r="G37" s="112">
        <v>500000.0</v>
      </c>
      <c r="H37" s="112">
        <v>3225000.0</v>
      </c>
      <c r="I37" s="112">
        <v>3225000.0</v>
      </c>
      <c r="J37" s="1" t="s">
        <v>2831</v>
      </c>
    </row>
    <row r="38">
      <c r="A38" s="59">
        <f>HYPERLINK("https://polkadot.subsquare.io/treasury/proposals/797", 797)</f>
        <v>797</v>
      </c>
      <c r="B38" s="59">
        <f>HYPERLINK("https://polkadot.subsquare.io/referenda/690", 690)</f>
        <v>690</v>
      </c>
      <c r="C38" s="1" t="s">
        <v>1247</v>
      </c>
      <c r="D38" s="69">
        <v>45401.0</v>
      </c>
      <c r="E38" s="69">
        <v>45448.0</v>
      </c>
      <c r="F38" s="1" t="s">
        <v>2832</v>
      </c>
      <c r="G38" s="112">
        <v>30148.0</v>
      </c>
      <c r="H38" s="112">
        <v>194454.6</v>
      </c>
      <c r="I38" s="112">
        <v>194454.6</v>
      </c>
      <c r="J38" s="1" t="s">
        <v>2829</v>
      </c>
    </row>
    <row r="39">
      <c r="A39" s="59">
        <f>HYPERLINK("https://polkadot.subsquare.io/treasury/proposals/796", 796)</f>
        <v>796</v>
      </c>
      <c r="B39" s="59">
        <f>HYPERLINK("https://polkadot.subsquare.io/referenda/764", 764)</f>
        <v>764</v>
      </c>
      <c r="C39" s="1" t="s">
        <v>1278</v>
      </c>
      <c r="D39" s="69">
        <v>45425.0</v>
      </c>
      <c r="E39" s="69">
        <v>45448.0</v>
      </c>
      <c r="F39" s="1" t="s">
        <v>2832</v>
      </c>
      <c r="G39" s="112">
        <v>450.0</v>
      </c>
      <c r="H39" s="112">
        <v>2902.5</v>
      </c>
      <c r="I39" s="112">
        <v>2902.5</v>
      </c>
      <c r="J39" s="1" t="s">
        <v>2828</v>
      </c>
    </row>
    <row r="40">
      <c r="A40" s="59">
        <f>HYPERLINK("https://polkadot.subsquare.io/treasury/proposals/795", 795)</f>
        <v>795</v>
      </c>
      <c r="B40" s="59">
        <f>HYPERLINK("https://polkadot.subsquare.io/referenda/687", 687)</f>
        <v>687</v>
      </c>
      <c r="C40" s="1" t="s">
        <v>1246</v>
      </c>
      <c r="D40" s="69">
        <v>45401.0</v>
      </c>
      <c r="E40" s="69">
        <v>45448.0</v>
      </c>
      <c r="F40" s="1" t="s">
        <v>2832</v>
      </c>
      <c r="G40" s="112">
        <v>77820.0</v>
      </c>
      <c r="H40" s="112">
        <v>501939.0</v>
      </c>
      <c r="I40" s="112">
        <v>501939.0</v>
      </c>
      <c r="J40" s="1" t="s">
        <v>2829</v>
      </c>
    </row>
    <row r="41">
      <c r="A41" s="59">
        <f>HYPERLINK("https://polkadot.subsquare.io/treasury/proposals/794", 794)</f>
        <v>794</v>
      </c>
      <c r="B41" s="59">
        <f>HYPERLINK("https://polkadot.subsquare.io/referenda/-1", -1)</f>
        <v>-1</v>
      </c>
      <c r="C41" s="1" t="s">
        <v>1280</v>
      </c>
      <c r="D41" s="69"/>
      <c r="E41" s="69">
        <v>45448.0</v>
      </c>
      <c r="F41" s="1" t="s">
        <v>2832</v>
      </c>
      <c r="G41" s="112"/>
      <c r="H41" s="112"/>
      <c r="I41" s="112"/>
      <c r="J41" s="1"/>
    </row>
    <row r="42">
      <c r="A42" s="59">
        <f>HYPERLINK("https://polkadot.subsquare.io/treasury/proposals/793", 793)</f>
        <v>793</v>
      </c>
      <c r="B42" s="59">
        <f>HYPERLINK("https://polkadot.subsquare.io/referenda/700", 700)</f>
        <v>700</v>
      </c>
      <c r="C42" s="1" t="s">
        <v>1251</v>
      </c>
      <c r="D42" s="69">
        <v>45404.0</v>
      </c>
      <c r="E42" s="69">
        <v>45448.0</v>
      </c>
      <c r="F42" s="1" t="s">
        <v>2832</v>
      </c>
      <c r="G42" s="112">
        <v>81718.0</v>
      </c>
      <c r="H42" s="112">
        <v>527081.1</v>
      </c>
      <c r="I42" s="112">
        <v>527081.1</v>
      </c>
      <c r="J42" s="1" t="s">
        <v>2829</v>
      </c>
    </row>
    <row r="43">
      <c r="A43" s="59">
        <f>HYPERLINK("https://polkadot.subsquare.io/treasury/proposals/792", 792)</f>
        <v>792</v>
      </c>
      <c r="B43" s="59">
        <f>HYPERLINK("https://polkadot.subsquare.io/referenda/699", 699)</f>
        <v>699</v>
      </c>
      <c r="C43" s="1" t="s">
        <v>1250</v>
      </c>
      <c r="D43" s="69">
        <v>45404.0</v>
      </c>
      <c r="E43" s="69">
        <v>45448.0</v>
      </c>
      <c r="F43" s="1" t="s">
        <v>2832</v>
      </c>
      <c r="G43" s="112">
        <v>29719.0</v>
      </c>
      <c r="H43" s="112">
        <v>191687.55000000002</v>
      </c>
      <c r="I43" s="112">
        <v>191687.55000000002</v>
      </c>
      <c r="J43" s="1" t="s">
        <v>2829</v>
      </c>
    </row>
    <row r="44">
      <c r="A44" s="59">
        <f>HYPERLINK("https://polkadot.subsquare.io/treasury/proposals/791", 791)</f>
        <v>791</v>
      </c>
      <c r="B44" s="59">
        <f>HYPERLINK("https://polkadot.subsquare.io/referenda/676", 676)</f>
        <v>676</v>
      </c>
      <c r="C44" s="1" t="s">
        <v>1242</v>
      </c>
      <c r="D44" s="69">
        <v>45398.0</v>
      </c>
      <c r="E44" s="69">
        <v>45448.0</v>
      </c>
      <c r="F44" s="1" t="s">
        <v>2832</v>
      </c>
      <c r="G44" s="112"/>
      <c r="H44" s="112"/>
      <c r="I44" s="112"/>
      <c r="J44" s="1" t="s">
        <v>2831</v>
      </c>
    </row>
    <row r="45">
      <c r="A45" s="59">
        <f>HYPERLINK("https://polkadot.subsquare.io/treasury/proposals/790", 790)</f>
        <v>790</v>
      </c>
      <c r="B45" s="59">
        <f>HYPERLINK("https://polkadot.subsquare.io/referenda/-1", -1)</f>
        <v>-1</v>
      </c>
      <c r="C45" s="1" t="s">
        <v>1242</v>
      </c>
      <c r="D45" s="69"/>
      <c r="E45" s="69">
        <v>45448.0</v>
      </c>
      <c r="F45" s="1" t="s">
        <v>2832</v>
      </c>
      <c r="G45" s="112"/>
      <c r="H45" s="112"/>
      <c r="I45" s="112"/>
      <c r="J45" s="1"/>
    </row>
    <row r="46">
      <c r="A46" s="59">
        <f>HYPERLINK("https://polkadot.subsquare.io/treasury/proposals/789", 789)</f>
        <v>789</v>
      </c>
      <c r="B46" s="59">
        <f>HYPERLINK("https://polkadot.subsquare.io/referenda/695", 695)</f>
        <v>695</v>
      </c>
      <c r="C46" s="1" t="s">
        <v>1248</v>
      </c>
      <c r="D46" s="69">
        <v>45402.0</v>
      </c>
      <c r="E46" s="69">
        <v>45448.0</v>
      </c>
      <c r="F46" s="1" t="s">
        <v>2832</v>
      </c>
      <c r="G46" s="112">
        <v>34763.0</v>
      </c>
      <c r="H46" s="112">
        <v>224221.35</v>
      </c>
      <c r="I46" s="112">
        <v>224221.35</v>
      </c>
      <c r="J46" s="1" t="s">
        <v>2829</v>
      </c>
    </row>
    <row r="47">
      <c r="A47" s="59">
        <f>HYPERLINK("https://polkadot.subsquare.io/treasury/proposals/788", 788)</f>
        <v>788</v>
      </c>
      <c r="B47" s="59">
        <f>HYPERLINK("https://polkadot.subsquare.io/referenda/753", 753)</f>
        <v>753</v>
      </c>
      <c r="C47" s="1" t="s">
        <v>1271</v>
      </c>
      <c r="D47" s="69">
        <v>45421.0</v>
      </c>
      <c r="E47" s="69">
        <v>45448.0</v>
      </c>
      <c r="F47" s="1" t="s">
        <v>2832</v>
      </c>
      <c r="G47" s="112">
        <v>694.2</v>
      </c>
      <c r="H47" s="112">
        <v>4477.59</v>
      </c>
      <c r="I47" s="112">
        <v>4477.59</v>
      </c>
      <c r="J47" s="1" t="s">
        <v>2828</v>
      </c>
    </row>
    <row r="48">
      <c r="A48" s="59">
        <f>HYPERLINK("https://polkadot.subsquare.io/treasury/proposals/787", 787)</f>
        <v>787</v>
      </c>
      <c r="B48" s="59">
        <f>HYPERLINK("https://polkadot.subsquare.io/referenda/672", 672)</f>
        <v>672</v>
      </c>
      <c r="C48" s="1" t="s">
        <v>1238</v>
      </c>
      <c r="D48" s="69">
        <v>45394.0</v>
      </c>
      <c r="E48" s="69">
        <v>45448.0</v>
      </c>
      <c r="F48" s="1" t="s">
        <v>2832</v>
      </c>
      <c r="G48" s="112">
        <v>9924.0</v>
      </c>
      <c r="H48" s="112">
        <v>64009.8</v>
      </c>
      <c r="I48" s="112">
        <v>64009.8</v>
      </c>
      <c r="J48" s="1" t="s">
        <v>2830</v>
      </c>
    </row>
    <row r="49">
      <c r="A49" s="59">
        <f>HYPERLINK("https://polkadot.subsquare.io/treasury/proposals/786", 786)</f>
        <v>786</v>
      </c>
      <c r="B49" s="59">
        <f>HYPERLINK("https://polkadot.subsquare.io/referenda/685", 685)</f>
        <v>685</v>
      </c>
      <c r="C49" s="1" t="s">
        <v>1245</v>
      </c>
      <c r="D49" s="69">
        <v>45401.0</v>
      </c>
      <c r="E49" s="69">
        <v>45448.0</v>
      </c>
      <c r="F49" s="1" t="s">
        <v>2832</v>
      </c>
      <c r="G49" s="112">
        <v>48117.0</v>
      </c>
      <c r="H49" s="112">
        <v>310354.65</v>
      </c>
      <c r="I49" s="112">
        <v>310354.65</v>
      </c>
      <c r="J49" s="1" t="s">
        <v>2829</v>
      </c>
    </row>
    <row r="50">
      <c r="A50" s="59">
        <f>HYPERLINK("https://polkadot.subsquare.io/treasury/proposals/785", 785)</f>
        <v>785</v>
      </c>
      <c r="B50" s="59">
        <f>HYPERLINK("https://polkadot.subsquare.io/referenda/683", 683)</f>
        <v>683</v>
      </c>
      <c r="C50" s="1" t="s">
        <v>1244</v>
      </c>
      <c r="D50" s="69">
        <v>45400.0</v>
      </c>
      <c r="E50" s="69">
        <v>45448.0</v>
      </c>
      <c r="F50" s="1" t="s">
        <v>2832</v>
      </c>
      <c r="G50" s="112">
        <v>83906.813273</v>
      </c>
      <c r="H50" s="112">
        <v>541198.9456108501</v>
      </c>
      <c r="I50" s="112">
        <v>541198.9456108501</v>
      </c>
      <c r="J50" s="1" t="s">
        <v>2829</v>
      </c>
    </row>
    <row r="51">
      <c r="A51" s="59">
        <f>HYPERLINK("https://polkadot.subsquare.io/treasury/proposals/784", 784)</f>
        <v>784</v>
      </c>
      <c r="B51" s="59">
        <f>HYPERLINK("https://polkadot.subsquare.io/referenda/675", 675)</f>
        <v>675</v>
      </c>
      <c r="C51" s="1" t="s">
        <v>1241</v>
      </c>
      <c r="D51" s="69">
        <v>45398.0</v>
      </c>
      <c r="E51" s="69">
        <v>45424.0</v>
      </c>
      <c r="F51" s="1" t="s">
        <v>2832</v>
      </c>
      <c r="G51" s="112"/>
      <c r="H51" s="112"/>
      <c r="I51" s="112"/>
      <c r="J51" s="1" t="s">
        <v>2829</v>
      </c>
    </row>
    <row r="52">
      <c r="A52" s="59">
        <f>HYPERLINK("https://polkadot.subsquare.io/treasury/proposals/783", 783)</f>
        <v>783</v>
      </c>
      <c r="B52" s="59">
        <f>HYPERLINK("https://polkadot.subsquare.io/referenda/-1", -1)</f>
        <v>-1</v>
      </c>
      <c r="C52" s="1" t="s">
        <v>1241</v>
      </c>
      <c r="D52" s="69"/>
      <c r="E52" s="69">
        <v>45424.0</v>
      </c>
      <c r="F52" s="1" t="s">
        <v>2832</v>
      </c>
      <c r="G52" s="112"/>
      <c r="H52" s="112"/>
      <c r="I52" s="112"/>
      <c r="J52" s="1"/>
    </row>
    <row r="53">
      <c r="A53" s="59">
        <f>HYPERLINK("https://polkadot.subsquare.io/treasury/proposals/782", 782)</f>
        <v>782</v>
      </c>
      <c r="B53" s="59">
        <f>HYPERLINK("https://polkadot.subsquare.io/referenda/663", 663)</f>
        <v>663</v>
      </c>
      <c r="C53" s="1" t="s">
        <v>1234</v>
      </c>
      <c r="D53" s="69">
        <v>45392.0</v>
      </c>
      <c r="E53" s="69">
        <v>45424.0</v>
      </c>
      <c r="F53" s="1" t="s">
        <v>2832</v>
      </c>
      <c r="G53" s="112"/>
      <c r="H53" s="112"/>
      <c r="I53" s="112"/>
      <c r="J53" s="1"/>
    </row>
    <row r="54">
      <c r="A54" s="59">
        <f>HYPERLINK("https://polkadot.subsquare.io/treasury/proposals/781", 781)</f>
        <v>781</v>
      </c>
      <c r="B54" s="59">
        <f>HYPERLINK("https://polkadot.subsquare.io/referenda/644", 644)</f>
        <v>644</v>
      </c>
      <c r="C54" s="1" t="s">
        <v>2835</v>
      </c>
      <c r="D54" s="69">
        <v>45385.0</v>
      </c>
      <c r="E54" s="69">
        <v>45424.0</v>
      </c>
      <c r="F54" s="1" t="s">
        <v>2832</v>
      </c>
      <c r="G54" s="112"/>
      <c r="H54" s="112"/>
      <c r="I54" s="112"/>
      <c r="J54" s="1"/>
    </row>
    <row r="55">
      <c r="A55" s="59">
        <f>HYPERLINK("https://polkadot.subsquare.io/treasury/proposals/780", 780)</f>
        <v>780</v>
      </c>
      <c r="B55" s="59">
        <f>HYPERLINK("https://polkadot.subsquare.io/referenda/654", 654)</f>
        <v>654</v>
      </c>
      <c r="C55" s="1" t="s">
        <v>1228</v>
      </c>
      <c r="D55" s="69">
        <v>45389.0</v>
      </c>
      <c r="E55" s="69">
        <v>45424.0</v>
      </c>
      <c r="F55" s="1" t="s">
        <v>2832</v>
      </c>
      <c r="G55" s="112"/>
      <c r="H55" s="112"/>
      <c r="I55" s="112"/>
      <c r="J55" s="1"/>
    </row>
    <row r="56">
      <c r="A56" s="59">
        <f>HYPERLINK("https://polkadot.subsquare.io/treasury/proposals/779", 779)</f>
        <v>779</v>
      </c>
      <c r="B56" s="59">
        <f>HYPERLINK("https://polkadot.subsquare.io/referenda/668", 668)</f>
        <v>668</v>
      </c>
      <c r="C56" s="1" t="s">
        <v>1236</v>
      </c>
      <c r="D56" s="69">
        <v>45393.0</v>
      </c>
      <c r="E56" s="69">
        <v>45424.0</v>
      </c>
      <c r="F56" s="1" t="s">
        <v>2832</v>
      </c>
      <c r="G56" s="112"/>
      <c r="H56" s="112"/>
      <c r="I56" s="112"/>
      <c r="J56" s="1"/>
    </row>
    <row r="57">
      <c r="A57" s="59">
        <f>HYPERLINK("https://polkadot.subsquare.io/treasury/proposals/778", 778)</f>
        <v>778</v>
      </c>
      <c r="B57" s="59">
        <f>HYPERLINK("https://polkadot.subsquare.io/referenda/677", 677)</f>
        <v>677</v>
      </c>
      <c r="C57" s="1" t="s">
        <v>2836</v>
      </c>
      <c r="D57" s="69">
        <v>45399.0</v>
      </c>
      <c r="E57" s="69">
        <v>45424.0</v>
      </c>
      <c r="F57" s="1" t="s">
        <v>2832</v>
      </c>
      <c r="G57" s="112">
        <v>2395.0</v>
      </c>
      <c r="H57" s="112">
        <v>15447.75</v>
      </c>
      <c r="I57" s="112">
        <v>15447.75</v>
      </c>
      <c r="J57" s="1" t="s">
        <v>2830</v>
      </c>
    </row>
    <row r="58">
      <c r="A58" s="59">
        <f>HYPERLINK("https://polkadot.subsquare.io/treasury/proposals/777", 777)</f>
        <v>777</v>
      </c>
      <c r="B58" s="59">
        <f>HYPERLINK("https://polkadot.subsquare.io/referenda/725", 725)</f>
        <v>725</v>
      </c>
      <c r="C58" s="113" t="s">
        <v>1260</v>
      </c>
      <c r="D58" s="69">
        <v>45411.0</v>
      </c>
      <c r="E58" s="69">
        <v>45424.0</v>
      </c>
      <c r="F58" s="1" t="s">
        <v>2832</v>
      </c>
      <c r="G58" s="112">
        <v>554.0</v>
      </c>
      <c r="H58" s="112">
        <v>3573.3</v>
      </c>
      <c r="I58" s="112">
        <v>3573.3</v>
      </c>
      <c r="J58" s="1" t="s">
        <v>2828</v>
      </c>
    </row>
    <row r="59">
      <c r="A59" s="59">
        <f>HYPERLINK("https://polkadot.subsquare.io/treasury/proposals/776", 776)</f>
        <v>776</v>
      </c>
      <c r="B59" s="59">
        <f>HYPERLINK("https://polkadot.subsquare.io/referenda/729", 729)</f>
        <v>729</v>
      </c>
      <c r="C59" s="1" t="s">
        <v>1262</v>
      </c>
      <c r="D59" s="69">
        <v>45412.0</v>
      </c>
      <c r="E59" s="69">
        <v>45424.0</v>
      </c>
      <c r="F59" s="1" t="s">
        <v>2832</v>
      </c>
      <c r="G59" s="112"/>
      <c r="H59" s="112"/>
      <c r="I59" s="112"/>
      <c r="J59" s="1" t="s">
        <v>2833</v>
      </c>
    </row>
    <row r="60">
      <c r="A60" s="59">
        <f>HYPERLINK("https://polkadot.subsquare.io/treasury/proposals/775", 775)</f>
        <v>775</v>
      </c>
      <c r="B60" s="59">
        <f>HYPERLINK("https://polkadot.subsquare.io/referenda/656", 656)</f>
        <v>656</v>
      </c>
      <c r="C60" s="1" t="s">
        <v>1229</v>
      </c>
      <c r="D60" s="69">
        <v>45390.0</v>
      </c>
      <c r="E60" s="69">
        <v>45424.0</v>
      </c>
      <c r="F60" s="1" t="s">
        <v>2832</v>
      </c>
      <c r="G60" s="112"/>
      <c r="H60" s="112"/>
      <c r="I60" s="112"/>
      <c r="J60" s="1"/>
    </row>
    <row r="61">
      <c r="A61" s="59">
        <f>HYPERLINK("https://polkadot.subsquare.io/treasury/proposals/774", 774)</f>
        <v>774</v>
      </c>
      <c r="B61" s="59">
        <f>HYPERLINK("https://polkadot.subsquare.io/referenda/657", 657)</f>
        <v>657</v>
      </c>
      <c r="C61" s="1" t="s">
        <v>1230</v>
      </c>
      <c r="D61" s="69">
        <v>45391.0</v>
      </c>
      <c r="E61" s="69">
        <v>45424.0</v>
      </c>
      <c r="F61" s="1" t="s">
        <v>2832</v>
      </c>
      <c r="G61" s="112"/>
      <c r="H61" s="112"/>
      <c r="I61" s="112"/>
      <c r="J61" s="1"/>
    </row>
    <row r="62">
      <c r="A62" s="59">
        <f>HYPERLINK("https://polkadot.subsquare.io/treasury/proposals/773", 773)</f>
        <v>773</v>
      </c>
      <c r="B62" s="59">
        <f>HYPERLINK("https://polkadot.subsquare.io/referenda/721", 721)</f>
        <v>721</v>
      </c>
      <c r="C62" s="1" t="s">
        <v>1258</v>
      </c>
      <c r="D62" s="69">
        <v>45410.0</v>
      </c>
      <c r="E62" s="69">
        <v>45424.0</v>
      </c>
      <c r="F62" s="1" t="s">
        <v>2832</v>
      </c>
      <c r="G62" s="112">
        <v>596.0</v>
      </c>
      <c r="H62" s="112">
        <v>3844.2000000000003</v>
      </c>
      <c r="I62" s="112">
        <v>3844.2000000000003</v>
      </c>
      <c r="J62" s="1" t="s">
        <v>2828</v>
      </c>
    </row>
    <row r="63">
      <c r="A63" s="59">
        <f>HYPERLINK("https://polkadot.subsquare.io/treasury/proposals/772", 772)</f>
        <v>772</v>
      </c>
      <c r="B63" s="59">
        <f>HYPERLINK("https://polkadot.subsquare.io/referenda/-1", -1)</f>
        <v>-1</v>
      </c>
      <c r="C63" s="1" t="s">
        <v>1255</v>
      </c>
      <c r="D63" s="69"/>
      <c r="E63" s="69">
        <v>45424.0</v>
      </c>
      <c r="F63" s="1" t="s">
        <v>2832</v>
      </c>
      <c r="G63" s="112"/>
      <c r="H63" s="112"/>
      <c r="I63" s="112"/>
      <c r="J63" s="1"/>
    </row>
    <row r="64">
      <c r="A64" s="59">
        <f>HYPERLINK("https://polkadot.subsquare.io/treasury/proposals/771", 771)</f>
        <v>771</v>
      </c>
      <c r="B64" s="59">
        <f>HYPERLINK("https://polkadot.subsquare.io/referenda/643", 643)</f>
        <v>643</v>
      </c>
      <c r="C64" s="1" t="s">
        <v>2193</v>
      </c>
      <c r="D64" s="69">
        <v>45385.0</v>
      </c>
      <c r="E64" s="69">
        <v>45424.0</v>
      </c>
      <c r="F64" s="1" t="s">
        <v>2832</v>
      </c>
      <c r="G64" s="112"/>
      <c r="H64" s="112"/>
      <c r="I64" s="112"/>
      <c r="J64" s="1"/>
    </row>
    <row r="65">
      <c r="A65" s="59">
        <f>HYPERLINK("https://polkadot.subsquare.io/treasury/proposals/770", 770)</f>
        <v>770</v>
      </c>
      <c r="B65" s="59">
        <f>HYPERLINK("https://polkadot.subsquare.io/referenda/662", 662)</f>
        <v>662</v>
      </c>
      <c r="C65" s="1" t="s">
        <v>1233</v>
      </c>
      <c r="D65" s="69">
        <v>45392.0</v>
      </c>
      <c r="E65" s="69">
        <v>45424.0</v>
      </c>
      <c r="F65" s="1" t="s">
        <v>2832</v>
      </c>
      <c r="G65" s="112"/>
      <c r="H65" s="112"/>
      <c r="I65" s="112"/>
      <c r="J65" s="1"/>
    </row>
    <row r="66">
      <c r="A66" s="59">
        <f>HYPERLINK("https://polkadot.subsquare.io/treasury/proposals/769", 769)</f>
        <v>769</v>
      </c>
      <c r="B66" s="59">
        <f>HYPERLINK("https://polkadot.subsquare.io/referenda/711", 711)</f>
        <v>711</v>
      </c>
      <c r="C66" s="1" t="s">
        <v>1254</v>
      </c>
      <c r="D66" s="69">
        <v>45407.0</v>
      </c>
      <c r="E66" s="69">
        <v>45424.0</v>
      </c>
      <c r="F66" s="1" t="s">
        <v>2832</v>
      </c>
      <c r="G66" s="112">
        <v>725.0</v>
      </c>
      <c r="H66" s="112">
        <v>4676.25</v>
      </c>
      <c r="I66" s="112">
        <v>4676.25</v>
      </c>
      <c r="J66" s="1" t="s">
        <v>2828</v>
      </c>
    </row>
    <row r="67">
      <c r="A67" s="59">
        <f>HYPERLINK("https://polkadot.subsquare.io/treasury/proposals/768", 768)</f>
        <v>768</v>
      </c>
      <c r="B67" s="59">
        <f>HYPERLINK("https://polkadot.subsquare.io/referenda/641", 641)</f>
        <v>641</v>
      </c>
      <c r="C67" s="1" t="s">
        <v>1224</v>
      </c>
      <c r="D67" s="69">
        <v>45384.0</v>
      </c>
      <c r="E67" s="69">
        <v>45424.0</v>
      </c>
      <c r="F67" s="1" t="s">
        <v>2832</v>
      </c>
      <c r="G67" s="112"/>
      <c r="H67" s="112"/>
      <c r="I67" s="112"/>
      <c r="J67" s="1"/>
    </row>
    <row r="68">
      <c r="A68" s="59">
        <f>HYPERLINK("https://polkadot.subsquare.io/treasury/proposals/767", 767)</f>
        <v>767</v>
      </c>
      <c r="B68" s="59">
        <f>HYPERLINK("https://polkadot.subsquare.io/referenda/651", 651)</f>
        <v>651</v>
      </c>
      <c r="C68" s="1" t="s">
        <v>1227</v>
      </c>
      <c r="D68" s="69">
        <v>45387.0</v>
      </c>
      <c r="E68" s="69">
        <v>45424.0</v>
      </c>
      <c r="F68" s="1" t="s">
        <v>2832</v>
      </c>
      <c r="G68" s="112"/>
      <c r="H68" s="112"/>
      <c r="I68" s="112"/>
      <c r="J68" s="1"/>
    </row>
    <row r="69">
      <c r="A69" s="59">
        <f>HYPERLINK("https://polkadot.subsquare.io/treasury/proposals/766", 766)</f>
        <v>766</v>
      </c>
      <c r="B69" s="59">
        <f>HYPERLINK("https://polkadot.subsquare.io/referenda/717", 717)</f>
        <v>717</v>
      </c>
      <c r="C69" s="1" t="s">
        <v>982</v>
      </c>
      <c r="D69" s="69">
        <v>45408.0</v>
      </c>
      <c r="E69" s="69">
        <v>45424.0</v>
      </c>
      <c r="F69" s="1" t="s">
        <v>2832</v>
      </c>
      <c r="G69" s="112"/>
      <c r="H69" s="112"/>
      <c r="I69" s="112"/>
      <c r="J69" s="1" t="s">
        <v>2833</v>
      </c>
    </row>
    <row r="70">
      <c r="A70" s="59">
        <f>HYPERLINK("https://polkadot.subsquare.io/treasury/proposals/765", 765)</f>
        <v>765</v>
      </c>
      <c r="B70" s="59">
        <f>HYPERLINK("https://polkadot.subsquare.io/referenda/599", 599)</f>
        <v>599</v>
      </c>
      <c r="C70" s="1" t="s">
        <v>1208</v>
      </c>
      <c r="D70" s="69">
        <v>45373.0</v>
      </c>
      <c r="E70" s="69">
        <v>45424.0</v>
      </c>
      <c r="F70" s="1" t="s">
        <v>2832</v>
      </c>
      <c r="G70" s="112"/>
      <c r="H70" s="112"/>
      <c r="I70" s="112"/>
      <c r="J70" s="1"/>
    </row>
    <row r="71">
      <c r="A71" s="59">
        <f>HYPERLINK("https://polkadot.subsquare.io/treasury/proposals/764", 764)</f>
        <v>764</v>
      </c>
      <c r="B71" s="59">
        <f>HYPERLINK("https://polkadot.subsquare.io/referenda/634", 634)</f>
        <v>634</v>
      </c>
      <c r="C71" s="1" t="s">
        <v>1223</v>
      </c>
      <c r="D71" s="69">
        <v>45383.0</v>
      </c>
      <c r="E71" s="69">
        <v>45424.0</v>
      </c>
      <c r="F71" s="1" t="s">
        <v>2832</v>
      </c>
      <c r="G71" s="112"/>
      <c r="H71" s="112"/>
      <c r="I71" s="112"/>
      <c r="J71" s="1"/>
    </row>
    <row r="72">
      <c r="A72" s="59">
        <f>HYPERLINK("https://polkadot.subsquare.io/treasury/proposals/763", 763)</f>
        <v>763</v>
      </c>
      <c r="B72" s="59">
        <f>HYPERLINK("https://polkadot.subsquare.io/referenda/632", 632)</f>
        <v>632</v>
      </c>
      <c r="C72" s="1" t="s">
        <v>1221</v>
      </c>
      <c r="D72" s="69">
        <v>45382.0</v>
      </c>
      <c r="E72" s="69">
        <v>45424.0</v>
      </c>
      <c r="F72" s="1" t="s">
        <v>2832</v>
      </c>
      <c r="G72" s="112"/>
      <c r="H72" s="112"/>
      <c r="I72" s="112"/>
      <c r="J72" s="1"/>
    </row>
    <row r="73">
      <c r="A73" s="59">
        <f>HYPERLINK("https://polkadot.subsquare.io/treasury/proposals/762", 762)</f>
        <v>762</v>
      </c>
      <c r="B73" s="59">
        <f>HYPERLINK("https://polkadot.subsquare.io/referenda/613", 613)</f>
        <v>613</v>
      </c>
      <c r="C73" s="1" t="s">
        <v>1212</v>
      </c>
      <c r="D73" s="69">
        <v>45376.0</v>
      </c>
      <c r="E73" s="69">
        <v>45424.0</v>
      </c>
      <c r="F73" s="1" t="s">
        <v>2832</v>
      </c>
      <c r="G73" s="112">
        <v>150000.0</v>
      </c>
      <c r="H73" s="112">
        <v>1030500.0</v>
      </c>
      <c r="I73" s="112">
        <v>1030500.0</v>
      </c>
      <c r="J73" s="1" t="s">
        <v>2831</v>
      </c>
    </row>
    <row r="74">
      <c r="A74" s="59">
        <f>HYPERLINK("https://polkadot.subsquare.io/treasury/proposals/761", 761)</f>
        <v>761</v>
      </c>
      <c r="B74" s="59">
        <f>HYPERLINK("https://polkadot.subsquare.io/referenda/617", 617)</f>
        <v>617</v>
      </c>
      <c r="C74" s="1" t="s">
        <v>1214</v>
      </c>
      <c r="D74" s="69">
        <v>45378.0</v>
      </c>
      <c r="E74" s="69">
        <v>45424.0</v>
      </c>
      <c r="F74" s="1" t="s">
        <v>2832</v>
      </c>
      <c r="G74" s="112">
        <v>21524.0</v>
      </c>
      <c r="H74" s="112">
        <v>147869.88</v>
      </c>
      <c r="I74" s="112">
        <v>147869.88</v>
      </c>
      <c r="J74" s="1" t="s">
        <v>2829</v>
      </c>
    </row>
    <row r="75">
      <c r="A75" s="59">
        <f>HYPERLINK("https://polkadot.subsquare.io/treasury/proposals/760", 760)</f>
        <v>760</v>
      </c>
      <c r="B75" s="59">
        <f>HYPERLINK("https://polkadot.subsquare.io/referenda/642", 642)</f>
        <v>642</v>
      </c>
      <c r="C75" s="1" t="s">
        <v>1225</v>
      </c>
      <c r="D75" s="69">
        <v>45385.0</v>
      </c>
      <c r="E75" s="69">
        <v>45424.0</v>
      </c>
      <c r="F75" s="1" t="s">
        <v>2832</v>
      </c>
      <c r="G75" s="112">
        <v>1212.24</v>
      </c>
      <c r="H75" s="112">
        <v>8328.0888</v>
      </c>
      <c r="I75" s="112">
        <v>8328.0888</v>
      </c>
      <c r="J75" s="1" t="s">
        <v>2830</v>
      </c>
    </row>
    <row r="76">
      <c r="A76" s="59">
        <f>HYPERLINK("https://polkadot.subsquare.io/treasury/proposals/759", 759)</f>
        <v>759</v>
      </c>
      <c r="B76" s="59">
        <f>HYPERLINK("https://polkadot.subsquare.io/referenda/631", 631)</f>
        <v>631</v>
      </c>
      <c r="C76" s="1" t="s">
        <v>1220</v>
      </c>
      <c r="D76" s="69">
        <v>45380.0</v>
      </c>
      <c r="E76" s="69">
        <v>45424.0</v>
      </c>
      <c r="F76" s="1" t="s">
        <v>2832</v>
      </c>
      <c r="G76" s="112">
        <v>16348.0</v>
      </c>
      <c r="H76" s="112">
        <v>112310.76</v>
      </c>
      <c r="I76" s="112">
        <v>112310.76</v>
      </c>
      <c r="J76" s="1" t="s">
        <v>2829</v>
      </c>
    </row>
    <row r="77">
      <c r="A77" s="59">
        <f>HYPERLINK("https://polkadot.subsquare.io/treasury/proposals/758", 758)</f>
        <v>758</v>
      </c>
      <c r="B77" s="59">
        <f>HYPERLINK("https://polkadot.subsquare.io/referenda/618", 618)</f>
        <v>618</v>
      </c>
      <c r="C77" s="1" t="s">
        <v>1215</v>
      </c>
      <c r="D77" s="69">
        <v>45378.0</v>
      </c>
      <c r="E77" s="69">
        <v>45424.0</v>
      </c>
      <c r="F77" s="1" t="s">
        <v>2832</v>
      </c>
      <c r="G77" s="112">
        <v>18694.0</v>
      </c>
      <c r="H77" s="112">
        <v>128427.78</v>
      </c>
      <c r="I77" s="112">
        <v>128427.78</v>
      </c>
      <c r="J77" s="1" t="s">
        <v>2829</v>
      </c>
    </row>
    <row r="78">
      <c r="A78" s="59">
        <f>HYPERLINK("https://polkadot.subsquare.io/treasury/proposals/757", 757)</f>
        <v>757</v>
      </c>
      <c r="B78" s="59">
        <f>HYPERLINK("https://polkadot.subsquare.io/referenda/633", 633)</f>
        <v>633</v>
      </c>
      <c r="C78" s="1" t="s">
        <v>1222</v>
      </c>
      <c r="D78" s="69">
        <v>45383.0</v>
      </c>
      <c r="E78" s="69">
        <v>45424.0</v>
      </c>
      <c r="F78" s="1" t="s">
        <v>2832</v>
      </c>
      <c r="G78" s="112">
        <v>9355.5</v>
      </c>
      <c r="H78" s="112">
        <v>64272.285</v>
      </c>
      <c r="I78" s="112">
        <v>64272.285</v>
      </c>
      <c r="J78" s="1" t="s">
        <v>2830</v>
      </c>
    </row>
    <row r="79">
      <c r="A79" s="59">
        <f>HYPERLINK("https://polkadot.subsquare.io/treasury/proposals/756", 756)</f>
        <v>756</v>
      </c>
      <c r="B79" s="59">
        <f>HYPERLINK("https://polkadot.subsquare.io/referenda/601", 601)</f>
        <v>601</v>
      </c>
      <c r="C79" s="1" t="s">
        <v>1210</v>
      </c>
      <c r="D79" s="69">
        <v>45373.0</v>
      </c>
      <c r="E79" s="69">
        <v>45424.0</v>
      </c>
      <c r="F79" s="1" t="s">
        <v>2832</v>
      </c>
      <c r="G79" s="112">
        <v>50817.27</v>
      </c>
      <c r="H79" s="112">
        <v>349114.64489999996</v>
      </c>
      <c r="I79" s="112">
        <v>349114.64489999996</v>
      </c>
      <c r="J79" s="1" t="s">
        <v>2829</v>
      </c>
    </row>
    <row r="80">
      <c r="A80" s="59">
        <f>HYPERLINK("https://polkadot.subsquare.io/treasury/proposals/755", 755)</f>
        <v>755</v>
      </c>
      <c r="B80" s="59">
        <f>HYPERLINK("https://polkadot.subsquare.io/referenda/627", 627)</f>
        <v>627</v>
      </c>
      <c r="C80" s="1" t="s">
        <v>1218</v>
      </c>
      <c r="D80" s="69">
        <v>45379.0</v>
      </c>
      <c r="E80" s="69">
        <v>45424.0</v>
      </c>
      <c r="F80" s="1" t="s">
        <v>2832</v>
      </c>
      <c r="G80" s="112">
        <v>5300.0</v>
      </c>
      <c r="H80" s="112">
        <v>36411.0</v>
      </c>
      <c r="I80" s="112">
        <v>36411.0</v>
      </c>
      <c r="J80" s="1" t="s">
        <v>2830</v>
      </c>
    </row>
    <row r="81">
      <c r="A81" s="59">
        <f>HYPERLINK("https://polkadot.subsquare.io/treasury/proposals/754", 754)</f>
        <v>754</v>
      </c>
      <c r="B81" s="59">
        <f>HYPERLINK("https://polkadot.subsquare.io/referenda/596", 596)</f>
        <v>596</v>
      </c>
      <c r="C81" s="1" t="s">
        <v>2171</v>
      </c>
      <c r="D81" s="69">
        <v>45372.0</v>
      </c>
      <c r="E81" s="69">
        <v>45424.0</v>
      </c>
      <c r="F81" s="1" t="s">
        <v>2832</v>
      </c>
      <c r="G81" s="112">
        <v>500000.0</v>
      </c>
      <c r="H81" s="112">
        <v>3435000.0</v>
      </c>
      <c r="I81" s="112">
        <v>3435000.0</v>
      </c>
      <c r="J81" s="1" t="s">
        <v>2831</v>
      </c>
    </row>
    <row r="82">
      <c r="A82" s="59">
        <f>HYPERLINK("https://polkadot.subsquare.io/treasury/proposals/753", 753)</f>
        <v>753</v>
      </c>
      <c r="B82" s="59">
        <f>HYPERLINK("https://polkadot.subsquare.io/referenda/681", 681)</f>
        <v>681</v>
      </c>
      <c r="C82" s="1" t="s">
        <v>982</v>
      </c>
      <c r="D82" s="69">
        <v>45400.0</v>
      </c>
      <c r="E82" s="69">
        <v>45424.0</v>
      </c>
      <c r="F82" s="1" t="s">
        <v>2832</v>
      </c>
      <c r="G82" s="112"/>
      <c r="H82" s="112"/>
      <c r="I82" s="112"/>
      <c r="J82" s="1" t="s">
        <v>2833</v>
      </c>
    </row>
    <row r="83">
      <c r="A83" s="59">
        <f>HYPERLINK("https://polkadot.subsquare.io/treasury/proposals/752", 752)</f>
        <v>752</v>
      </c>
      <c r="B83" s="59">
        <f>HYPERLINK("https://polkadot.subsquare.io/referenda/674", 674)</f>
        <v>674</v>
      </c>
      <c r="C83" s="1" t="s">
        <v>1240</v>
      </c>
      <c r="D83" s="69">
        <v>45397.0</v>
      </c>
      <c r="E83" s="69">
        <v>45424.0</v>
      </c>
      <c r="F83" s="1" t="s">
        <v>2832</v>
      </c>
      <c r="G83" s="112">
        <v>824.0</v>
      </c>
      <c r="H83" s="112">
        <v>5314.8</v>
      </c>
      <c r="I83" s="112">
        <v>5314.8</v>
      </c>
      <c r="J83" s="1" t="s">
        <v>2828</v>
      </c>
    </row>
    <row r="84">
      <c r="A84" s="59">
        <f>HYPERLINK("https://polkadot.subsquare.io/treasury/proposals/751", 751)</f>
        <v>751</v>
      </c>
      <c r="B84" s="59">
        <f>HYPERLINK("https://polkadot.subsquare.io/referenda/584", 584)</f>
        <v>584</v>
      </c>
      <c r="C84" s="1" t="s">
        <v>1205</v>
      </c>
      <c r="D84" s="69">
        <v>45369.0</v>
      </c>
      <c r="E84" s="69">
        <v>45424.0</v>
      </c>
      <c r="F84" s="1" t="s">
        <v>2832</v>
      </c>
      <c r="G84" s="112">
        <v>167214.563518</v>
      </c>
      <c r="H84" s="112">
        <v>1148764.05136866</v>
      </c>
      <c r="I84" s="112">
        <v>1148764.05136866</v>
      </c>
      <c r="J84" s="1" t="s">
        <v>2831</v>
      </c>
    </row>
    <row r="85">
      <c r="A85" s="59">
        <f>HYPERLINK("https://polkadot.subsquare.io/treasury/proposals/750", 750)</f>
        <v>750</v>
      </c>
      <c r="B85" s="59">
        <f>HYPERLINK("https://polkadot.subsquare.io/referenda/673", 673)</f>
        <v>673</v>
      </c>
      <c r="C85" s="1" t="s">
        <v>1239</v>
      </c>
      <c r="D85" s="69">
        <v>45396.0</v>
      </c>
      <c r="E85" s="69">
        <v>45424.0</v>
      </c>
      <c r="F85" s="1" t="s">
        <v>2832</v>
      </c>
      <c r="G85" s="112">
        <v>889.0</v>
      </c>
      <c r="H85" s="112">
        <v>5734.05</v>
      </c>
      <c r="I85" s="112">
        <v>5734.05</v>
      </c>
      <c r="J85" s="1" t="s">
        <v>2828</v>
      </c>
    </row>
    <row r="86">
      <c r="A86" s="59">
        <f>HYPERLINK("https://polkadot.subsquare.io/treasury/proposals/749", 749)</f>
        <v>749</v>
      </c>
      <c r="B86" s="59">
        <f>HYPERLINK("https://polkadot.subsquare.io/referenda/667", 667)</f>
        <v>667</v>
      </c>
      <c r="C86" s="1" t="s">
        <v>1235</v>
      </c>
      <c r="D86" s="69">
        <v>45393.0</v>
      </c>
      <c r="E86" s="69">
        <v>45400.0</v>
      </c>
      <c r="F86" s="1" t="s">
        <v>2832</v>
      </c>
      <c r="G86" s="112">
        <v>550.0</v>
      </c>
      <c r="H86" s="112">
        <v>3778.5</v>
      </c>
      <c r="I86" s="112">
        <v>3778.5</v>
      </c>
      <c r="J86" s="1" t="s">
        <v>2828</v>
      </c>
    </row>
    <row r="87">
      <c r="A87" s="59">
        <f>HYPERLINK("https://polkadot.subsquare.io/treasury/proposals/748", 748)</f>
        <v>748</v>
      </c>
      <c r="B87" s="59">
        <f>HYPERLINK("https://polkadot.subsquare.io/referenda/671", 671)</f>
        <v>671</v>
      </c>
      <c r="C87" s="1" t="s">
        <v>1237</v>
      </c>
      <c r="D87" s="69">
        <v>45394.0</v>
      </c>
      <c r="E87" s="69">
        <v>45400.0</v>
      </c>
      <c r="F87" s="1" t="s">
        <v>2832</v>
      </c>
      <c r="G87" s="112">
        <v>907.0</v>
      </c>
      <c r="H87" s="112">
        <v>6231.09</v>
      </c>
      <c r="I87" s="112">
        <v>6231.09</v>
      </c>
      <c r="J87" s="1" t="s">
        <v>2828</v>
      </c>
    </row>
    <row r="88">
      <c r="A88" s="59">
        <f>HYPERLINK("https://polkadot.subsquare.io/treasury/proposals/747", 747)</f>
        <v>747</v>
      </c>
      <c r="B88" s="59">
        <f>HYPERLINK("https://polkadot.subsquare.io/referenda/619", 619)</f>
        <v>619</v>
      </c>
      <c r="C88" s="1" t="s">
        <v>1216</v>
      </c>
      <c r="D88" s="69">
        <v>45378.0</v>
      </c>
      <c r="E88" s="69">
        <v>45400.0</v>
      </c>
      <c r="F88" s="1" t="s">
        <v>2832</v>
      </c>
      <c r="G88" s="112">
        <v>2812.27</v>
      </c>
      <c r="H88" s="112">
        <v>19320.2949</v>
      </c>
      <c r="I88" s="112">
        <v>19320.2949</v>
      </c>
      <c r="J88" s="1" t="s">
        <v>2830</v>
      </c>
    </row>
    <row r="89">
      <c r="A89" s="59">
        <f>HYPERLINK("https://polkadot.subsquare.io/treasury/proposals/746", 746)</f>
        <v>746</v>
      </c>
      <c r="B89" s="59">
        <f>HYPERLINK("https://polkadot.subsquare.io/referenda/597", 597)</f>
        <v>597</v>
      </c>
      <c r="C89" s="1" t="s">
        <v>1207</v>
      </c>
      <c r="D89" s="69">
        <v>45372.0</v>
      </c>
      <c r="E89" s="69">
        <v>45400.0</v>
      </c>
      <c r="F89" s="1" t="s">
        <v>2832</v>
      </c>
      <c r="G89" s="112">
        <v>58902.0</v>
      </c>
      <c r="H89" s="112">
        <v>404656.74</v>
      </c>
      <c r="I89" s="112">
        <v>404656.74</v>
      </c>
      <c r="J89" s="1" t="s">
        <v>2829</v>
      </c>
    </row>
    <row r="90">
      <c r="A90" s="59">
        <f>HYPERLINK("https://polkadot.subsquare.io/treasury/proposals/745", 745)</f>
        <v>745</v>
      </c>
      <c r="B90" s="59">
        <f>HYPERLINK("https://polkadot.subsquare.io/referenda/616", 616)</f>
        <v>616</v>
      </c>
      <c r="C90" s="1" t="s">
        <v>2837</v>
      </c>
      <c r="D90" s="69">
        <v>45378.0</v>
      </c>
      <c r="E90" s="69">
        <v>45400.0</v>
      </c>
      <c r="F90" s="1" t="s">
        <v>2832</v>
      </c>
      <c r="G90" s="112">
        <v>290000.0</v>
      </c>
      <c r="H90" s="112">
        <v>1992300.0</v>
      </c>
      <c r="I90" s="112">
        <v>1992300.0</v>
      </c>
      <c r="J90" s="1" t="s">
        <v>2831</v>
      </c>
    </row>
    <row r="91">
      <c r="A91" s="59">
        <f>HYPERLINK("https://polkadot.subsquare.io/treasury/proposals/744", 744)</f>
        <v>744</v>
      </c>
      <c r="B91" s="59">
        <f>HYPERLINK("https://polkadot.subsquare.io/referenda/670", 670)</f>
        <v>670</v>
      </c>
      <c r="C91" s="1" t="s">
        <v>982</v>
      </c>
      <c r="D91" s="69">
        <v>45394.0</v>
      </c>
      <c r="E91" s="69">
        <v>45400.0</v>
      </c>
      <c r="F91" s="1" t="s">
        <v>2832</v>
      </c>
      <c r="G91" s="112"/>
      <c r="H91" s="112"/>
      <c r="I91" s="112"/>
      <c r="J91" s="1" t="s">
        <v>2833</v>
      </c>
    </row>
    <row r="92">
      <c r="A92" s="59">
        <f>HYPERLINK("https://polkadot.subsquare.io/treasury/proposals/743", 743)</f>
        <v>743</v>
      </c>
      <c r="B92" s="59">
        <f>HYPERLINK("https://polkadot.subsquare.io/referenda/666", 666)</f>
        <v>666</v>
      </c>
      <c r="C92" s="1" t="s">
        <v>982</v>
      </c>
      <c r="D92" s="69">
        <v>45393.0</v>
      </c>
      <c r="E92" s="69">
        <v>45400.0</v>
      </c>
      <c r="F92" s="1" t="s">
        <v>2832</v>
      </c>
      <c r="G92" s="112"/>
      <c r="H92" s="112"/>
      <c r="I92" s="112"/>
      <c r="J92" s="1" t="s">
        <v>2833</v>
      </c>
    </row>
    <row r="93">
      <c r="A93" s="59">
        <f>HYPERLINK("https://polkadot.subsquare.io/treasury/proposals/742", 742)</f>
        <v>742</v>
      </c>
      <c r="B93" s="59">
        <f>HYPERLINK("https://polkadot.subsquare.io/referenda/580", 580)</f>
        <v>580</v>
      </c>
      <c r="C93" s="1" t="s">
        <v>1203</v>
      </c>
      <c r="D93" s="69">
        <v>45366.0</v>
      </c>
      <c r="E93" s="69">
        <v>45400.0</v>
      </c>
      <c r="F93" s="1" t="s">
        <v>2832</v>
      </c>
      <c r="G93" s="112">
        <v>1000000.0</v>
      </c>
      <c r="H93" s="112">
        <v>6870000.0</v>
      </c>
      <c r="I93" s="112">
        <v>6870000.0</v>
      </c>
      <c r="J93" s="1" t="s">
        <v>2831</v>
      </c>
    </row>
    <row r="94">
      <c r="A94" s="59">
        <f>HYPERLINK("https://polkadot.subsquare.io/treasury/proposals/741", 741)</f>
        <v>741</v>
      </c>
      <c r="B94" s="59">
        <f>HYPERLINK("https://polkadot.subsquare.io/referenda/611", 611)</f>
        <v>611</v>
      </c>
      <c r="C94" s="1" t="s">
        <v>1211</v>
      </c>
      <c r="D94" s="69">
        <v>45376.0</v>
      </c>
      <c r="E94" s="69">
        <v>45400.0</v>
      </c>
      <c r="F94" s="1" t="s">
        <v>2832</v>
      </c>
      <c r="G94" s="112">
        <v>45555.0</v>
      </c>
      <c r="H94" s="112">
        <v>312962.85</v>
      </c>
      <c r="I94" s="112">
        <v>312962.85</v>
      </c>
      <c r="J94" s="1" t="s">
        <v>2829</v>
      </c>
    </row>
    <row r="95">
      <c r="A95" s="59">
        <f>HYPERLINK("https://polkadot.subsquare.io/treasury/proposals/740", 740)</f>
        <v>740</v>
      </c>
      <c r="B95" s="59">
        <f>HYPERLINK("https://polkadot.subsquare.io/referenda/582", 582)</f>
        <v>582</v>
      </c>
      <c r="C95" s="1" t="s">
        <v>1204</v>
      </c>
      <c r="D95" s="69">
        <v>45369.0</v>
      </c>
      <c r="E95" s="69">
        <v>45400.0</v>
      </c>
      <c r="F95" s="1" t="s">
        <v>2832</v>
      </c>
      <c r="G95" s="112">
        <v>17406.0</v>
      </c>
      <c r="H95" s="112">
        <v>119579.22</v>
      </c>
      <c r="I95" s="112">
        <v>119579.22</v>
      </c>
      <c r="J95" s="1" t="s">
        <v>2829</v>
      </c>
    </row>
    <row r="96">
      <c r="A96" s="59">
        <f>HYPERLINK("https://polkadot.subsquare.io/treasury/proposals/739", 739)</f>
        <v>739</v>
      </c>
      <c r="B96" s="59">
        <f>HYPERLINK("https://polkadot.subsquare.io/referenda/574", 574)</f>
        <v>574</v>
      </c>
      <c r="C96" s="1" t="s">
        <v>2159</v>
      </c>
      <c r="D96" s="69">
        <v>45364.0</v>
      </c>
      <c r="E96" s="69">
        <v>45400.0</v>
      </c>
      <c r="F96" s="1" t="s">
        <v>2832</v>
      </c>
      <c r="G96" s="112">
        <v>84476.0</v>
      </c>
      <c r="H96" s="112">
        <v>580350.12</v>
      </c>
      <c r="I96" s="112">
        <v>580350.12</v>
      </c>
      <c r="J96" s="1" t="s">
        <v>2829</v>
      </c>
    </row>
    <row r="97">
      <c r="A97" s="59">
        <f>HYPERLINK("https://polkadot.subsquare.io/treasury/proposals/738", 738)</f>
        <v>738</v>
      </c>
      <c r="B97" s="59">
        <f>HYPERLINK("https://polkadot.subsquare.io/referenda/659", 659)</f>
        <v>659</v>
      </c>
      <c r="C97" s="1" t="s">
        <v>1232</v>
      </c>
      <c r="D97" s="69">
        <v>45391.0</v>
      </c>
      <c r="E97" s="69">
        <v>45400.0</v>
      </c>
      <c r="F97" s="1" t="s">
        <v>2832</v>
      </c>
      <c r="G97" s="112">
        <v>155.0</v>
      </c>
      <c r="H97" s="112">
        <v>1064.85</v>
      </c>
      <c r="I97" s="112">
        <v>1064.85</v>
      </c>
      <c r="J97" s="1" t="s">
        <v>2833</v>
      </c>
    </row>
    <row r="98">
      <c r="A98" s="59">
        <f>HYPERLINK("https://polkadot.subsquare.io/treasury/proposals/737", 737)</f>
        <v>737</v>
      </c>
      <c r="B98" s="59">
        <f>HYPERLINK("https://polkadot.subsquare.io/referenda/-1", -1)</f>
        <v>-1</v>
      </c>
      <c r="C98" s="1" t="s">
        <v>1231</v>
      </c>
      <c r="D98" s="69"/>
      <c r="E98" s="69">
        <v>45400.0</v>
      </c>
      <c r="F98" s="1" t="s">
        <v>2832</v>
      </c>
      <c r="G98" s="112"/>
      <c r="H98" s="112"/>
      <c r="I98" s="112"/>
      <c r="J98" s="1"/>
    </row>
    <row r="99">
      <c r="A99" s="59">
        <f>HYPERLINK("https://polkadot.subsquare.io/treasury/proposals/736", 736)</f>
        <v>736</v>
      </c>
      <c r="B99" s="59">
        <f>HYPERLINK("https://polkadot.subsquare.io/referenda/591", 591)</f>
        <v>591</v>
      </c>
      <c r="C99" s="1" t="s">
        <v>1206</v>
      </c>
      <c r="D99" s="69">
        <v>45371.0</v>
      </c>
      <c r="E99" s="69">
        <v>45400.0</v>
      </c>
      <c r="F99" s="1" t="s">
        <v>2832</v>
      </c>
      <c r="G99" s="112">
        <v>38921.48979</v>
      </c>
      <c r="H99" s="112">
        <v>267390.6348573</v>
      </c>
      <c r="I99" s="112">
        <v>267390.6348573</v>
      </c>
      <c r="J99" s="1" t="s">
        <v>2829</v>
      </c>
    </row>
    <row r="100">
      <c r="A100" s="59">
        <f>HYPERLINK("https://polkadot.subsquare.io/treasury/proposals/735", 735)</f>
        <v>735</v>
      </c>
      <c r="B100" s="59">
        <f>HYPERLINK("https://polkadot.subsquare.io/referenda/600", 600)</f>
        <v>600</v>
      </c>
      <c r="C100" s="1" t="s">
        <v>2838</v>
      </c>
      <c r="D100" s="69">
        <v>45373.0</v>
      </c>
      <c r="E100" s="69">
        <v>45400.0</v>
      </c>
      <c r="F100" s="1" t="s">
        <v>2832</v>
      </c>
      <c r="G100" s="112">
        <v>9468.0</v>
      </c>
      <c r="H100" s="112">
        <v>65045.16</v>
      </c>
      <c r="I100" s="112">
        <v>65045.16</v>
      </c>
      <c r="J100" s="1" t="s">
        <v>2830</v>
      </c>
    </row>
    <row r="101">
      <c r="A101" s="59">
        <f>HYPERLINK("https://polkadot.subsquare.io/treasury/proposals/734", 734)</f>
        <v>734</v>
      </c>
      <c r="B101" s="59">
        <f>HYPERLINK("https://polkadot.subsquare.io/referenda/555", 555)</f>
        <v>555</v>
      </c>
      <c r="C101" s="1" t="s">
        <v>1195</v>
      </c>
      <c r="D101" s="69">
        <v>45359.0</v>
      </c>
      <c r="E101" s="69">
        <v>45400.0</v>
      </c>
      <c r="F101" s="1" t="s">
        <v>2832</v>
      </c>
      <c r="G101" s="112">
        <v>64329.0</v>
      </c>
      <c r="H101" s="112">
        <v>441940.23</v>
      </c>
      <c r="I101" s="112">
        <v>441940.23</v>
      </c>
      <c r="J101" s="1" t="s">
        <v>2829</v>
      </c>
    </row>
    <row r="102">
      <c r="A102" s="59">
        <f>HYPERLINK("https://polkadot.subsquare.io/treasury/proposals/733", 733)</f>
        <v>733</v>
      </c>
      <c r="B102" s="59">
        <f>HYPERLINK("https://polkadot.subsquare.io/referenda/573", 573)</f>
        <v>573</v>
      </c>
      <c r="C102" s="1" t="s">
        <v>1201</v>
      </c>
      <c r="D102" s="69">
        <v>45363.0</v>
      </c>
      <c r="E102" s="69">
        <v>45400.0</v>
      </c>
      <c r="F102" s="1" t="s">
        <v>2832</v>
      </c>
      <c r="G102" s="112">
        <v>31474.0</v>
      </c>
      <c r="H102" s="112">
        <v>216226.38</v>
      </c>
      <c r="I102" s="112">
        <v>216226.38</v>
      </c>
      <c r="J102" s="1" t="s">
        <v>2829</v>
      </c>
    </row>
    <row r="103">
      <c r="A103" s="59">
        <f>HYPERLINK("https://polkadot.subsquare.io/treasury/proposals/732", 732)</f>
        <v>732</v>
      </c>
      <c r="B103" s="59">
        <f>HYPERLINK("https://polkadot.subsquare.io/referenda/576", 576)</f>
        <v>576</v>
      </c>
      <c r="C103" s="1" t="s">
        <v>1202</v>
      </c>
      <c r="D103" s="69">
        <v>45365.0</v>
      </c>
      <c r="E103" s="69">
        <v>45400.0</v>
      </c>
      <c r="F103" s="1" t="s">
        <v>2832</v>
      </c>
      <c r="G103" s="112">
        <v>11121.0</v>
      </c>
      <c r="H103" s="112">
        <v>76401.27</v>
      </c>
      <c r="I103" s="112">
        <v>76401.27</v>
      </c>
      <c r="J103" s="1" t="s">
        <v>2829</v>
      </c>
    </row>
    <row r="104">
      <c r="A104" s="59">
        <f>HYPERLINK("https://polkadot.subsquare.io/treasury/proposals/731", 731)</f>
        <v>731</v>
      </c>
      <c r="B104" s="59">
        <f>HYPERLINK("https://polkadot.subsquare.io/referenda/629", 629)</f>
        <v>629</v>
      </c>
      <c r="C104" s="1"/>
      <c r="D104" s="69">
        <v>45380.0</v>
      </c>
      <c r="E104" s="69">
        <v>45400.0</v>
      </c>
      <c r="F104" s="1" t="s">
        <v>2832</v>
      </c>
      <c r="G104" s="112"/>
      <c r="H104" s="112"/>
      <c r="I104" s="112"/>
      <c r="J104" s="1" t="s">
        <v>2833</v>
      </c>
    </row>
    <row r="105">
      <c r="A105" s="59">
        <f>HYPERLINK("https://polkadot.subsquare.io/treasury/proposals/730", 730)</f>
        <v>730</v>
      </c>
      <c r="B105" s="59">
        <f>HYPERLINK("https://polkadot.subsquare.io/referenda/560", 560)</f>
        <v>560</v>
      </c>
      <c r="C105" s="1" t="s">
        <v>2152</v>
      </c>
      <c r="D105" s="69">
        <v>45359.0</v>
      </c>
      <c r="E105" s="69">
        <v>45400.0</v>
      </c>
      <c r="F105" s="1" t="s">
        <v>2832</v>
      </c>
      <c r="G105" s="112">
        <v>1000000.0</v>
      </c>
      <c r="H105" s="112">
        <v>6870000.0</v>
      </c>
      <c r="I105" s="112">
        <v>6870000.0</v>
      </c>
      <c r="J105" s="1" t="s">
        <v>2831</v>
      </c>
    </row>
    <row r="106">
      <c r="A106" s="59">
        <f>HYPERLINK("https://polkadot.subsquare.io/treasury/proposals/729", 729)</f>
        <v>729</v>
      </c>
      <c r="B106" s="59">
        <f>HYPERLINK("https://polkadot.subsquare.io/referenda/561", 561)</f>
        <v>561</v>
      </c>
      <c r="C106" s="1" t="s">
        <v>1197</v>
      </c>
      <c r="D106" s="69">
        <v>45359.0</v>
      </c>
      <c r="E106" s="69">
        <v>45400.0</v>
      </c>
      <c r="F106" s="1" t="s">
        <v>2832</v>
      </c>
      <c r="G106" s="112">
        <v>1000000.0</v>
      </c>
      <c r="H106" s="112">
        <v>6870000.0</v>
      </c>
      <c r="I106" s="112">
        <v>6870000.0</v>
      </c>
      <c r="J106" s="1" t="s">
        <v>2831</v>
      </c>
    </row>
    <row r="107">
      <c r="A107" s="59">
        <f>HYPERLINK("https://polkadot.subsquare.io/treasury/proposals/728", 728)</f>
        <v>728</v>
      </c>
      <c r="B107" s="59">
        <f>HYPERLINK("https://polkadot.subsquare.io/referenda/638", 638)</f>
        <v>638</v>
      </c>
      <c r="C107" s="1" t="s">
        <v>982</v>
      </c>
      <c r="D107" s="69">
        <v>45384.0</v>
      </c>
      <c r="E107" s="69">
        <v>45400.0</v>
      </c>
      <c r="F107" s="1" t="s">
        <v>2832</v>
      </c>
      <c r="G107" s="112"/>
      <c r="H107" s="112"/>
      <c r="I107" s="112"/>
      <c r="J107" s="1" t="s">
        <v>2833</v>
      </c>
    </row>
    <row r="108">
      <c r="A108" s="59">
        <f>HYPERLINK("https://polkadot.subsquare.io/treasury/proposals/727", 727)</f>
        <v>727</v>
      </c>
      <c r="B108" s="59">
        <f>HYPERLINK("https://polkadot.subsquare.io/referenda/568", 568)</f>
        <v>568</v>
      </c>
      <c r="C108" s="1" t="s">
        <v>1199</v>
      </c>
      <c r="D108" s="69">
        <v>45362.0</v>
      </c>
      <c r="E108" s="69">
        <v>45400.0</v>
      </c>
      <c r="F108" s="1" t="s">
        <v>2832</v>
      </c>
      <c r="G108" s="112">
        <v>9500.0</v>
      </c>
      <c r="H108" s="112">
        <v>65265.0</v>
      </c>
      <c r="I108" s="112">
        <v>65265.0</v>
      </c>
      <c r="J108" s="1" t="s">
        <v>2830</v>
      </c>
    </row>
    <row r="109">
      <c r="A109" s="59">
        <f>HYPERLINK("https://polkadot.subsquare.io/treasury/proposals/726", 726)</f>
        <v>726</v>
      </c>
      <c r="B109" s="59">
        <f>HYPERLINK("https://polkadot.subsquare.io/referenda/552", 552)</f>
        <v>552</v>
      </c>
      <c r="C109" s="1" t="s">
        <v>1193</v>
      </c>
      <c r="D109" s="69">
        <v>45357.0</v>
      </c>
      <c r="E109" s="69">
        <v>45400.0</v>
      </c>
      <c r="F109" s="1" t="s">
        <v>2832</v>
      </c>
      <c r="G109" s="112">
        <v>171827.0</v>
      </c>
      <c r="H109" s="112">
        <v>1180451.49</v>
      </c>
      <c r="I109" s="112">
        <v>1180451.49</v>
      </c>
      <c r="J109" s="1" t="s">
        <v>2831</v>
      </c>
    </row>
    <row r="110">
      <c r="A110" s="59">
        <f>HYPERLINK("https://polkadot.subsquare.io/treasury/proposals/725", 725)</f>
        <v>725</v>
      </c>
      <c r="B110" s="59">
        <f>HYPERLINK("https://polkadot.subsquare.io/referenda/539", 539)</f>
        <v>539</v>
      </c>
      <c r="C110" s="1" t="s">
        <v>1189</v>
      </c>
      <c r="D110" s="69">
        <v>45352.0</v>
      </c>
      <c r="E110" s="69">
        <v>45400.0</v>
      </c>
      <c r="F110" s="1" t="s">
        <v>2832</v>
      </c>
      <c r="G110" s="112">
        <v>39326.0</v>
      </c>
      <c r="H110" s="112">
        <v>270169.62</v>
      </c>
      <c r="I110" s="112">
        <v>270169.62</v>
      </c>
      <c r="J110" s="1" t="s">
        <v>2829</v>
      </c>
    </row>
    <row r="111">
      <c r="A111" s="59">
        <f>HYPERLINK("https://polkadot.subsquare.io/treasury/proposals/724", 724)</f>
        <v>724</v>
      </c>
      <c r="B111" s="59">
        <f>HYPERLINK("https://polkadot.subsquare.io/referenda/518", 518)</f>
        <v>518</v>
      </c>
      <c r="C111" s="1" t="s">
        <v>1186</v>
      </c>
      <c r="D111" s="69">
        <v>45343.0</v>
      </c>
      <c r="E111" s="69">
        <v>45400.0</v>
      </c>
      <c r="F111" s="1" t="s">
        <v>2832</v>
      </c>
      <c r="G111" s="112">
        <v>34540.0</v>
      </c>
      <c r="H111" s="112">
        <v>237289.80000000002</v>
      </c>
      <c r="I111" s="112">
        <v>237289.80000000002</v>
      </c>
      <c r="J111" s="1" t="s">
        <v>2829</v>
      </c>
    </row>
    <row r="112">
      <c r="A112" s="59">
        <f>HYPERLINK("https://polkadot.subsquare.io/treasury/proposals/723", 723)</f>
        <v>723</v>
      </c>
      <c r="B112" s="59">
        <f>HYPERLINK("https://polkadot.subsquare.io/referenda/541", 541)</f>
        <v>541</v>
      </c>
      <c r="C112" s="1" t="s">
        <v>1190</v>
      </c>
      <c r="D112" s="69">
        <v>45353.0</v>
      </c>
      <c r="E112" s="69">
        <v>45400.0</v>
      </c>
      <c r="F112" s="1" t="s">
        <v>2832</v>
      </c>
      <c r="G112" s="112">
        <v>4471.0</v>
      </c>
      <c r="H112" s="112">
        <v>30715.77</v>
      </c>
      <c r="I112" s="112">
        <v>30715.77</v>
      </c>
      <c r="J112" s="1" t="s">
        <v>2830</v>
      </c>
    </row>
    <row r="113">
      <c r="A113" s="59">
        <f>HYPERLINK("https://polkadot.subsquare.io/treasury/proposals/722", 722)</f>
        <v>722</v>
      </c>
      <c r="B113" s="59">
        <f>HYPERLINK("https://polkadot.subsquare.io/referenda/621", 621)</f>
        <v>621</v>
      </c>
      <c r="C113" s="1" t="s">
        <v>1217</v>
      </c>
      <c r="D113" s="69">
        <v>45378.0</v>
      </c>
      <c r="E113" s="69">
        <v>45400.0</v>
      </c>
      <c r="F113" s="1" t="s">
        <v>2832</v>
      </c>
      <c r="G113" s="112">
        <v>694.2</v>
      </c>
      <c r="H113" s="112">
        <v>4769.154</v>
      </c>
      <c r="I113" s="112">
        <v>4769.154</v>
      </c>
      <c r="J113" s="1" t="s">
        <v>2828</v>
      </c>
    </row>
    <row r="114">
      <c r="A114" s="59">
        <f>HYPERLINK("https://polkadot.subsquare.io/treasury/proposals/721", 721)</f>
        <v>721</v>
      </c>
      <c r="B114" s="59">
        <f>HYPERLINK("https://polkadot.subsquare.io/referenda/628", 628)</f>
        <v>628</v>
      </c>
      <c r="C114" s="1" t="s">
        <v>1219</v>
      </c>
      <c r="D114" s="69">
        <v>45380.0</v>
      </c>
      <c r="E114" s="69">
        <v>45400.0</v>
      </c>
      <c r="F114" s="1" t="s">
        <v>2832</v>
      </c>
      <c r="G114" s="112"/>
      <c r="H114" s="112"/>
      <c r="I114" s="112"/>
      <c r="J114" s="1" t="s">
        <v>2833</v>
      </c>
    </row>
    <row r="115">
      <c r="A115" s="59">
        <f>HYPERLINK("https://polkadot.subsquare.io/treasury/proposals/720", 720)</f>
        <v>720</v>
      </c>
      <c r="B115" s="59">
        <f>HYPERLINK("https://polkadot.subsquare.io/referenda/-1", -1)</f>
        <v>-1</v>
      </c>
      <c r="C115" s="1" t="s">
        <v>1219</v>
      </c>
      <c r="D115" s="69"/>
      <c r="E115" s="69">
        <v>45400.0</v>
      </c>
      <c r="F115" s="1" t="s">
        <v>2832</v>
      </c>
      <c r="G115" s="112"/>
      <c r="H115" s="112"/>
      <c r="I115" s="112"/>
      <c r="J115" s="1"/>
    </row>
    <row r="116">
      <c r="A116" s="59">
        <f>HYPERLINK("https://polkadot.subsquare.io/treasury/proposals/719", 719)</f>
        <v>719</v>
      </c>
      <c r="B116" s="59">
        <f>HYPERLINK("https://polkadot.subsquare.io/referenda/622", 622)</f>
        <v>622</v>
      </c>
      <c r="C116" s="1" t="s">
        <v>982</v>
      </c>
      <c r="D116" s="69">
        <v>45379.0</v>
      </c>
      <c r="E116" s="69">
        <v>45400.0</v>
      </c>
      <c r="F116" s="1" t="s">
        <v>2832</v>
      </c>
      <c r="G116" s="112"/>
      <c r="H116" s="112"/>
      <c r="I116" s="112"/>
      <c r="J116" s="1" t="s">
        <v>2833</v>
      </c>
    </row>
    <row r="117">
      <c r="A117" s="59">
        <f>HYPERLINK("https://polkadot.subsquare.io/treasury/proposals/718", 718)</f>
        <v>718</v>
      </c>
      <c r="B117" s="59">
        <f>HYPERLINK("https://polkadot.subsquare.io/referenda/554", 554)</f>
        <v>554</v>
      </c>
      <c r="C117" s="1" t="s">
        <v>1194</v>
      </c>
      <c r="D117" s="69">
        <v>45358.0</v>
      </c>
      <c r="E117" s="69">
        <v>45400.0</v>
      </c>
      <c r="F117" s="1" t="s">
        <v>2832</v>
      </c>
      <c r="G117" s="112">
        <v>32393.2</v>
      </c>
      <c r="H117" s="112">
        <v>222541.284</v>
      </c>
      <c r="I117" s="112">
        <v>222541.284</v>
      </c>
      <c r="J117" s="1" t="s">
        <v>2829</v>
      </c>
    </row>
    <row r="118">
      <c r="A118" s="59">
        <f>HYPERLINK("https://polkadot.subsquare.io/treasury/proposals/717", 717)</f>
        <v>717</v>
      </c>
      <c r="B118" s="59">
        <f>HYPERLINK("https://polkadot.subsquare.io/referenda/610", 610)</f>
        <v>610</v>
      </c>
      <c r="C118" s="1"/>
      <c r="D118" s="69">
        <v>45376.0</v>
      </c>
      <c r="E118" s="69">
        <v>45400.0</v>
      </c>
      <c r="F118" s="1" t="s">
        <v>2832</v>
      </c>
      <c r="G118" s="112"/>
      <c r="H118" s="112"/>
      <c r="I118" s="112"/>
      <c r="J118" s="1" t="s">
        <v>2833</v>
      </c>
    </row>
    <row r="119">
      <c r="A119" s="59">
        <f>HYPERLINK("https://polkadot.subsquare.io/treasury/proposals/716", 716)</f>
        <v>716</v>
      </c>
      <c r="B119" s="59">
        <f>HYPERLINK("https://polkadot.subsquare.io/referenda/567", 567)</f>
        <v>567</v>
      </c>
      <c r="C119" s="1" t="s">
        <v>1198</v>
      </c>
      <c r="D119" s="69">
        <v>45362.0</v>
      </c>
      <c r="E119" s="69">
        <v>45400.0</v>
      </c>
      <c r="F119" s="1" t="s">
        <v>2832</v>
      </c>
      <c r="G119" s="112">
        <v>7215.0</v>
      </c>
      <c r="H119" s="112">
        <v>49567.05</v>
      </c>
      <c r="I119" s="112">
        <v>49567.05</v>
      </c>
      <c r="J119" s="1" t="s">
        <v>2830</v>
      </c>
    </row>
    <row r="120">
      <c r="A120" s="59">
        <f>HYPERLINK("https://polkadot.subsquare.io/treasury/proposals/715", 715)</f>
        <v>715</v>
      </c>
      <c r="B120" s="59">
        <f>HYPERLINK("https://polkadot.subsquare.io/referenda/589", 589)</f>
        <v>589</v>
      </c>
      <c r="C120" s="1" t="s">
        <v>982</v>
      </c>
      <c r="D120" s="69">
        <v>45371.0</v>
      </c>
      <c r="E120" s="69">
        <v>45375.0</v>
      </c>
      <c r="F120" s="1" t="s">
        <v>2832</v>
      </c>
      <c r="G120" s="112"/>
      <c r="H120" s="112"/>
      <c r="I120" s="112"/>
      <c r="J120" s="1" t="s">
        <v>2833</v>
      </c>
    </row>
    <row r="121">
      <c r="A121" s="59">
        <f>HYPERLINK("https://polkadot.subsquare.io/treasury/proposals/714", 714)</f>
        <v>714</v>
      </c>
      <c r="B121" s="59">
        <f>HYPERLINK("https://polkadot.subsquare.io/referenda/544", 544)</f>
        <v>544</v>
      </c>
      <c r="C121" s="1" t="s">
        <v>1192</v>
      </c>
      <c r="D121" s="69">
        <v>45354.0</v>
      </c>
      <c r="E121" s="69">
        <v>45375.0</v>
      </c>
      <c r="F121" s="1" t="s">
        <v>2832</v>
      </c>
      <c r="G121" s="112">
        <v>98026.0</v>
      </c>
      <c r="H121" s="112">
        <v>673438.62</v>
      </c>
      <c r="I121" s="112">
        <v>673438.62</v>
      </c>
      <c r="J121" s="1" t="s">
        <v>2829</v>
      </c>
    </row>
    <row r="122">
      <c r="A122" s="59">
        <f>HYPERLINK("https://polkadot.subsquare.io/treasury/proposals/713", 713)</f>
        <v>713</v>
      </c>
      <c r="B122" s="59">
        <f>HYPERLINK("https://polkadot.subsquare.io/referenda/588", 588)</f>
        <v>588</v>
      </c>
      <c r="C122" s="1" t="s">
        <v>982</v>
      </c>
      <c r="D122" s="69">
        <v>45371.0</v>
      </c>
      <c r="E122" s="69">
        <v>45375.0</v>
      </c>
      <c r="F122" s="1" t="s">
        <v>2832</v>
      </c>
      <c r="G122" s="112"/>
      <c r="H122" s="112"/>
      <c r="I122" s="112"/>
      <c r="J122" s="1" t="s">
        <v>2833</v>
      </c>
    </row>
    <row r="123">
      <c r="A123" s="59">
        <f>HYPERLINK("https://polkadot.subsquare.io/treasury/proposals/712", 712)</f>
        <v>712</v>
      </c>
      <c r="B123" s="59">
        <f>HYPERLINK("https://polkadot.subsquare.io/referenda/585", 585)</f>
        <v>585</v>
      </c>
      <c r="C123" s="1" t="s">
        <v>982</v>
      </c>
      <c r="D123" s="69">
        <v>45369.0</v>
      </c>
      <c r="E123" s="69">
        <v>45375.0</v>
      </c>
      <c r="F123" s="1" t="s">
        <v>2832</v>
      </c>
      <c r="G123" s="112"/>
      <c r="H123" s="112"/>
      <c r="I123" s="112"/>
      <c r="J123" s="1" t="s">
        <v>2833</v>
      </c>
    </row>
    <row r="124">
      <c r="A124" s="59">
        <f>HYPERLINK("https://polkadot.subsquare.io/treasury/proposals/711", 711)</f>
        <v>711</v>
      </c>
      <c r="B124" s="59">
        <f>HYPERLINK("https://polkadot.subsquare.io/referenda/529", 529)</f>
        <v>529</v>
      </c>
      <c r="C124" s="1" t="s">
        <v>2133</v>
      </c>
      <c r="D124" s="69">
        <v>45349.0</v>
      </c>
      <c r="E124" s="69">
        <v>45375.0</v>
      </c>
      <c r="F124" s="1" t="s">
        <v>2832</v>
      </c>
      <c r="G124" s="112">
        <v>250000.0</v>
      </c>
      <c r="H124" s="112">
        <v>1717500.0</v>
      </c>
      <c r="I124" s="112">
        <v>1717500.0</v>
      </c>
      <c r="J124" s="1" t="s">
        <v>2831</v>
      </c>
    </row>
    <row r="125">
      <c r="A125" s="59">
        <f>HYPERLINK("https://polkadot.subsquare.io/treasury/proposals/710", 710)</f>
        <v>710</v>
      </c>
      <c r="B125" s="59">
        <f>HYPERLINK("https://polkadot.subsquare.io/referenda/542", 542)</f>
        <v>542</v>
      </c>
      <c r="C125" s="1" t="s">
        <v>1191</v>
      </c>
      <c r="D125" s="69">
        <v>45353.0</v>
      </c>
      <c r="E125" s="69">
        <v>45375.0</v>
      </c>
      <c r="F125" s="1" t="s">
        <v>2832</v>
      </c>
      <c r="G125" s="112">
        <v>14737.47</v>
      </c>
      <c r="H125" s="112">
        <v>101246.4189</v>
      </c>
      <c r="I125" s="112">
        <v>101246.4189</v>
      </c>
      <c r="J125" s="1" t="s">
        <v>2829</v>
      </c>
    </row>
    <row r="126">
      <c r="A126" s="59">
        <f>HYPERLINK("https://polkadot.subsquare.io/treasury/proposals/709", 709)</f>
        <v>709</v>
      </c>
      <c r="B126" s="59">
        <f>HYPERLINK("https://polkadot.subsquare.io/referenda/578", 578)</f>
        <v>578</v>
      </c>
      <c r="C126" s="1" t="s">
        <v>982</v>
      </c>
      <c r="D126" s="69">
        <v>45366.0</v>
      </c>
      <c r="E126" s="69">
        <v>45375.0</v>
      </c>
      <c r="F126" s="1" t="s">
        <v>2832</v>
      </c>
      <c r="G126" s="112"/>
      <c r="H126" s="112"/>
      <c r="I126" s="112"/>
      <c r="J126" s="1" t="s">
        <v>2833</v>
      </c>
    </row>
    <row r="127">
      <c r="A127" s="59">
        <f>HYPERLINK("https://polkadot.subsquare.io/treasury/proposals/708", 708)</f>
        <v>708</v>
      </c>
      <c r="B127" s="59">
        <f>HYPERLINK("https://polkadot.subsquare.io/referenda/579", 579)</f>
        <v>579</v>
      </c>
      <c r="C127" s="1" t="s">
        <v>982</v>
      </c>
      <c r="D127" s="69">
        <v>45366.0</v>
      </c>
      <c r="E127" s="69">
        <v>45375.0</v>
      </c>
      <c r="F127" s="1" t="s">
        <v>2832</v>
      </c>
      <c r="G127" s="112"/>
      <c r="H127" s="112"/>
      <c r="I127" s="112"/>
      <c r="J127" s="1" t="s">
        <v>2833</v>
      </c>
    </row>
    <row r="128">
      <c r="A128" s="59">
        <f>HYPERLINK("https://polkadot.subsquare.io/treasury/proposals/707", 707)</f>
        <v>707</v>
      </c>
      <c r="B128" s="59">
        <f>HYPERLINK("https://polkadot.subsquare.io/referenda/569", 569)</f>
        <v>569</v>
      </c>
      <c r="C128" s="1" t="s">
        <v>1200</v>
      </c>
      <c r="D128" s="69">
        <v>45363.0</v>
      </c>
      <c r="E128" s="69">
        <v>45375.0</v>
      </c>
      <c r="F128" s="1" t="s">
        <v>2832</v>
      </c>
      <c r="G128" s="112">
        <v>900.0</v>
      </c>
      <c r="H128" s="112">
        <v>6183.0</v>
      </c>
      <c r="I128" s="112">
        <v>6183.0</v>
      </c>
      <c r="J128" s="1" t="s">
        <v>2828</v>
      </c>
    </row>
    <row r="129">
      <c r="A129" s="59">
        <f>HYPERLINK("https://polkadot.subsquare.io/treasury/proposals/706", 706)</f>
        <v>706</v>
      </c>
      <c r="B129" s="59">
        <f>HYPERLINK("https://polkadot.subsquare.io/referenda/496", 496)</f>
        <v>496</v>
      </c>
      <c r="C129" s="1" t="s">
        <v>1178</v>
      </c>
      <c r="D129" s="69">
        <v>45335.0</v>
      </c>
      <c r="E129" s="69">
        <v>45375.0</v>
      </c>
      <c r="F129" s="1" t="s">
        <v>2832</v>
      </c>
      <c r="G129" s="112"/>
      <c r="H129" s="112"/>
      <c r="I129" s="112"/>
      <c r="J129" s="1"/>
    </row>
    <row r="130">
      <c r="A130" s="59">
        <f>HYPERLINK("https://polkadot.subsquare.io/treasury/proposals/705", 705)</f>
        <v>705</v>
      </c>
      <c r="B130" s="59">
        <f>HYPERLINK("https://polkadot.subsquare.io/referenda/508", 508)</f>
        <v>508</v>
      </c>
      <c r="C130" s="1" t="s">
        <v>1184</v>
      </c>
      <c r="D130" s="69">
        <v>45338.0</v>
      </c>
      <c r="E130" s="69">
        <v>45375.0</v>
      </c>
      <c r="F130" s="1" t="s">
        <v>2832</v>
      </c>
      <c r="G130" s="112"/>
      <c r="H130" s="112"/>
      <c r="I130" s="112"/>
      <c r="J130" s="1"/>
    </row>
    <row r="131">
      <c r="A131" s="59">
        <f>HYPERLINK("https://polkadot.subsquare.io/treasury/proposals/704", 704)</f>
        <v>704</v>
      </c>
      <c r="B131" s="59">
        <f>HYPERLINK("https://polkadot.subsquare.io/referenda/571", 571)</f>
        <v>571</v>
      </c>
      <c r="C131" s="1"/>
      <c r="D131" s="69">
        <v>45363.0</v>
      </c>
      <c r="E131" s="69">
        <v>45375.0</v>
      </c>
      <c r="F131" s="1" t="s">
        <v>2832</v>
      </c>
      <c r="G131" s="112"/>
      <c r="H131" s="112"/>
      <c r="I131" s="112"/>
      <c r="J131" s="1" t="s">
        <v>2833</v>
      </c>
    </row>
    <row r="132">
      <c r="A132" s="59">
        <f>HYPERLINK("https://polkadot.subsquare.io/treasury/proposals/703", 703)</f>
        <v>703</v>
      </c>
      <c r="B132" s="59">
        <f>HYPERLINK("https://polkadot.subsquare.io/referenda/506", 506)</f>
        <v>506</v>
      </c>
      <c r="C132" s="1" t="s">
        <v>2839</v>
      </c>
      <c r="D132" s="69">
        <v>45338.0</v>
      </c>
      <c r="E132" s="69">
        <v>45375.0</v>
      </c>
      <c r="F132" s="1" t="s">
        <v>2832</v>
      </c>
      <c r="G132" s="112"/>
      <c r="H132" s="112"/>
      <c r="I132" s="112"/>
      <c r="J132" s="1"/>
    </row>
    <row r="133">
      <c r="A133" s="59">
        <f>HYPERLINK("https://polkadot.subsquare.io/treasury/proposals/702", 702)</f>
        <v>702</v>
      </c>
      <c r="B133" s="59">
        <f>HYPERLINK("https://polkadot.subsquare.io/referenda/559", 559)</f>
        <v>559</v>
      </c>
      <c r="C133" s="1" t="s">
        <v>1196</v>
      </c>
      <c r="D133" s="69">
        <v>45359.0</v>
      </c>
      <c r="E133" s="69">
        <v>45375.0</v>
      </c>
      <c r="F133" s="1" t="s">
        <v>2832</v>
      </c>
      <c r="G133" s="112">
        <v>1000.0</v>
      </c>
      <c r="H133" s="112">
        <v>6870.0</v>
      </c>
      <c r="I133" s="112">
        <v>6870.0</v>
      </c>
      <c r="J133" s="1" t="s">
        <v>2828</v>
      </c>
    </row>
    <row r="134">
      <c r="A134" s="59">
        <f>HYPERLINK("https://polkadot.subsquare.io/treasury/proposals/701", 701)</f>
        <v>701</v>
      </c>
      <c r="B134" s="59">
        <f>HYPERLINK("https://polkadot.subsquare.io/referenda/503", 503)</f>
        <v>503</v>
      </c>
      <c r="C134" s="1" t="s">
        <v>1181</v>
      </c>
      <c r="D134" s="69">
        <v>45337.0</v>
      </c>
      <c r="E134" s="69">
        <v>45375.0</v>
      </c>
      <c r="F134" s="1" t="s">
        <v>2832</v>
      </c>
      <c r="G134" s="112"/>
      <c r="H134" s="112"/>
      <c r="I134" s="112"/>
      <c r="J134" s="1"/>
    </row>
    <row r="135">
      <c r="A135" s="59">
        <f>HYPERLINK("https://polkadot.subsquare.io/treasury/proposals/700", 700)</f>
        <v>700</v>
      </c>
      <c r="B135" s="59">
        <f>HYPERLINK("https://polkadot.subsquare.io/referenda/499", 499)</f>
        <v>499</v>
      </c>
      <c r="C135" s="1" t="s">
        <v>1179</v>
      </c>
      <c r="D135" s="69">
        <v>45336.0</v>
      </c>
      <c r="E135" s="69">
        <v>45375.0</v>
      </c>
      <c r="F135" s="1" t="s">
        <v>2832</v>
      </c>
      <c r="G135" s="112"/>
      <c r="H135" s="112"/>
      <c r="I135" s="112"/>
      <c r="J135" s="1"/>
    </row>
    <row r="136">
      <c r="A136" s="59">
        <f>HYPERLINK("https://polkadot.subsquare.io/treasury/proposals/699", 699)</f>
        <v>699</v>
      </c>
      <c r="B136" s="59">
        <f>HYPERLINK("https://polkadot.subsquare.io/referenda/502", 502)</f>
        <v>502</v>
      </c>
      <c r="C136" s="1" t="s">
        <v>1180</v>
      </c>
      <c r="D136" s="69">
        <v>45336.0</v>
      </c>
      <c r="E136" s="69">
        <v>45375.0</v>
      </c>
      <c r="F136" s="1" t="s">
        <v>2832</v>
      </c>
      <c r="G136" s="112"/>
      <c r="H136" s="112"/>
      <c r="I136" s="112"/>
      <c r="J136" s="1"/>
    </row>
    <row r="137">
      <c r="A137" s="59">
        <f>HYPERLINK("https://polkadot.subsquare.io/treasury/proposals/698", 698)</f>
        <v>698</v>
      </c>
      <c r="B137" s="59">
        <f>HYPERLINK("https://polkadot.subsquare.io/referenda/493", 493)</f>
        <v>493</v>
      </c>
      <c r="C137" s="1" t="s">
        <v>1176</v>
      </c>
      <c r="D137" s="69">
        <v>45334.0</v>
      </c>
      <c r="E137" s="69">
        <v>45375.0</v>
      </c>
      <c r="F137" s="1" t="s">
        <v>2832</v>
      </c>
      <c r="G137" s="112"/>
      <c r="H137" s="112"/>
      <c r="I137" s="112"/>
      <c r="J137" s="1"/>
    </row>
    <row r="138">
      <c r="A138" s="59">
        <f>HYPERLINK("https://polkadot.subsquare.io/treasury/proposals/697", 697)</f>
        <v>697</v>
      </c>
      <c r="B138" s="59">
        <f>HYPERLINK("https://polkadot.subsquare.io/referenda/492", 492)</f>
        <v>492</v>
      </c>
      <c r="C138" s="1" t="s">
        <v>1175</v>
      </c>
      <c r="D138" s="69">
        <v>45334.0</v>
      </c>
      <c r="E138" s="69">
        <v>45375.0</v>
      </c>
      <c r="F138" s="1" t="s">
        <v>2832</v>
      </c>
      <c r="G138" s="112"/>
      <c r="H138" s="112"/>
      <c r="I138" s="112"/>
      <c r="J138" s="1"/>
    </row>
    <row r="139">
      <c r="A139" s="59">
        <f>HYPERLINK("https://polkadot.subsquare.io/treasury/proposals/696", 696)</f>
        <v>696</v>
      </c>
      <c r="B139" s="59">
        <f>HYPERLINK("https://polkadot.subsquare.io/referenda/483", 483)</f>
        <v>483</v>
      </c>
      <c r="C139" s="1" t="s">
        <v>1170</v>
      </c>
      <c r="D139" s="69">
        <v>45331.0</v>
      </c>
      <c r="E139" s="69">
        <v>45375.0</v>
      </c>
      <c r="F139" s="1" t="s">
        <v>2832</v>
      </c>
      <c r="G139" s="112"/>
      <c r="H139" s="112"/>
      <c r="I139" s="112"/>
      <c r="J139" s="1"/>
    </row>
    <row r="140">
      <c r="A140" s="59">
        <f>HYPERLINK("https://polkadot.subsquare.io/treasury/proposals/695", 695)</f>
        <v>695</v>
      </c>
      <c r="B140" s="59">
        <f>HYPERLINK("https://polkadot.subsquare.io/referenda/477", 477)</f>
        <v>477</v>
      </c>
      <c r="C140" s="1" t="s">
        <v>1167</v>
      </c>
      <c r="D140" s="69">
        <v>45330.0</v>
      </c>
      <c r="E140" s="69">
        <v>45375.0</v>
      </c>
      <c r="F140" s="1" t="s">
        <v>2832</v>
      </c>
      <c r="G140" s="112"/>
      <c r="H140" s="112"/>
      <c r="I140" s="112"/>
      <c r="J140" s="1"/>
    </row>
    <row r="141">
      <c r="A141" s="59">
        <f>HYPERLINK("https://polkadot.subsquare.io/treasury/proposals/694", 694)</f>
        <v>694</v>
      </c>
      <c r="B141" s="59">
        <f>HYPERLINK("https://polkadot.subsquare.io/referenda/494", 494)</f>
        <v>494</v>
      </c>
      <c r="C141" s="1" t="s">
        <v>1177</v>
      </c>
      <c r="D141" s="69">
        <v>45335.0</v>
      </c>
      <c r="E141" s="69">
        <v>45375.0</v>
      </c>
      <c r="F141" s="1" t="s">
        <v>2832</v>
      </c>
      <c r="G141" s="112"/>
      <c r="H141" s="112"/>
      <c r="I141" s="112"/>
      <c r="J141" s="1"/>
    </row>
    <row r="142">
      <c r="A142" s="59">
        <f>HYPERLINK("https://polkadot.subsquare.io/treasury/proposals/693", 693)</f>
        <v>693</v>
      </c>
      <c r="B142" s="59">
        <f>HYPERLINK("https://polkadot.subsquare.io/referenda/450", 450)</f>
        <v>450</v>
      </c>
      <c r="C142" s="1" t="s">
        <v>1154</v>
      </c>
      <c r="D142" s="69">
        <v>45321.0</v>
      </c>
      <c r="E142" s="69">
        <v>45375.0</v>
      </c>
      <c r="F142" s="1" t="s">
        <v>2832</v>
      </c>
      <c r="G142" s="112"/>
      <c r="H142" s="112"/>
      <c r="I142" s="112"/>
      <c r="J142" s="1"/>
    </row>
    <row r="143">
      <c r="A143" s="59">
        <f>HYPERLINK("https://polkadot.subsquare.io/treasury/proposals/692", 692)</f>
        <v>692</v>
      </c>
      <c r="B143" s="59">
        <f>HYPERLINK("https://polkadot.subsquare.io/referenda/462", 462)</f>
        <v>462</v>
      </c>
      <c r="C143" s="1" t="s">
        <v>1159</v>
      </c>
      <c r="D143" s="69">
        <v>45327.0</v>
      </c>
      <c r="E143" s="69">
        <v>45375.0</v>
      </c>
      <c r="F143" s="1" t="s">
        <v>2832</v>
      </c>
      <c r="G143" s="112"/>
      <c r="H143" s="112"/>
      <c r="I143" s="112"/>
      <c r="J143" s="1"/>
    </row>
    <row r="144">
      <c r="A144" s="59">
        <f>HYPERLINK("https://polkadot.subsquare.io/treasury/proposals/691", 691)</f>
        <v>691</v>
      </c>
      <c r="B144" s="59">
        <f>HYPERLINK("https://polkadot.subsquare.io/referenda/490", 490)</f>
        <v>490</v>
      </c>
      <c r="C144" s="1" t="s">
        <v>2840</v>
      </c>
      <c r="D144" s="69">
        <v>45334.0</v>
      </c>
      <c r="E144" s="69">
        <v>45375.0</v>
      </c>
      <c r="F144" s="1" t="s">
        <v>2832</v>
      </c>
      <c r="G144" s="112"/>
      <c r="H144" s="112"/>
      <c r="I144" s="112"/>
      <c r="J144" s="1"/>
    </row>
    <row r="145">
      <c r="A145" s="59">
        <f>HYPERLINK("https://polkadot.subsquare.io/treasury/proposals/690", 690)</f>
        <v>690</v>
      </c>
      <c r="B145" s="59">
        <f>HYPERLINK("https://polkadot.subsquare.io/referenda/484", 484)</f>
        <v>484</v>
      </c>
      <c r="C145" s="1" t="s">
        <v>2102</v>
      </c>
      <c r="D145" s="69">
        <v>45332.0</v>
      </c>
      <c r="E145" s="69">
        <v>45375.0</v>
      </c>
      <c r="F145" s="1" t="s">
        <v>2832</v>
      </c>
      <c r="G145" s="112"/>
      <c r="H145" s="112"/>
      <c r="I145" s="112"/>
      <c r="J145" s="1"/>
    </row>
    <row r="146">
      <c r="A146" s="59">
        <f>HYPERLINK("https://polkadot.subsquare.io/treasury/proposals/689", 689)</f>
        <v>689</v>
      </c>
      <c r="B146" s="59">
        <f>HYPERLINK("https://polkadot.subsquare.io/referenda/538", 538)</f>
        <v>538</v>
      </c>
      <c r="C146" s="1" t="s">
        <v>982</v>
      </c>
      <c r="D146" s="69">
        <v>45351.0</v>
      </c>
      <c r="E146" s="69">
        <v>45375.0</v>
      </c>
      <c r="F146" s="1" t="s">
        <v>2832</v>
      </c>
      <c r="G146" s="112"/>
      <c r="H146" s="112"/>
      <c r="I146" s="112"/>
      <c r="J146" s="1" t="s">
        <v>2833</v>
      </c>
    </row>
    <row r="147">
      <c r="A147" s="59">
        <f>HYPERLINK("https://polkadot.subsquare.io/treasury/proposals/688", 688)</f>
        <v>688</v>
      </c>
      <c r="B147" s="59">
        <f>HYPERLINK("https://polkadot.subsquare.io/referenda/467", 467)</f>
        <v>467</v>
      </c>
      <c r="C147" s="1" t="s">
        <v>1161</v>
      </c>
      <c r="D147" s="69">
        <v>45328.0</v>
      </c>
      <c r="E147" s="69">
        <v>45375.0</v>
      </c>
      <c r="F147" s="1" t="s">
        <v>2832</v>
      </c>
      <c r="G147" s="112"/>
      <c r="H147" s="112"/>
      <c r="I147" s="112"/>
      <c r="J147" s="1"/>
    </row>
    <row r="148">
      <c r="A148" s="59">
        <f>HYPERLINK("https://polkadot.subsquare.io/treasury/proposals/687", 687)</f>
        <v>687</v>
      </c>
      <c r="B148" s="59">
        <f>HYPERLINK("https://polkadot.subsquare.io/referenda/451", 451)</f>
        <v>451</v>
      </c>
      <c r="C148" s="1" t="s">
        <v>1155</v>
      </c>
      <c r="D148" s="69">
        <v>45322.0</v>
      </c>
      <c r="E148" s="69">
        <v>45375.0</v>
      </c>
      <c r="F148" s="1" t="s">
        <v>2832</v>
      </c>
      <c r="G148" s="112"/>
      <c r="H148" s="112"/>
      <c r="I148" s="112"/>
      <c r="J148" s="1"/>
    </row>
    <row r="149">
      <c r="A149" s="59">
        <f>HYPERLINK("https://polkadot.subsquare.io/treasury/proposals/686", 686)</f>
        <v>686</v>
      </c>
      <c r="B149" s="59">
        <f t="shared" ref="B149:B198" si="1">HYPERLINK("https://polkadot.subsquare.io/referenda/-1", -1)</f>
        <v>-1</v>
      </c>
      <c r="C149" s="1" t="s">
        <v>1188</v>
      </c>
      <c r="D149" s="69"/>
      <c r="E149" s="69">
        <v>45351.0</v>
      </c>
      <c r="F149" s="1" t="s">
        <v>2832</v>
      </c>
      <c r="G149" s="112"/>
      <c r="H149" s="112"/>
      <c r="I149" s="112"/>
      <c r="J149" s="1"/>
    </row>
    <row r="150">
      <c r="A150" s="59">
        <f>HYPERLINK("https://polkadot.subsquare.io/treasury/proposals/685", 685)</f>
        <v>685</v>
      </c>
      <c r="B150" s="59">
        <f t="shared" si="1"/>
        <v>-1</v>
      </c>
      <c r="C150" s="1" t="s">
        <v>1188</v>
      </c>
      <c r="D150" s="69"/>
      <c r="E150" s="69">
        <v>45351.0</v>
      </c>
      <c r="F150" s="1" t="s">
        <v>2832</v>
      </c>
      <c r="G150" s="112"/>
      <c r="H150" s="112"/>
      <c r="I150" s="112"/>
      <c r="J150" s="1"/>
    </row>
    <row r="151">
      <c r="A151" s="59">
        <f>HYPERLINK("https://polkadot.subsquare.io/treasury/proposals/684", 684)</f>
        <v>684</v>
      </c>
      <c r="B151" s="59">
        <f t="shared" si="1"/>
        <v>-1</v>
      </c>
      <c r="C151" s="1" t="s">
        <v>1188</v>
      </c>
      <c r="D151" s="69"/>
      <c r="E151" s="69">
        <v>45351.0</v>
      </c>
      <c r="F151" s="1" t="s">
        <v>2832</v>
      </c>
      <c r="G151" s="112"/>
      <c r="H151" s="112"/>
      <c r="I151" s="112"/>
      <c r="J151" s="1"/>
    </row>
    <row r="152">
      <c r="A152" s="59">
        <f>HYPERLINK("https://polkadot.subsquare.io/treasury/proposals/683", 683)</f>
        <v>683</v>
      </c>
      <c r="B152" s="59">
        <f t="shared" si="1"/>
        <v>-1</v>
      </c>
      <c r="C152" s="1" t="s">
        <v>1188</v>
      </c>
      <c r="D152" s="69"/>
      <c r="E152" s="69">
        <v>45351.0</v>
      </c>
      <c r="F152" s="1" t="s">
        <v>2832</v>
      </c>
      <c r="G152" s="112"/>
      <c r="H152" s="112"/>
      <c r="I152" s="112"/>
      <c r="J152" s="1"/>
    </row>
    <row r="153">
      <c r="A153" s="59">
        <f>HYPERLINK("https://polkadot.subsquare.io/treasury/proposals/682", 682)</f>
        <v>682</v>
      </c>
      <c r="B153" s="59">
        <f t="shared" si="1"/>
        <v>-1</v>
      </c>
      <c r="C153" s="1" t="s">
        <v>1188</v>
      </c>
      <c r="D153" s="69"/>
      <c r="E153" s="69">
        <v>45351.0</v>
      </c>
      <c r="F153" s="1" t="s">
        <v>2832</v>
      </c>
      <c r="G153" s="112"/>
      <c r="H153" s="112"/>
      <c r="I153" s="112"/>
      <c r="J153" s="1"/>
    </row>
    <row r="154">
      <c r="A154" s="59">
        <f>HYPERLINK("https://polkadot.subsquare.io/treasury/proposals/681", 681)</f>
        <v>681</v>
      </c>
      <c r="B154" s="59">
        <f t="shared" si="1"/>
        <v>-1</v>
      </c>
      <c r="C154" s="1" t="s">
        <v>1188</v>
      </c>
      <c r="D154" s="69"/>
      <c r="E154" s="69">
        <v>45351.0</v>
      </c>
      <c r="F154" s="1" t="s">
        <v>2832</v>
      </c>
      <c r="G154" s="112"/>
      <c r="H154" s="112"/>
      <c r="I154" s="112"/>
      <c r="J154" s="1"/>
    </row>
    <row r="155">
      <c r="A155" s="59">
        <f>HYPERLINK("https://polkadot.subsquare.io/treasury/proposals/680", 680)</f>
        <v>680</v>
      </c>
      <c r="B155" s="59">
        <f t="shared" si="1"/>
        <v>-1</v>
      </c>
      <c r="C155" s="1" t="s">
        <v>1188</v>
      </c>
      <c r="D155" s="69"/>
      <c r="E155" s="69">
        <v>45351.0</v>
      </c>
      <c r="F155" s="1" t="s">
        <v>2832</v>
      </c>
      <c r="G155" s="112"/>
      <c r="H155" s="112"/>
      <c r="I155" s="112"/>
      <c r="J155" s="1"/>
    </row>
    <row r="156">
      <c r="A156" s="59">
        <f>HYPERLINK("https://polkadot.subsquare.io/treasury/proposals/679", 679)</f>
        <v>679</v>
      </c>
      <c r="B156" s="59">
        <f t="shared" si="1"/>
        <v>-1</v>
      </c>
      <c r="C156" s="1" t="s">
        <v>1188</v>
      </c>
      <c r="D156" s="69"/>
      <c r="E156" s="69">
        <v>45351.0</v>
      </c>
      <c r="F156" s="1" t="s">
        <v>2832</v>
      </c>
      <c r="G156" s="112"/>
      <c r="H156" s="112"/>
      <c r="I156" s="112"/>
      <c r="J156" s="1"/>
    </row>
    <row r="157">
      <c r="A157" s="59">
        <f>HYPERLINK("https://polkadot.subsquare.io/treasury/proposals/678", 678)</f>
        <v>678</v>
      </c>
      <c r="B157" s="59">
        <f t="shared" si="1"/>
        <v>-1</v>
      </c>
      <c r="C157" s="1" t="s">
        <v>1188</v>
      </c>
      <c r="D157" s="69"/>
      <c r="E157" s="69">
        <v>45351.0</v>
      </c>
      <c r="F157" s="1" t="s">
        <v>2832</v>
      </c>
      <c r="G157" s="112"/>
      <c r="H157" s="112"/>
      <c r="I157" s="112"/>
      <c r="J157" s="1"/>
    </row>
    <row r="158">
      <c r="A158" s="59">
        <f>HYPERLINK("https://polkadot.subsquare.io/treasury/proposals/677", 677)</f>
        <v>677</v>
      </c>
      <c r="B158" s="59">
        <f t="shared" si="1"/>
        <v>-1</v>
      </c>
      <c r="C158" s="1" t="s">
        <v>1188</v>
      </c>
      <c r="D158" s="69"/>
      <c r="E158" s="69">
        <v>45351.0</v>
      </c>
      <c r="F158" s="1" t="s">
        <v>2832</v>
      </c>
      <c r="G158" s="112"/>
      <c r="H158" s="112"/>
      <c r="I158" s="112"/>
      <c r="J158" s="1"/>
    </row>
    <row r="159">
      <c r="A159" s="59">
        <f>HYPERLINK("https://polkadot.subsquare.io/treasury/proposals/676", 676)</f>
        <v>676</v>
      </c>
      <c r="B159" s="59">
        <f t="shared" si="1"/>
        <v>-1</v>
      </c>
      <c r="C159" s="1" t="s">
        <v>1188</v>
      </c>
      <c r="D159" s="69"/>
      <c r="E159" s="69">
        <v>45351.0</v>
      </c>
      <c r="F159" s="1" t="s">
        <v>2832</v>
      </c>
      <c r="G159" s="112"/>
      <c r="H159" s="112"/>
      <c r="I159" s="112"/>
      <c r="J159" s="1"/>
    </row>
    <row r="160">
      <c r="A160" s="59">
        <f>HYPERLINK("https://polkadot.subsquare.io/treasury/proposals/675", 675)</f>
        <v>675</v>
      </c>
      <c r="B160" s="59">
        <f t="shared" si="1"/>
        <v>-1</v>
      </c>
      <c r="C160" s="1" t="s">
        <v>1188</v>
      </c>
      <c r="D160" s="69"/>
      <c r="E160" s="69">
        <v>45351.0</v>
      </c>
      <c r="F160" s="1" t="s">
        <v>2832</v>
      </c>
      <c r="G160" s="112"/>
      <c r="H160" s="112"/>
      <c r="I160" s="112"/>
      <c r="J160" s="1"/>
    </row>
    <row r="161">
      <c r="A161" s="59">
        <f>HYPERLINK("https://polkadot.subsquare.io/treasury/proposals/674", 674)</f>
        <v>674</v>
      </c>
      <c r="B161" s="59">
        <f t="shared" si="1"/>
        <v>-1</v>
      </c>
      <c r="C161" s="1" t="s">
        <v>1188</v>
      </c>
      <c r="D161" s="69"/>
      <c r="E161" s="69">
        <v>45351.0</v>
      </c>
      <c r="F161" s="1" t="s">
        <v>2832</v>
      </c>
      <c r="G161" s="112"/>
      <c r="H161" s="112"/>
      <c r="I161" s="112"/>
      <c r="J161" s="1"/>
    </row>
    <row r="162">
      <c r="A162" s="59">
        <f>HYPERLINK("https://polkadot.subsquare.io/treasury/proposals/673", 673)</f>
        <v>673</v>
      </c>
      <c r="B162" s="59">
        <f t="shared" si="1"/>
        <v>-1</v>
      </c>
      <c r="C162" s="1" t="s">
        <v>1188</v>
      </c>
      <c r="D162" s="69"/>
      <c r="E162" s="69">
        <v>45351.0</v>
      </c>
      <c r="F162" s="1" t="s">
        <v>2832</v>
      </c>
      <c r="G162" s="112"/>
      <c r="H162" s="112"/>
      <c r="I162" s="112"/>
      <c r="J162" s="1"/>
    </row>
    <row r="163">
      <c r="A163" s="59">
        <f>HYPERLINK("https://polkadot.subsquare.io/treasury/proposals/672", 672)</f>
        <v>672</v>
      </c>
      <c r="B163" s="59">
        <f t="shared" si="1"/>
        <v>-1</v>
      </c>
      <c r="C163" s="1" t="s">
        <v>1188</v>
      </c>
      <c r="D163" s="69"/>
      <c r="E163" s="69">
        <v>45351.0</v>
      </c>
      <c r="F163" s="1" t="s">
        <v>2832</v>
      </c>
      <c r="G163" s="112"/>
      <c r="H163" s="112"/>
      <c r="I163" s="112"/>
      <c r="J163" s="1"/>
    </row>
    <row r="164">
      <c r="A164" s="59">
        <f>HYPERLINK("https://polkadot.subsquare.io/treasury/proposals/671", 671)</f>
        <v>671</v>
      </c>
      <c r="B164" s="59">
        <f t="shared" si="1"/>
        <v>-1</v>
      </c>
      <c r="C164" s="1" t="s">
        <v>1188</v>
      </c>
      <c r="D164" s="69"/>
      <c r="E164" s="69">
        <v>45351.0</v>
      </c>
      <c r="F164" s="1" t="s">
        <v>2832</v>
      </c>
      <c r="G164" s="112"/>
      <c r="H164" s="112"/>
      <c r="I164" s="112"/>
      <c r="J164" s="1"/>
    </row>
    <row r="165">
      <c r="A165" s="59">
        <f>HYPERLINK("https://polkadot.subsquare.io/treasury/proposals/670", 670)</f>
        <v>670</v>
      </c>
      <c r="B165" s="59">
        <f t="shared" si="1"/>
        <v>-1</v>
      </c>
      <c r="C165" s="1" t="s">
        <v>1188</v>
      </c>
      <c r="D165" s="69"/>
      <c r="E165" s="69">
        <v>45351.0</v>
      </c>
      <c r="F165" s="1" t="s">
        <v>2832</v>
      </c>
      <c r="G165" s="112"/>
      <c r="H165" s="112"/>
      <c r="I165" s="112"/>
      <c r="J165" s="1"/>
    </row>
    <row r="166">
      <c r="A166" s="59">
        <f>HYPERLINK("https://polkadot.subsquare.io/treasury/proposals/669", 669)</f>
        <v>669</v>
      </c>
      <c r="B166" s="59">
        <f t="shared" si="1"/>
        <v>-1</v>
      </c>
      <c r="C166" s="1" t="s">
        <v>1188</v>
      </c>
      <c r="D166" s="69"/>
      <c r="E166" s="69">
        <v>45351.0</v>
      </c>
      <c r="F166" s="1" t="s">
        <v>2832</v>
      </c>
      <c r="G166" s="112"/>
      <c r="H166" s="112"/>
      <c r="I166" s="112"/>
      <c r="J166" s="1"/>
    </row>
    <row r="167">
      <c r="A167" s="59">
        <f>HYPERLINK("https://polkadot.subsquare.io/treasury/proposals/668", 668)</f>
        <v>668</v>
      </c>
      <c r="B167" s="59">
        <f t="shared" si="1"/>
        <v>-1</v>
      </c>
      <c r="C167" s="1" t="s">
        <v>1188</v>
      </c>
      <c r="D167" s="69"/>
      <c r="E167" s="69">
        <v>45351.0</v>
      </c>
      <c r="F167" s="1" t="s">
        <v>2832</v>
      </c>
      <c r="G167" s="112"/>
      <c r="H167" s="112"/>
      <c r="I167" s="112"/>
      <c r="J167" s="1"/>
    </row>
    <row r="168">
      <c r="A168" s="59">
        <f>HYPERLINK("https://polkadot.subsquare.io/treasury/proposals/667", 667)</f>
        <v>667</v>
      </c>
      <c r="B168" s="59">
        <f t="shared" si="1"/>
        <v>-1</v>
      </c>
      <c r="C168" s="1" t="s">
        <v>1188</v>
      </c>
      <c r="D168" s="69"/>
      <c r="E168" s="69">
        <v>45351.0</v>
      </c>
      <c r="F168" s="1" t="s">
        <v>2832</v>
      </c>
      <c r="G168" s="112"/>
      <c r="H168" s="112"/>
      <c r="I168" s="112"/>
      <c r="J168" s="1"/>
    </row>
    <row r="169">
      <c r="A169" s="59">
        <f>HYPERLINK("https://polkadot.subsquare.io/treasury/proposals/666", 666)</f>
        <v>666</v>
      </c>
      <c r="B169" s="59">
        <f t="shared" si="1"/>
        <v>-1</v>
      </c>
      <c r="C169" s="1" t="s">
        <v>1188</v>
      </c>
      <c r="D169" s="69"/>
      <c r="E169" s="69">
        <v>45351.0</v>
      </c>
      <c r="F169" s="1" t="s">
        <v>2832</v>
      </c>
      <c r="G169" s="112"/>
      <c r="H169" s="112"/>
      <c r="I169" s="112"/>
      <c r="J169" s="1"/>
    </row>
    <row r="170">
      <c r="A170" s="59">
        <f>HYPERLINK("https://polkadot.subsquare.io/treasury/proposals/665", 665)</f>
        <v>665</v>
      </c>
      <c r="B170" s="59">
        <f t="shared" si="1"/>
        <v>-1</v>
      </c>
      <c r="C170" s="1" t="s">
        <v>1188</v>
      </c>
      <c r="D170" s="69"/>
      <c r="E170" s="69">
        <v>45351.0</v>
      </c>
      <c r="F170" s="1" t="s">
        <v>2832</v>
      </c>
      <c r="G170" s="112"/>
      <c r="H170" s="112"/>
      <c r="I170" s="112"/>
      <c r="J170" s="1"/>
    </row>
    <row r="171">
      <c r="A171" s="59">
        <f>HYPERLINK("https://polkadot.subsquare.io/treasury/proposals/664", 664)</f>
        <v>664</v>
      </c>
      <c r="B171" s="59">
        <f t="shared" si="1"/>
        <v>-1</v>
      </c>
      <c r="C171" s="1" t="s">
        <v>1188</v>
      </c>
      <c r="D171" s="69"/>
      <c r="E171" s="69">
        <v>45351.0</v>
      </c>
      <c r="F171" s="1" t="s">
        <v>2832</v>
      </c>
      <c r="G171" s="112"/>
      <c r="H171" s="112"/>
      <c r="I171" s="112"/>
      <c r="J171" s="1"/>
    </row>
    <row r="172">
      <c r="A172" s="59">
        <f>HYPERLINK("https://polkadot.subsquare.io/treasury/proposals/663", 663)</f>
        <v>663</v>
      </c>
      <c r="B172" s="59">
        <f t="shared" si="1"/>
        <v>-1</v>
      </c>
      <c r="C172" s="1" t="s">
        <v>1188</v>
      </c>
      <c r="D172" s="69"/>
      <c r="E172" s="69">
        <v>45351.0</v>
      </c>
      <c r="F172" s="1" t="s">
        <v>2832</v>
      </c>
      <c r="G172" s="112"/>
      <c r="H172" s="112"/>
      <c r="I172" s="112"/>
      <c r="J172" s="1"/>
    </row>
    <row r="173">
      <c r="A173" s="59">
        <f>HYPERLINK("https://polkadot.subsquare.io/treasury/proposals/662", 662)</f>
        <v>662</v>
      </c>
      <c r="B173" s="59">
        <f t="shared" si="1"/>
        <v>-1</v>
      </c>
      <c r="C173" s="1" t="s">
        <v>1188</v>
      </c>
      <c r="D173" s="69"/>
      <c r="E173" s="69">
        <v>45351.0</v>
      </c>
      <c r="F173" s="1" t="s">
        <v>2832</v>
      </c>
      <c r="G173" s="112"/>
      <c r="H173" s="112"/>
      <c r="I173" s="112"/>
      <c r="J173" s="1"/>
    </row>
    <row r="174">
      <c r="A174" s="59">
        <f>HYPERLINK("https://polkadot.subsquare.io/treasury/proposals/661", 661)</f>
        <v>661</v>
      </c>
      <c r="B174" s="59">
        <f t="shared" si="1"/>
        <v>-1</v>
      </c>
      <c r="C174" s="1" t="s">
        <v>1188</v>
      </c>
      <c r="D174" s="69"/>
      <c r="E174" s="69">
        <v>45351.0</v>
      </c>
      <c r="F174" s="1" t="s">
        <v>2832</v>
      </c>
      <c r="G174" s="112"/>
      <c r="H174" s="112"/>
      <c r="I174" s="112"/>
      <c r="J174" s="1"/>
    </row>
    <row r="175">
      <c r="A175" s="59">
        <f>HYPERLINK("https://polkadot.subsquare.io/treasury/proposals/660", 660)</f>
        <v>660</v>
      </c>
      <c r="B175" s="59">
        <f t="shared" si="1"/>
        <v>-1</v>
      </c>
      <c r="C175" s="1" t="s">
        <v>1188</v>
      </c>
      <c r="D175" s="69"/>
      <c r="E175" s="69">
        <v>45351.0</v>
      </c>
      <c r="F175" s="1" t="s">
        <v>2832</v>
      </c>
      <c r="G175" s="112"/>
      <c r="H175" s="112"/>
      <c r="I175" s="112"/>
      <c r="J175" s="1"/>
    </row>
    <row r="176">
      <c r="A176" s="59">
        <f>HYPERLINK("https://polkadot.subsquare.io/treasury/proposals/659", 659)</f>
        <v>659</v>
      </c>
      <c r="B176" s="59">
        <f t="shared" si="1"/>
        <v>-1</v>
      </c>
      <c r="C176" s="1" t="s">
        <v>1188</v>
      </c>
      <c r="D176" s="69"/>
      <c r="E176" s="69">
        <v>45351.0</v>
      </c>
      <c r="F176" s="1" t="s">
        <v>2832</v>
      </c>
      <c r="G176" s="112"/>
      <c r="H176" s="112"/>
      <c r="I176" s="112"/>
      <c r="J176" s="1"/>
    </row>
    <row r="177">
      <c r="A177" s="59">
        <f>HYPERLINK("https://polkadot.subsquare.io/treasury/proposals/658", 658)</f>
        <v>658</v>
      </c>
      <c r="B177" s="59">
        <f t="shared" si="1"/>
        <v>-1</v>
      </c>
      <c r="C177" s="1" t="s">
        <v>1188</v>
      </c>
      <c r="D177" s="69"/>
      <c r="E177" s="69">
        <v>45351.0</v>
      </c>
      <c r="F177" s="1" t="s">
        <v>2832</v>
      </c>
      <c r="G177" s="112"/>
      <c r="H177" s="112"/>
      <c r="I177" s="112"/>
      <c r="J177" s="1"/>
    </row>
    <row r="178">
      <c r="A178" s="59">
        <f>HYPERLINK("https://polkadot.subsquare.io/treasury/proposals/657", 657)</f>
        <v>657</v>
      </c>
      <c r="B178" s="59">
        <f t="shared" si="1"/>
        <v>-1</v>
      </c>
      <c r="C178" s="1" t="s">
        <v>1188</v>
      </c>
      <c r="D178" s="69"/>
      <c r="E178" s="69">
        <v>45351.0</v>
      </c>
      <c r="F178" s="1" t="s">
        <v>2832</v>
      </c>
      <c r="G178" s="112"/>
      <c r="H178" s="112"/>
      <c r="I178" s="112"/>
      <c r="J178" s="1"/>
    </row>
    <row r="179">
      <c r="A179" s="59">
        <f>HYPERLINK("https://polkadot.subsquare.io/treasury/proposals/656", 656)</f>
        <v>656</v>
      </c>
      <c r="B179" s="59">
        <f t="shared" si="1"/>
        <v>-1</v>
      </c>
      <c r="C179" s="1" t="s">
        <v>1188</v>
      </c>
      <c r="D179" s="69"/>
      <c r="E179" s="69">
        <v>45351.0</v>
      </c>
      <c r="F179" s="1" t="s">
        <v>2832</v>
      </c>
      <c r="G179" s="112"/>
      <c r="H179" s="112"/>
      <c r="I179" s="112"/>
      <c r="J179" s="1"/>
    </row>
    <row r="180">
      <c r="A180" s="59">
        <f>HYPERLINK("https://polkadot.subsquare.io/treasury/proposals/655", 655)</f>
        <v>655</v>
      </c>
      <c r="B180" s="59">
        <f t="shared" si="1"/>
        <v>-1</v>
      </c>
      <c r="C180" s="1" t="s">
        <v>1188</v>
      </c>
      <c r="D180" s="69"/>
      <c r="E180" s="69">
        <v>45351.0</v>
      </c>
      <c r="F180" s="1" t="s">
        <v>2832</v>
      </c>
      <c r="G180" s="112"/>
      <c r="H180" s="112"/>
      <c r="I180" s="112"/>
      <c r="J180" s="1"/>
    </row>
    <row r="181">
      <c r="A181" s="59">
        <f>HYPERLINK("https://polkadot.subsquare.io/treasury/proposals/654", 654)</f>
        <v>654</v>
      </c>
      <c r="B181" s="59">
        <f t="shared" si="1"/>
        <v>-1</v>
      </c>
      <c r="C181" s="1" t="s">
        <v>1188</v>
      </c>
      <c r="D181" s="69"/>
      <c r="E181" s="69">
        <v>45351.0</v>
      </c>
      <c r="F181" s="1" t="s">
        <v>2832</v>
      </c>
      <c r="G181" s="112"/>
      <c r="H181" s="112"/>
      <c r="I181" s="112"/>
      <c r="J181" s="1"/>
    </row>
    <row r="182">
      <c r="A182" s="59">
        <f>HYPERLINK("https://polkadot.subsquare.io/treasury/proposals/653", 653)</f>
        <v>653</v>
      </c>
      <c r="B182" s="59">
        <f t="shared" si="1"/>
        <v>-1</v>
      </c>
      <c r="C182" s="1" t="s">
        <v>1188</v>
      </c>
      <c r="D182" s="69"/>
      <c r="E182" s="69">
        <v>45351.0</v>
      </c>
      <c r="F182" s="1" t="s">
        <v>2832</v>
      </c>
      <c r="G182" s="112"/>
      <c r="H182" s="112"/>
      <c r="I182" s="112"/>
      <c r="J182" s="1"/>
    </row>
    <row r="183">
      <c r="A183" s="59">
        <f>HYPERLINK("https://polkadot.subsquare.io/treasury/proposals/652", 652)</f>
        <v>652</v>
      </c>
      <c r="B183" s="59">
        <f t="shared" si="1"/>
        <v>-1</v>
      </c>
      <c r="C183" s="1" t="s">
        <v>1188</v>
      </c>
      <c r="D183" s="69"/>
      <c r="E183" s="69">
        <v>45351.0</v>
      </c>
      <c r="F183" s="1" t="s">
        <v>2832</v>
      </c>
      <c r="G183" s="112"/>
      <c r="H183" s="112"/>
      <c r="I183" s="112"/>
      <c r="J183" s="1"/>
    </row>
    <row r="184">
      <c r="A184" s="59">
        <f>HYPERLINK("https://polkadot.subsquare.io/treasury/proposals/651", 651)</f>
        <v>651</v>
      </c>
      <c r="B184" s="59">
        <f t="shared" si="1"/>
        <v>-1</v>
      </c>
      <c r="C184" s="1" t="s">
        <v>1188</v>
      </c>
      <c r="D184" s="69"/>
      <c r="E184" s="69">
        <v>45351.0</v>
      </c>
      <c r="F184" s="1" t="s">
        <v>2832</v>
      </c>
      <c r="G184" s="112"/>
      <c r="H184" s="112"/>
      <c r="I184" s="112"/>
      <c r="J184" s="1"/>
    </row>
    <row r="185">
      <c r="A185" s="59">
        <f>HYPERLINK("https://polkadot.subsquare.io/treasury/proposals/650", 650)</f>
        <v>650</v>
      </c>
      <c r="B185" s="59">
        <f t="shared" si="1"/>
        <v>-1</v>
      </c>
      <c r="C185" s="1" t="s">
        <v>1188</v>
      </c>
      <c r="D185" s="69"/>
      <c r="E185" s="69">
        <v>45351.0</v>
      </c>
      <c r="F185" s="1" t="s">
        <v>2832</v>
      </c>
      <c r="G185" s="112"/>
      <c r="H185" s="112"/>
      <c r="I185" s="112"/>
      <c r="J185" s="1"/>
    </row>
    <row r="186">
      <c r="A186" s="59">
        <f>HYPERLINK("https://polkadot.subsquare.io/treasury/proposals/649", 649)</f>
        <v>649</v>
      </c>
      <c r="B186" s="59">
        <f t="shared" si="1"/>
        <v>-1</v>
      </c>
      <c r="C186" s="1" t="s">
        <v>1188</v>
      </c>
      <c r="D186" s="69"/>
      <c r="E186" s="69">
        <v>45351.0</v>
      </c>
      <c r="F186" s="1" t="s">
        <v>2832</v>
      </c>
      <c r="G186" s="112"/>
      <c r="H186" s="112"/>
      <c r="I186" s="112"/>
      <c r="J186" s="1"/>
    </row>
    <row r="187">
      <c r="A187" s="59">
        <f>HYPERLINK("https://polkadot.subsquare.io/treasury/proposals/648", 648)</f>
        <v>648</v>
      </c>
      <c r="B187" s="59">
        <f t="shared" si="1"/>
        <v>-1</v>
      </c>
      <c r="C187" s="1" t="s">
        <v>1188</v>
      </c>
      <c r="D187" s="69"/>
      <c r="E187" s="69">
        <v>45351.0</v>
      </c>
      <c r="F187" s="1" t="s">
        <v>2832</v>
      </c>
      <c r="G187" s="112"/>
      <c r="H187" s="112"/>
      <c r="I187" s="112"/>
      <c r="J187" s="1"/>
    </row>
    <row r="188">
      <c r="A188" s="59">
        <f>HYPERLINK("https://polkadot.subsquare.io/treasury/proposals/647", 647)</f>
        <v>647</v>
      </c>
      <c r="B188" s="59">
        <f t="shared" si="1"/>
        <v>-1</v>
      </c>
      <c r="C188" s="1" t="s">
        <v>1188</v>
      </c>
      <c r="D188" s="69"/>
      <c r="E188" s="69">
        <v>45351.0</v>
      </c>
      <c r="F188" s="1" t="s">
        <v>2832</v>
      </c>
      <c r="G188" s="112"/>
      <c r="H188" s="112"/>
      <c r="I188" s="112"/>
      <c r="J188" s="1"/>
    </row>
    <row r="189">
      <c r="A189" s="59">
        <f>HYPERLINK("https://polkadot.subsquare.io/treasury/proposals/646", 646)</f>
        <v>646</v>
      </c>
      <c r="B189" s="59">
        <f t="shared" si="1"/>
        <v>-1</v>
      </c>
      <c r="C189" s="1" t="s">
        <v>1188</v>
      </c>
      <c r="D189" s="69"/>
      <c r="E189" s="69">
        <v>45351.0</v>
      </c>
      <c r="F189" s="1" t="s">
        <v>2832</v>
      </c>
      <c r="G189" s="112"/>
      <c r="H189" s="112"/>
      <c r="I189" s="112"/>
      <c r="J189" s="1"/>
    </row>
    <row r="190">
      <c r="A190" s="59">
        <f>HYPERLINK("https://polkadot.subsquare.io/treasury/proposals/645", 645)</f>
        <v>645</v>
      </c>
      <c r="B190" s="59">
        <f t="shared" si="1"/>
        <v>-1</v>
      </c>
      <c r="C190" s="1" t="s">
        <v>1188</v>
      </c>
      <c r="D190" s="69"/>
      <c r="E190" s="69">
        <v>45351.0</v>
      </c>
      <c r="F190" s="1" t="s">
        <v>2832</v>
      </c>
      <c r="G190" s="112"/>
      <c r="H190" s="112"/>
      <c r="I190" s="112"/>
      <c r="J190" s="1"/>
    </row>
    <row r="191">
      <c r="A191" s="59">
        <f>HYPERLINK("https://polkadot.subsquare.io/treasury/proposals/644", 644)</f>
        <v>644</v>
      </c>
      <c r="B191" s="59">
        <f t="shared" si="1"/>
        <v>-1</v>
      </c>
      <c r="C191" s="1" t="s">
        <v>1188</v>
      </c>
      <c r="D191" s="69"/>
      <c r="E191" s="69">
        <v>45351.0</v>
      </c>
      <c r="F191" s="1" t="s">
        <v>2832</v>
      </c>
      <c r="G191" s="112"/>
      <c r="H191" s="112"/>
      <c r="I191" s="112"/>
      <c r="J191" s="1"/>
    </row>
    <row r="192">
      <c r="A192" s="59">
        <f>HYPERLINK("https://polkadot.subsquare.io/treasury/proposals/643", 643)</f>
        <v>643</v>
      </c>
      <c r="B192" s="59">
        <f t="shared" si="1"/>
        <v>-1</v>
      </c>
      <c r="C192" s="1" t="s">
        <v>1188</v>
      </c>
      <c r="D192" s="69"/>
      <c r="E192" s="69">
        <v>45351.0</v>
      </c>
      <c r="F192" s="1" t="s">
        <v>2832</v>
      </c>
      <c r="G192" s="112"/>
      <c r="H192" s="112"/>
      <c r="I192" s="112"/>
      <c r="J192" s="1"/>
    </row>
    <row r="193">
      <c r="A193" s="59">
        <f>HYPERLINK("https://polkadot.subsquare.io/treasury/proposals/642", 642)</f>
        <v>642</v>
      </c>
      <c r="B193" s="59">
        <f t="shared" si="1"/>
        <v>-1</v>
      </c>
      <c r="C193" s="1" t="s">
        <v>1188</v>
      </c>
      <c r="D193" s="69"/>
      <c r="E193" s="69">
        <v>45351.0</v>
      </c>
      <c r="F193" s="1" t="s">
        <v>2832</v>
      </c>
      <c r="G193" s="112"/>
      <c r="H193" s="112"/>
      <c r="I193" s="112"/>
      <c r="J193" s="1"/>
    </row>
    <row r="194">
      <c r="A194" s="59">
        <f>HYPERLINK("https://polkadot.subsquare.io/treasury/proposals/641", 641)</f>
        <v>641</v>
      </c>
      <c r="B194" s="59">
        <f t="shared" si="1"/>
        <v>-1</v>
      </c>
      <c r="C194" s="1" t="s">
        <v>1188</v>
      </c>
      <c r="D194" s="69"/>
      <c r="E194" s="69">
        <v>45351.0</v>
      </c>
      <c r="F194" s="1" t="s">
        <v>2832</v>
      </c>
      <c r="G194" s="112"/>
      <c r="H194" s="112"/>
      <c r="I194" s="112"/>
      <c r="J194" s="1"/>
    </row>
    <row r="195">
      <c r="A195" s="59">
        <f>HYPERLINK("https://polkadot.subsquare.io/treasury/proposals/640", 640)</f>
        <v>640</v>
      </c>
      <c r="B195" s="59">
        <f t="shared" si="1"/>
        <v>-1</v>
      </c>
      <c r="C195" s="1" t="s">
        <v>1188</v>
      </c>
      <c r="D195" s="69"/>
      <c r="E195" s="69">
        <v>45351.0</v>
      </c>
      <c r="F195" s="1" t="s">
        <v>2832</v>
      </c>
      <c r="G195" s="112"/>
      <c r="H195" s="112"/>
      <c r="I195" s="112"/>
      <c r="J195" s="1"/>
    </row>
    <row r="196">
      <c r="A196" s="59">
        <f>HYPERLINK("https://polkadot.subsquare.io/treasury/proposals/639", 639)</f>
        <v>639</v>
      </c>
      <c r="B196" s="59">
        <f t="shared" si="1"/>
        <v>-1</v>
      </c>
      <c r="C196" s="1" t="s">
        <v>1188</v>
      </c>
      <c r="D196" s="69"/>
      <c r="E196" s="69">
        <v>45351.0</v>
      </c>
      <c r="F196" s="1" t="s">
        <v>2832</v>
      </c>
      <c r="G196" s="112"/>
      <c r="H196" s="112"/>
      <c r="I196" s="112"/>
      <c r="J196" s="1"/>
    </row>
    <row r="197">
      <c r="A197" s="59">
        <f>HYPERLINK("https://polkadot.subsquare.io/treasury/proposals/638", 638)</f>
        <v>638</v>
      </c>
      <c r="B197" s="59">
        <f t="shared" si="1"/>
        <v>-1</v>
      </c>
      <c r="C197" s="1" t="s">
        <v>1188</v>
      </c>
      <c r="D197" s="69"/>
      <c r="E197" s="69">
        <v>45351.0</v>
      </c>
      <c r="F197" s="1" t="s">
        <v>2832</v>
      </c>
      <c r="G197" s="112"/>
      <c r="H197" s="112"/>
      <c r="I197" s="112"/>
      <c r="J197" s="1"/>
    </row>
    <row r="198">
      <c r="A198" s="59">
        <f>HYPERLINK("https://polkadot.subsquare.io/treasury/proposals/637", 637)</f>
        <v>637</v>
      </c>
      <c r="B198" s="59">
        <f t="shared" si="1"/>
        <v>-1</v>
      </c>
      <c r="C198" s="1" t="s">
        <v>1188</v>
      </c>
      <c r="D198" s="69"/>
      <c r="E198" s="69">
        <v>45351.0</v>
      </c>
      <c r="F198" s="1" t="s">
        <v>2832</v>
      </c>
      <c r="G198" s="112"/>
      <c r="H198" s="112"/>
      <c r="I198" s="112"/>
      <c r="J198" s="1"/>
    </row>
    <row r="199">
      <c r="A199" s="59">
        <f>HYPERLINK("https://polkadot.subsquare.io/treasury/proposals/636", 636)</f>
        <v>636</v>
      </c>
      <c r="B199" s="59">
        <f>HYPERLINK("https://polkadot.subsquare.io/referenda/448", 448)</f>
        <v>448</v>
      </c>
      <c r="C199" s="1" t="s">
        <v>1153</v>
      </c>
      <c r="D199" s="69">
        <v>45320.0</v>
      </c>
      <c r="E199" s="69">
        <v>45351.0</v>
      </c>
      <c r="F199" s="1" t="s">
        <v>2832</v>
      </c>
      <c r="G199" s="112"/>
      <c r="H199" s="112"/>
      <c r="I199" s="112"/>
      <c r="J199" s="1"/>
    </row>
    <row r="200">
      <c r="A200" s="59">
        <f>HYPERLINK("https://polkadot.subsquare.io/treasury/proposals/635", 635)</f>
        <v>635</v>
      </c>
      <c r="B200" s="59">
        <f>HYPERLINK("https://polkadot.subsquare.io/referenda/488", 488)</f>
        <v>488</v>
      </c>
      <c r="C200" s="1" t="s">
        <v>2104</v>
      </c>
      <c r="D200" s="69">
        <v>45333.0</v>
      </c>
      <c r="E200" s="69">
        <v>45351.0</v>
      </c>
      <c r="F200" s="1" t="s">
        <v>2832</v>
      </c>
      <c r="G200" s="112"/>
      <c r="H200" s="112"/>
      <c r="I200" s="112"/>
      <c r="J200" s="1"/>
    </row>
    <row r="201">
      <c r="A201" s="59">
        <f>HYPERLINK("https://polkadot.subsquare.io/treasury/proposals/634", 634)</f>
        <v>634</v>
      </c>
      <c r="B201" s="59">
        <f>HYPERLINK("https://polkadot.subsquare.io/referenda/469", 469)</f>
        <v>469</v>
      </c>
      <c r="C201" s="1" t="s">
        <v>1163</v>
      </c>
      <c r="D201" s="69">
        <v>45328.0</v>
      </c>
      <c r="E201" s="69">
        <v>45351.0</v>
      </c>
      <c r="F201" s="1" t="s">
        <v>2832</v>
      </c>
      <c r="G201" s="112"/>
      <c r="H201" s="112"/>
      <c r="I201" s="112"/>
      <c r="J201" s="1"/>
    </row>
    <row r="202">
      <c r="A202" s="59">
        <f>HYPERLINK("https://polkadot.subsquare.io/treasury/proposals/633", 633)</f>
        <v>633</v>
      </c>
      <c r="B202" s="59">
        <f>HYPERLINK("https://polkadot.subsquare.io/referenda/468", 468)</f>
        <v>468</v>
      </c>
      <c r="C202" s="1" t="s">
        <v>1162</v>
      </c>
      <c r="D202" s="69">
        <v>45328.0</v>
      </c>
      <c r="E202" s="69">
        <v>45351.0</v>
      </c>
      <c r="F202" s="1" t="s">
        <v>2832</v>
      </c>
      <c r="G202" s="112"/>
      <c r="H202" s="112"/>
      <c r="I202" s="112"/>
      <c r="J202" s="1"/>
    </row>
    <row r="203">
      <c r="A203" s="59">
        <f>HYPERLINK("https://polkadot.subsquare.io/treasury/proposals/632", 632)</f>
        <v>632</v>
      </c>
      <c r="B203" s="59">
        <f>HYPERLINK("https://polkadot.subsquare.io/referenda/520", 520)</f>
        <v>520</v>
      </c>
      <c r="C203" s="1" t="s">
        <v>1187</v>
      </c>
      <c r="D203" s="69">
        <v>45345.0</v>
      </c>
      <c r="E203" s="69">
        <v>45351.0</v>
      </c>
      <c r="F203" s="1" t="s">
        <v>2832</v>
      </c>
      <c r="G203" s="112">
        <v>90.0</v>
      </c>
      <c r="H203" s="112">
        <v>618.3</v>
      </c>
      <c r="I203" s="112">
        <v>618.3</v>
      </c>
      <c r="J203" s="1" t="s">
        <v>2833</v>
      </c>
    </row>
    <row r="204">
      <c r="A204" s="59">
        <f>HYPERLINK("https://polkadot.subsquare.io/treasury/proposals/631", 631)</f>
        <v>631</v>
      </c>
      <c r="B204" s="59">
        <f>HYPERLINK("https://polkadot.subsquare.io/referenda/463", 463)</f>
        <v>463</v>
      </c>
      <c r="C204" s="1" t="s">
        <v>1160</v>
      </c>
      <c r="D204" s="69">
        <v>45327.0</v>
      </c>
      <c r="E204" s="69">
        <v>45351.0</v>
      </c>
      <c r="F204" s="1" t="s">
        <v>2832</v>
      </c>
      <c r="G204" s="112"/>
      <c r="H204" s="112"/>
      <c r="I204" s="112"/>
      <c r="J204" s="1"/>
    </row>
    <row r="205">
      <c r="A205" s="59">
        <f>HYPERLINK("https://polkadot.subsquare.io/treasury/proposals/630", 630)</f>
        <v>630</v>
      </c>
      <c r="B205" s="59">
        <f>HYPERLINK("https://polkadot.subsquare.io/referenda/461", 461)</f>
        <v>461</v>
      </c>
      <c r="C205" s="1" t="s">
        <v>1158</v>
      </c>
      <c r="D205" s="69">
        <v>45326.0</v>
      </c>
      <c r="E205" s="69">
        <v>45351.0</v>
      </c>
      <c r="F205" s="1" t="s">
        <v>2832</v>
      </c>
      <c r="G205" s="112"/>
      <c r="H205" s="112"/>
      <c r="I205" s="112"/>
      <c r="J205" s="1"/>
    </row>
    <row r="206">
      <c r="A206" s="59">
        <f>HYPERLINK("https://polkadot.subsquare.io/treasury/proposals/629", 629)</f>
        <v>629</v>
      </c>
      <c r="B206" s="59">
        <f>HYPERLINK("https://polkadot.subsquare.io/referenda/-1", -1)</f>
        <v>-1</v>
      </c>
      <c r="C206" s="1" t="s">
        <v>2124</v>
      </c>
      <c r="D206" s="69"/>
      <c r="E206" s="69">
        <v>45351.0</v>
      </c>
      <c r="F206" s="1" t="s">
        <v>2832</v>
      </c>
      <c r="G206" s="112"/>
      <c r="H206" s="112"/>
      <c r="I206" s="112"/>
      <c r="J206" s="1"/>
    </row>
    <row r="207">
      <c r="A207" s="59">
        <f>HYPERLINK("https://polkadot.subsquare.io/treasury/proposals/628", 628)</f>
        <v>628</v>
      </c>
      <c r="B207" s="59">
        <f>HYPERLINK("https://polkadot.subsquare.io/referenda/485", 485)</f>
        <v>485</v>
      </c>
      <c r="C207" s="1" t="s">
        <v>1171</v>
      </c>
      <c r="D207" s="69">
        <v>45333.0</v>
      </c>
      <c r="E207" s="69">
        <v>45351.0</v>
      </c>
      <c r="F207" s="1" t="s">
        <v>2832</v>
      </c>
      <c r="G207" s="112"/>
      <c r="H207" s="112"/>
      <c r="I207" s="112"/>
      <c r="J207" s="1"/>
    </row>
    <row r="208">
      <c r="A208" s="59">
        <f>HYPERLINK("https://polkadot.subsquare.io/treasury/proposals/627", 627)</f>
        <v>627</v>
      </c>
      <c r="B208" s="59">
        <f>HYPERLINK("https://polkadot.subsquare.io/referenda/-1", -1)</f>
        <v>-1</v>
      </c>
      <c r="C208" s="1" t="s">
        <v>1171</v>
      </c>
      <c r="D208" s="69"/>
      <c r="E208" s="69">
        <v>45351.0</v>
      </c>
      <c r="F208" s="1" t="s">
        <v>2832</v>
      </c>
      <c r="G208" s="112"/>
      <c r="H208" s="112"/>
      <c r="I208" s="112"/>
      <c r="J208" s="1"/>
    </row>
    <row r="209">
      <c r="A209" s="59">
        <f>HYPERLINK("https://polkadot.subsquare.io/treasury/proposals/626", 626)</f>
        <v>626</v>
      </c>
      <c r="B209" s="59">
        <f>HYPERLINK("https://polkadot.subsquare.io/referenda/476", 476)</f>
        <v>476</v>
      </c>
      <c r="C209" s="1" t="s">
        <v>1166</v>
      </c>
      <c r="D209" s="69">
        <v>45329.0</v>
      </c>
      <c r="E209" s="69">
        <v>45351.0</v>
      </c>
      <c r="F209" s="1" t="s">
        <v>2832</v>
      </c>
      <c r="G209" s="112"/>
      <c r="H209" s="112"/>
      <c r="I209" s="112"/>
      <c r="J209" s="1"/>
    </row>
    <row r="210">
      <c r="A210" s="59">
        <f>HYPERLINK("https://polkadot.subsquare.io/treasury/proposals/625", 625)</f>
        <v>625</v>
      </c>
      <c r="B210" s="59">
        <f>HYPERLINK("https://polkadot.subsquare.io/referenda/512", 512)</f>
        <v>512</v>
      </c>
      <c r="C210" s="1" t="s">
        <v>1185</v>
      </c>
      <c r="D210" s="69">
        <v>45340.0</v>
      </c>
      <c r="E210" s="69">
        <v>45351.0</v>
      </c>
      <c r="F210" s="1" t="s">
        <v>2832</v>
      </c>
      <c r="G210" s="112">
        <v>1000.0</v>
      </c>
      <c r="H210" s="112">
        <v>6870.0</v>
      </c>
      <c r="I210" s="112">
        <v>6870.0</v>
      </c>
      <c r="J210" s="1" t="s">
        <v>2828</v>
      </c>
    </row>
    <row r="211">
      <c r="A211" s="59">
        <f>HYPERLINK("https://polkadot.subsquare.io/treasury/proposals/624", 624)</f>
        <v>624</v>
      </c>
      <c r="B211" s="59">
        <f>HYPERLINK("https://polkadot.subsquare.io/referenda/504", 504)</f>
        <v>504</v>
      </c>
      <c r="C211" s="1" t="s">
        <v>1182</v>
      </c>
      <c r="D211" s="69">
        <v>45337.0</v>
      </c>
      <c r="E211" s="69">
        <v>45351.0</v>
      </c>
      <c r="F211" s="1" t="s">
        <v>2832</v>
      </c>
      <c r="G211" s="112"/>
      <c r="H211" s="112"/>
      <c r="I211" s="112"/>
      <c r="J211" s="1"/>
    </row>
    <row r="212">
      <c r="A212" s="59">
        <f>HYPERLINK("https://polkadot.subsquare.io/treasury/proposals/623", 623)</f>
        <v>623</v>
      </c>
      <c r="B212" s="59">
        <f>HYPERLINK("https://polkadot.subsquare.io/referenda/491", 491)</f>
        <v>491</v>
      </c>
      <c r="C212" s="1" t="s">
        <v>1174</v>
      </c>
      <c r="D212" s="69">
        <v>45334.0</v>
      </c>
      <c r="E212" s="69">
        <v>45351.0</v>
      </c>
      <c r="F212" s="1" t="s">
        <v>2832</v>
      </c>
      <c r="G212" s="112"/>
      <c r="H212" s="112"/>
      <c r="I212" s="112"/>
      <c r="J212" s="1"/>
    </row>
    <row r="213">
      <c r="A213" s="59">
        <f>HYPERLINK("https://polkadot.subsquare.io/treasury/proposals/622", 622)</f>
        <v>622</v>
      </c>
      <c r="B213" s="59">
        <f>HYPERLINK("https://polkadot.subsquare.io/referenda/442", 442)</f>
        <v>442</v>
      </c>
      <c r="C213" s="1" t="s">
        <v>1150</v>
      </c>
      <c r="D213" s="69">
        <v>45315.0</v>
      </c>
      <c r="E213" s="69">
        <v>45351.0</v>
      </c>
      <c r="F213" s="1" t="s">
        <v>2832</v>
      </c>
      <c r="G213" s="112"/>
      <c r="H213" s="112"/>
      <c r="I213" s="112"/>
      <c r="J213" s="1"/>
    </row>
    <row r="214">
      <c r="A214" s="59">
        <f>HYPERLINK("https://polkadot.subsquare.io/treasury/proposals/621", 621)</f>
        <v>621</v>
      </c>
      <c r="B214" s="59">
        <f>HYPERLINK("https://polkadot.subsquare.io/referenda/446", 446)</f>
        <v>446</v>
      </c>
      <c r="C214" s="1" t="s">
        <v>1151</v>
      </c>
      <c r="D214" s="69">
        <v>45317.0</v>
      </c>
      <c r="E214" s="69">
        <v>45351.0</v>
      </c>
      <c r="F214" s="1" t="s">
        <v>2832</v>
      </c>
      <c r="G214" s="112"/>
      <c r="H214" s="112"/>
      <c r="I214" s="112"/>
      <c r="J214" s="1"/>
    </row>
    <row r="215">
      <c r="A215" s="59">
        <f>HYPERLINK("https://polkadot.subsquare.io/treasury/proposals/620", 620)</f>
        <v>620</v>
      </c>
      <c r="B215" s="59">
        <f>HYPERLINK("https://polkadot.subsquare.io/referenda/486", 486)</f>
        <v>486</v>
      </c>
      <c r="C215" s="1" t="s">
        <v>1172</v>
      </c>
      <c r="D215" s="69">
        <v>45333.0</v>
      </c>
      <c r="E215" s="69">
        <v>45351.0</v>
      </c>
      <c r="F215" s="1" t="s">
        <v>2832</v>
      </c>
      <c r="G215" s="112"/>
      <c r="H215" s="112"/>
      <c r="I215" s="112"/>
      <c r="J215" s="1"/>
    </row>
    <row r="216">
      <c r="A216" s="59">
        <f>HYPERLINK("https://polkadot.subsquare.io/treasury/proposals/619", 619)</f>
        <v>619</v>
      </c>
      <c r="B216" s="59">
        <f>HYPERLINK("https://polkadot.subsquare.io/referenda/447", 447)</f>
        <v>447</v>
      </c>
      <c r="C216" s="1" t="s">
        <v>1152</v>
      </c>
      <c r="D216" s="69">
        <v>45317.0</v>
      </c>
      <c r="E216" s="69">
        <v>45351.0</v>
      </c>
      <c r="F216" s="1" t="s">
        <v>2832</v>
      </c>
      <c r="G216" s="112"/>
      <c r="H216" s="112"/>
      <c r="I216" s="112"/>
      <c r="J216" s="1"/>
    </row>
    <row r="217">
      <c r="A217" s="59">
        <f>HYPERLINK("https://polkadot.subsquare.io/treasury/proposals/618", 618)</f>
        <v>618</v>
      </c>
      <c r="B217" s="59">
        <f>HYPERLINK("https://polkadot.subsquare.io/referenda/-1", -1)</f>
        <v>-1</v>
      </c>
      <c r="C217" s="1" t="s">
        <v>1169</v>
      </c>
      <c r="D217" s="69"/>
      <c r="E217" s="69">
        <v>45351.0</v>
      </c>
      <c r="F217" s="1" t="s">
        <v>2832</v>
      </c>
      <c r="G217" s="112"/>
      <c r="H217" s="112"/>
      <c r="I217" s="112"/>
      <c r="J217" s="1"/>
    </row>
    <row r="218">
      <c r="A218" s="59">
        <f>HYPERLINK("https://polkadot.subsquare.io/treasury/proposals/617", 617)</f>
        <v>617</v>
      </c>
      <c r="B218" s="59">
        <f>HYPERLINK("https://polkadot.subsquare.io/referenda/426", 426)</f>
        <v>426</v>
      </c>
      <c r="C218" s="1" t="s">
        <v>1146</v>
      </c>
      <c r="D218" s="69">
        <v>45309.0</v>
      </c>
      <c r="E218" s="69">
        <v>45351.0</v>
      </c>
      <c r="F218" s="1" t="s">
        <v>2832</v>
      </c>
      <c r="G218" s="112"/>
      <c r="H218" s="112"/>
      <c r="I218" s="112"/>
      <c r="J218" s="1"/>
    </row>
    <row r="219">
      <c r="A219" s="59">
        <f>HYPERLINK("https://polkadot.subsquare.io/treasury/proposals/616", 616)</f>
        <v>616</v>
      </c>
      <c r="B219" s="59">
        <f>HYPERLINK("https://polkadot.subsquare.io/referenda/472", 472)</f>
        <v>472</v>
      </c>
      <c r="C219" s="1" t="s">
        <v>1164</v>
      </c>
      <c r="D219" s="69">
        <v>45329.0</v>
      </c>
      <c r="E219" s="69">
        <v>45351.0</v>
      </c>
      <c r="F219" s="1" t="s">
        <v>2832</v>
      </c>
      <c r="G219" s="112"/>
      <c r="H219" s="112"/>
      <c r="I219" s="112"/>
      <c r="J219" s="1"/>
    </row>
    <row r="220">
      <c r="A220" s="59">
        <f>HYPERLINK("https://polkadot.subsquare.io/treasury/proposals/615", 615)</f>
        <v>615</v>
      </c>
      <c r="B220" s="59">
        <f>HYPERLINK("https://polkadot.subsquare.io/referenda/-1", -1)</f>
        <v>-1</v>
      </c>
      <c r="C220" s="1" t="s">
        <v>1168</v>
      </c>
      <c r="D220" s="69"/>
      <c r="E220" s="69">
        <v>45351.0</v>
      </c>
      <c r="F220" s="1" t="s">
        <v>2832</v>
      </c>
      <c r="G220" s="112"/>
      <c r="H220" s="112"/>
      <c r="I220" s="112"/>
      <c r="J220" s="1"/>
    </row>
    <row r="221">
      <c r="A221" s="59">
        <f>HYPERLINK("https://polkadot.subsquare.io/treasury/proposals/614", 614)</f>
        <v>614</v>
      </c>
      <c r="B221" s="59">
        <f>HYPERLINK("https://polkadot.subsquare.io/referenda/473", 473)</f>
        <v>473</v>
      </c>
      <c r="C221" s="1" t="s">
        <v>1165</v>
      </c>
      <c r="D221" s="69">
        <v>45329.0</v>
      </c>
      <c r="E221" s="69">
        <v>45351.0</v>
      </c>
      <c r="F221" s="1" t="s">
        <v>2832</v>
      </c>
      <c r="G221" s="112"/>
      <c r="H221" s="112"/>
      <c r="I221" s="112"/>
      <c r="J221" s="1"/>
    </row>
    <row r="222">
      <c r="A222" s="59">
        <f>HYPERLINK("https://polkadot.subsquare.io/treasury/proposals/613", 613)</f>
        <v>613</v>
      </c>
      <c r="B222" s="59">
        <f>HYPERLINK("https://polkadot.subsquare.io/referenda/432", 432)</f>
        <v>432</v>
      </c>
      <c r="C222" s="1" t="s">
        <v>2841</v>
      </c>
      <c r="D222" s="69">
        <v>45310.0</v>
      </c>
      <c r="E222" s="69">
        <v>45351.0</v>
      </c>
      <c r="F222" s="1" t="s">
        <v>2832</v>
      </c>
      <c r="G222" s="112"/>
      <c r="H222" s="112"/>
      <c r="I222" s="112"/>
      <c r="J222" s="1"/>
    </row>
    <row r="223">
      <c r="A223" s="59">
        <f>HYPERLINK("https://polkadot.subsquare.io/treasury/proposals/612", 612)</f>
        <v>612</v>
      </c>
      <c r="B223" s="59">
        <f>HYPERLINK("https://polkadot.subsquare.io/referenda/439", 439)</f>
        <v>439</v>
      </c>
      <c r="C223" s="1" t="s">
        <v>1148</v>
      </c>
      <c r="D223" s="69">
        <v>45314.0</v>
      </c>
      <c r="E223" s="69">
        <v>45351.0</v>
      </c>
      <c r="F223" s="1" t="s">
        <v>2832</v>
      </c>
      <c r="G223" s="112"/>
      <c r="H223" s="112"/>
      <c r="I223" s="112"/>
      <c r="J223" s="1"/>
    </row>
    <row r="224">
      <c r="A224" s="59">
        <f>HYPERLINK("https://polkadot.subsquare.io/treasury/proposals/611", 611)</f>
        <v>611</v>
      </c>
      <c r="B224" s="59">
        <f>HYPERLINK("https://polkadot.subsquare.io/referenda/465", 465)</f>
        <v>465</v>
      </c>
      <c r="C224" s="1" t="s">
        <v>982</v>
      </c>
      <c r="D224" s="69">
        <v>45327.0</v>
      </c>
      <c r="E224" s="69">
        <v>45351.0</v>
      </c>
      <c r="F224" s="1" t="s">
        <v>2832</v>
      </c>
      <c r="G224" s="112"/>
      <c r="H224" s="112"/>
      <c r="I224" s="112"/>
      <c r="J224" s="1"/>
    </row>
    <row r="225">
      <c r="A225" s="59">
        <f>HYPERLINK("https://polkadot.subsquare.io/treasury/proposals/610", 610)</f>
        <v>610</v>
      </c>
      <c r="B225" s="59">
        <f>HYPERLINK("https://polkadot.subsquare.io/referenda/459", 459)</f>
        <v>459</v>
      </c>
      <c r="C225" s="1" t="s">
        <v>1156</v>
      </c>
      <c r="D225" s="69">
        <v>45325.0</v>
      </c>
      <c r="E225" s="69">
        <v>45351.0</v>
      </c>
      <c r="F225" s="1" t="s">
        <v>2832</v>
      </c>
      <c r="G225" s="112"/>
      <c r="H225" s="112"/>
      <c r="I225" s="112"/>
      <c r="J225" s="1"/>
    </row>
    <row r="226">
      <c r="A226" s="59">
        <f>HYPERLINK("https://polkadot.subsquare.io/treasury/proposals/609", 609)</f>
        <v>609</v>
      </c>
      <c r="B226" s="59">
        <f>HYPERLINK("https://polkadot.subsquare.io/referenda/460", 460)</f>
        <v>460</v>
      </c>
      <c r="C226" s="1" t="s">
        <v>1157</v>
      </c>
      <c r="D226" s="69">
        <v>45325.0</v>
      </c>
      <c r="E226" s="69">
        <v>45351.0</v>
      </c>
      <c r="F226" s="1" t="s">
        <v>2832</v>
      </c>
      <c r="G226" s="112"/>
      <c r="H226" s="112"/>
      <c r="I226" s="112"/>
      <c r="J226" s="1"/>
    </row>
    <row r="227">
      <c r="A227" s="59">
        <f>HYPERLINK("https://polkadot.subsquare.io/treasury/proposals/608", 608)</f>
        <v>608</v>
      </c>
      <c r="B227" s="59">
        <f>HYPERLINK("https://polkadot.subsquare.io/referenda/425", 425)</f>
        <v>425</v>
      </c>
      <c r="C227" s="1" t="s">
        <v>1145</v>
      </c>
      <c r="D227" s="69">
        <v>45309.0</v>
      </c>
      <c r="E227" s="69">
        <v>45351.0</v>
      </c>
      <c r="F227" s="1" t="s">
        <v>2832</v>
      </c>
      <c r="G227" s="112"/>
      <c r="H227" s="112"/>
      <c r="I227" s="112"/>
      <c r="J227" s="1"/>
    </row>
    <row r="228">
      <c r="A228" s="59">
        <f>HYPERLINK("https://polkadot.subsquare.io/treasury/proposals/607", 607)</f>
        <v>607</v>
      </c>
      <c r="B228" s="59">
        <f>HYPERLINK("https://polkadot.subsquare.io/referenda/418", 418)</f>
        <v>418</v>
      </c>
      <c r="C228" s="1" t="s">
        <v>1141</v>
      </c>
      <c r="D228" s="69">
        <v>45306.0</v>
      </c>
      <c r="E228" s="69">
        <v>45351.0</v>
      </c>
      <c r="F228" s="1" t="s">
        <v>2832</v>
      </c>
      <c r="G228" s="112"/>
      <c r="H228" s="112"/>
      <c r="I228" s="112"/>
      <c r="J228" s="1"/>
    </row>
    <row r="229">
      <c r="A229" s="59">
        <f>HYPERLINK("https://polkadot.subsquare.io/treasury/proposals/606", 606)</f>
        <v>606</v>
      </c>
      <c r="B229" s="59">
        <f>HYPERLINK("https://polkadot.subsquare.io/referenda/411", 411)</f>
        <v>411</v>
      </c>
      <c r="C229" s="1" t="s">
        <v>1137</v>
      </c>
      <c r="D229" s="69">
        <v>45302.0</v>
      </c>
      <c r="E229" s="69">
        <v>45327.0</v>
      </c>
      <c r="F229" s="1" t="s">
        <v>2832</v>
      </c>
      <c r="G229" s="112"/>
      <c r="H229" s="112"/>
      <c r="I229" s="112"/>
      <c r="J229" s="1"/>
    </row>
    <row r="230">
      <c r="A230" s="59">
        <f>HYPERLINK("https://polkadot.subsquare.io/treasury/proposals/605", 605)</f>
        <v>605</v>
      </c>
      <c r="B230" s="59">
        <f>HYPERLINK("https://polkadot.subsquare.io/referenda/409", 409)</f>
        <v>409</v>
      </c>
      <c r="C230" s="1" t="s">
        <v>1136</v>
      </c>
      <c r="D230" s="69">
        <v>45301.0</v>
      </c>
      <c r="E230" s="69">
        <v>45327.0</v>
      </c>
      <c r="F230" s="1" t="s">
        <v>2832</v>
      </c>
      <c r="G230" s="112"/>
      <c r="H230" s="112"/>
      <c r="I230" s="112"/>
      <c r="J230" s="1"/>
    </row>
    <row r="231">
      <c r="A231" s="59">
        <f>HYPERLINK("https://polkadot.subsquare.io/treasury/proposals/604", 604)</f>
        <v>604</v>
      </c>
      <c r="B231" s="59">
        <f>HYPERLINK("https://polkadot.subsquare.io/referenda/415", 415)</f>
        <v>415</v>
      </c>
      <c r="C231" s="113" t="s">
        <v>1139</v>
      </c>
      <c r="D231" s="69">
        <v>45305.0</v>
      </c>
      <c r="E231" s="69">
        <v>45327.0</v>
      </c>
      <c r="F231" s="1" t="s">
        <v>2832</v>
      </c>
      <c r="G231" s="112"/>
      <c r="H231" s="112"/>
      <c r="I231" s="112"/>
      <c r="J231" s="1"/>
    </row>
    <row r="232">
      <c r="A232" s="59">
        <f>HYPERLINK("https://polkadot.subsquare.io/treasury/proposals/603", 603)</f>
        <v>603</v>
      </c>
      <c r="B232" s="59">
        <f>HYPERLINK("https://polkadot.subsquare.io/referenda/408", 408)</f>
        <v>408</v>
      </c>
      <c r="C232" s="1" t="s">
        <v>1135</v>
      </c>
      <c r="D232" s="69">
        <v>45301.0</v>
      </c>
      <c r="E232" s="69">
        <v>45327.0</v>
      </c>
      <c r="F232" s="1" t="s">
        <v>2832</v>
      </c>
      <c r="G232" s="112"/>
      <c r="H232" s="112"/>
      <c r="I232" s="112"/>
      <c r="J232" s="1"/>
    </row>
    <row r="233">
      <c r="A233" s="59">
        <f>HYPERLINK("https://polkadot.subsquare.io/treasury/proposals/602", 602)</f>
        <v>602</v>
      </c>
      <c r="B233" s="59">
        <f>HYPERLINK("https://polkadot.subsquare.io/referenda/412", 412)</f>
        <v>412</v>
      </c>
      <c r="C233" s="1" t="s">
        <v>1138</v>
      </c>
      <c r="D233" s="69">
        <v>45302.0</v>
      </c>
      <c r="E233" s="69">
        <v>45327.0</v>
      </c>
      <c r="F233" s="1" t="s">
        <v>2832</v>
      </c>
      <c r="G233" s="112"/>
      <c r="H233" s="112"/>
      <c r="I233" s="112"/>
      <c r="J233" s="1"/>
    </row>
    <row r="234">
      <c r="A234" s="59">
        <f>HYPERLINK("https://polkadot.subsquare.io/treasury/proposals/601", 601)</f>
        <v>601</v>
      </c>
      <c r="B234" s="59">
        <f>HYPERLINK("https://polkadot.subsquare.io/referenda/436", 436)</f>
        <v>436</v>
      </c>
      <c r="C234" s="1" t="s">
        <v>1147</v>
      </c>
      <c r="D234" s="69">
        <v>45313.0</v>
      </c>
      <c r="E234" s="69">
        <v>45327.0</v>
      </c>
      <c r="F234" s="1" t="s">
        <v>2832</v>
      </c>
      <c r="G234" s="112"/>
      <c r="H234" s="112"/>
      <c r="I234" s="112"/>
      <c r="J234" s="1"/>
    </row>
    <row r="235">
      <c r="A235" s="59">
        <f>HYPERLINK("https://polkadot.subsquare.io/treasury/proposals/600", 600)</f>
        <v>600</v>
      </c>
      <c r="B235" s="59">
        <f>HYPERLINK("https://polkadot.subsquare.io/referenda/397", 397)</f>
        <v>397</v>
      </c>
      <c r="C235" s="1" t="s">
        <v>1133</v>
      </c>
      <c r="D235" s="69">
        <v>45295.0</v>
      </c>
      <c r="E235" s="69">
        <v>45327.0</v>
      </c>
      <c r="F235" s="1" t="s">
        <v>2832</v>
      </c>
      <c r="G235" s="112"/>
      <c r="H235" s="112"/>
      <c r="I235" s="112"/>
      <c r="J235" s="1"/>
    </row>
    <row r="236">
      <c r="A236" s="59">
        <f>HYPERLINK("https://polkadot.subsquare.io/treasury/proposals/599", 599)</f>
        <v>599</v>
      </c>
      <c r="B236" s="59">
        <f>HYPERLINK("https://polkadot.subsquare.io/referenda/-1", -1)</f>
        <v>-1</v>
      </c>
      <c r="C236" s="1" t="s">
        <v>1149</v>
      </c>
      <c r="D236" s="69"/>
      <c r="E236" s="69">
        <v>45327.0</v>
      </c>
      <c r="F236" s="1" t="s">
        <v>2832</v>
      </c>
      <c r="G236" s="112"/>
      <c r="H236" s="112"/>
      <c r="I236" s="112"/>
      <c r="J236" s="1"/>
    </row>
    <row r="237">
      <c r="A237" s="59">
        <f>HYPERLINK("https://polkadot.subsquare.io/treasury/proposals/598", 598)</f>
        <v>598</v>
      </c>
      <c r="B237" s="59">
        <f>HYPERLINK("https://polkadot.subsquare.io/referenda/433", 433)</f>
        <v>433</v>
      </c>
      <c r="C237" s="1"/>
      <c r="D237" s="69">
        <v>45310.0</v>
      </c>
      <c r="E237" s="69">
        <v>45327.0</v>
      </c>
      <c r="F237" s="1" t="s">
        <v>2832</v>
      </c>
      <c r="G237" s="112"/>
      <c r="H237" s="112"/>
      <c r="I237" s="112"/>
      <c r="J237" s="1"/>
    </row>
    <row r="238">
      <c r="A238" s="59">
        <f>HYPERLINK("https://polkadot.subsquare.io/treasury/proposals/597", 597)</f>
        <v>597</v>
      </c>
      <c r="B238" s="59">
        <f>HYPERLINK("https://polkadot.subsquare.io/referenda/422", 422)</f>
        <v>422</v>
      </c>
      <c r="C238" s="1" t="s">
        <v>1144</v>
      </c>
      <c r="D238" s="69">
        <v>45308.0</v>
      </c>
      <c r="E238" s="69">
        <v>45327.0</v>
      </c>
      <c r="F238" s="1" t="s">
        <v>2832</v>
      </c>
      <c r="G238" s="112"/>
      <c r="H238" s="112"/>
      <c r="I238" s="112"/>
      <c r="J238" s="1"/>
    </row>
    <row r="239">
      <c r="A239" s="59">
        <f>HYPERLINK("https://polkadot.subsquare.io/treasury/proposals/596", 596)</f>
        <v>596</v>
      </c>
      <c r="B239" s="59">
        <f>HYPERLINK("https://polkadot.subsquare.io/referenda/396", 396)</f>
        <v>396</v>
      </c>
      <c r="C239" s="1" t="s">
        <v>1132</v>
      </c>
      <c r="D239" s="69">
        <v>45295.0</v>
      </c>
      <c r="E239" s="69">
        <v>45327.0</v>
      </c>
      <c r="F239" s="1" t="s">
        <v>2832</v>
      </c>
      <c r="G239" s="112"/>
      <c r="H239" s="112"/>
      <c r="I239" s="112"/>
      <c r="J239" s="1"/>
    </row>
    <row r="240">
      <c r="A240" s="59">
        <f>HYPERLINK("https://polkadot.subsquare.io/treasury/proposals/595", 595)</f>
        <v>595</v>
      </c>
      <c r="B240" s="59">
        <f>HYPERLINK("https://polkadot.subsquare.io/referenda/429", 429)</f>
        <v>429</v>
      </c>
      <c r="C240" s="1"/>
      <c r="D240" s="69">
        <v>45309.0</v>
      </c>
      <c r="E240" s="69">
        <v>45327.0</v>
      </c>
      <c r="F240" s="1" t="s">
        <v>2832</v>
      </c>
      <c r="G240" s="112"/>
      <c r="H240" s="112"/>
      <c r="I240" s="112"/>
      <c r="J240" s="1"/>
    </row>
    <row r="241">
      <c r="A241" s="59">
        <f>HYPERLINK("https://polkadot.subsquare.io/treasury/proposals/594", 594)</f>
        <v>594</v>
      </c>
      <c r="B241" s="59">
        <f>HYPERLINK("https://polkadot.subsquare.io/referenda/374", 374)</f>
        <v>374</v>
      </c>
      <c r="C241" s="1" t="s">
        <v>1120</v>
      </c>
      <c r="D241" s="69">
        <v>45281.0</v>
      </c>
      <c r="E241" s="69">
        <v>45327.0</v>
      </c>
      <c r="F241" s="1" t="s">
        <v>2832</v>
      </c>
      <c r="G241" s="112"/>
      <c r="H241" s="112"/>
      <c r="I241" s="112"/>
      <c r="J241" s="1"/>
    </row>
    <row r="242">
      <c r="A242" s="59">
        <f>HYPERLINK("https://polkadot.subsquare.io/treasury/proposals/593", 593)</f>
        <v>593</v>
      </c>
      <c r="B242" s="59">
        <f>HYPERLINK("https://polkadot.subsquare.io/referenda/420", 420)</f>
        <v>420</v>
      </c>
      <c r="C242" s="1" t="s">
        <v>1142</v>
      </c>
      <c r="D242" s="69">
        <v>45307.0</v>
      </c>
      <c r="E242" s="69">
        <v>45327.0</v>
      </c>
      <c r="F242" s="1" t="s">
        <v>2832</v>
      </c>
      <c r="G242" s="112"/>
      <c r="H242" s="112"/>
      <c r="I242" s="112"/>
      <c r="J242" s="1"/>
    </row>
    <row r="243">
      <c r="A243" s="59">
        <f>HYPERLINK("https://polkadot.subsquare.io/treasury/proposals/592", 592)</f>
        <v>592</v>
      </c>
      <c r="B243" s="59">
        <f>HYPERLINK("https://polkadot.subsquare.io/referenda/379", 379)</f>
        <v>379</v>
      </c>
      <c r="C243" s="1" t="s">
        <v>1125</v>
      </c>
      <c r="D243" s="69">
        <v>45282.0</v>
      </c>
      <c r="E243" s="69">
        <v>45327.0</v>
      </c>
      <c r="F243" s="1" t="s">
        <v>2832</v>
      </c>
      <c r="G243" s="112"/>
      <c r="H243" s="112"/>
      <c r="I243" s="112"/>
      <c r="J243" s="1"/>
    </row>
    <row r="244">
      <c r="A244" s="59">
        <f>HYPERLINK("https://polkadot.subsquare.io/treasury/proposals/591", 591)</f>
        <v>591</v>
      </c>
      <c r="B244" s="59">
        <f>HYPERLINK("https://polkadot.subsquare.io/referenda/-1", -1)</f>
        <v>-1</v>
      </c>
      <c r="C244" s="1" t="s">
        <v>1143</v>
      </c>
      <c r="D244" s="69"/>
      <c r="E244" s="69">
        <v>45327.0</v>
      </c>
      <c r="F244" s="1" t="s">
        <v>2832</v>
      </c>
      <c r="G244" s="112"/>
      <c r="H244" s="112"/>
      <c r="I244" s="112"/>
      <c r="J244" s="1"/>
    </row>
    <row r="245">
      <c r="A245" s="59">
        <f>HYPERLINK("https://polkadot.subsquare.io/treasury/proposals/590", 590)</f>
        <v>590</v>
      </c>
      <c r="B245" s="59">
        <f>HYPERLINK("https://polkadot.subsquare.io/referenda/417", 417)</f>
        <v>417</v>
      </c>
      <c r="C245" s="1" t="s">
        <v>1140</v>
      </c>
      <c r="D245" s="69">
        <v>45306.0</v>
      </c>
      <c r="E245" s="69">
        <v>45327.0</v>
      </c>
      <c r="F245" s="1" t="s">
        <v>2832</v>
      </c>
      <c r="G245" s="112"/>
      <c r="H245" s="112"/>
      <c r="I245" s="112"/>
      <c r="J245" s="1"/>
    </row>
    <row r="246">
      <c r="A246" s="59">
        <f>HYPERLINK("https://polkadot.subsquare.io/treasury/proposals/589", 589)</f>
        <v>589</v>
      </c>
      <c r="B246" s="59">
        <f>HYPERLINK("https://polkadot.subsquare.io/referenda/385", 385)</f>
        <v>385</v>
      </c>
      <c r="C246" s="1" t="s">
        <v>1127</v>
      </c>
      <c r="D246" s="69">
        <v>45287.0</v>
      </c>
      <c r="E246" s="69">
        <v>45327.0</v>
      </c>
      <c r="F246" s="1" t="s">
        <v>2832</v>
      </c>
      <c r="G246" s="112"/>
      <c r="H246" s="112"/>
      <c r="I246" s="112"/>
      <c r="J246" s="1"/>
    </row>
    <row r="247">
      <c r="A247" s="59">
        <f>HYPERLINK("https://polkadot.subsquare.io/treasury/proposals/588", 588)</f>
        <v>588</v>
      </c>
      <c r="B247" s="59">
        <f>HYPERLINK("https://polkadot.subsquare.io/referenda/387", 387)</f>
        <v>387</v>
      </c>
      <c r="C247" s="1" t="s">
        <v>1128</v>
      </c>
      <c r="D247" s="69">
        <v>45288.0</v>
      </c>
      <c r="E247" s="69">
        <v>45327.0</v>
      </c>
      <c r="F247" s="1" t="s">
        <v>2832</v>
      </c>
      <c r="G247" s="112"/>
      <c r="H247" s="112"/>
      <c r="I247" s="112"/>
      <c r="J247" s="1"/>
    </row>
    <row r="248">
      <c r="A248" s="59">
        <f>HYPERLINK("https://polkadot.subsquare.io/treasury/proposals/587", 587)</f>
        <v>587</v>
      </c>
      <c r="B248" s="59">
        <f>HYPERLINK("https://polkadot.subsquare.io/referenda/371", 371)</f>
        <v>371</v>
      </c>
      <c r="C248" s="1" t="s">
        <v>1117</v>
      </c>
      <c r="D248" s="69">
        <v>45280.0</v>
      </c>
      <c r="E248" s="69">
        <v>45327.0</v>
      </c>
      <c r="F248" s="1" t="s">
        <v>2832</v>
      </c>
      <c r="G248" s="112"/>
      <c r="H248" s="112"/>
      <c r="I248" s="112"/>
      <c r="J248" s="1"/>
    </row>
    <row r="249">
      <c r="A249" s="59">
        <f>HYPERLINK("https://polkadot.subsquare.io/treasury/proposals/586", 586)</f>
        <v>586</v>
      </c>
      <c r="B249" s="59">
        <f>HYPERLINK("https://polkadot.subsquare.io/referenda/375", 375)</f>
        <v>375</v>
      </c>
      <c r="C249" s="1" t="s">
        <v>1121</v>
      </c>
      <c r="D249" s="69">
        <v>45281.0</v>
      </c>
      <c r="E249" s="69">
        <v>45327.0</v>
      </c>
      <c r="F249" s="1" t="s">
        <v>2832</v>
      </c>
      <c r="G249" s="112"/>
      <c r="H249" s="112"/>
      <c r="I249" s="112"/>
      <c r="J249" s="1"/>
    </row>
    <row r="250">
      <c r="A250" s="59">
        <f>HYPERLINK("https://polkadot.subsquare.io/treasury/proposals/585", 585)</f>
        <v>585</v>
      </c>
      <c r="B250" s="59">
        <f>HYPERLINK("https://polkadot.subsquare.io/referenda/372", 372)</f>
        <v>372</v>
      </c>
      <c r="C250" s="1" t="s">
        <v>1118</v>
      </c>
      <c r="D250" s="69">
        <v>45280.0</v>
      </c>
      <c r="E250" s="69">
        <v>45327.0</v>
      </c>
      <c r="F250" s="1" t="s">
        <v>2832</v>
      </c>
      <c r="G250" s="112"/>
      <c r="H250" s="112"/>
      <c r="I250" s="112"/>
      <c r="J250" s="1"/>
    </row>
    <row r="251">
      <c r="A251" s="59">
        <f>HYPERLINK("https://polkadot.subsquare.io/treasury/proposals/584", 584)</f>
        <v>584</v>
      </c>
      <c r="B251" s="59">
        <f>HYPERLINK("https://polkadot.subsquare.io/referenda/-1", -1)</f>
        <v>-1</v>
      </c>
      <c r="C251" s="1"/>
      <c r="D251" s="69"/>
      <c r="E251" s="69">
        <v>45304.0</v>
      </c>
      <c r="F251" s="1" t="s">
        <v>2826</v>
      </c>
      <c r="G251" s="112"/>
      <c r="H251" s="112"/>
      <c r="I251" s="112"/>
      <c r="J251" s="1"/>
    </row>
    <row r="252">
      <c r="A252" s="59">
        <f>HYPERLINK("https://polkadot.subsquare.io/treasury/proposals/583", 583)</f>
        <v>583</v>
      </c>
      <c r="B252" s="59">
        <f>HYPERLINK("https://polkadot.subsquare.io/referenda/389", 389)</f>
        <v>389</v>
      </c>
      <c r="C252" s="1" t="s">
        <v>1129</v>
      </c>
      <c r="D252" s="69">
        <v>45288.0</v>
      </c>
      <c r="E252" s="69">
        <v>45327.0</v>
      </c>
      <c r="F252" s="1" t="s">
        <v>2832</v>
      </c>
      <c r="G252" s="112"/>
      <c r="H252" s="112"/>
      <c r="I252" s="112"/>
      <c r="J252" s="1"/>
    </row>
    <row r="253">
      <c r="A253" s="59">
        <f>HYPERLINK("https://polkadot.subsquare.io/treasury/proposals/582", 582)</f>
        <v>582</v>
      </c>
      <c r="B253" s="59">
        <f>HYPERLINK("https://polkadot.subsquare.io/referenda/382", 382)</f>
        <v>382</v>
      </c>
      <c r="C253" s="1" t="s">
        <v>1126</v>
      </c>
      <c r="D253" s="69">
        <v>45284.0</v>
      </c>
      <c r="E253" s="69">
        <v>45303.0</v>
      </c>
      <c r="F253" s="1" t="s">
        <v>2832</v>
      </c>
      <c r="G253" s="112"/>
      <c r="H253" s="112"/>
      <c r="I253" s="112"/>
      <c r="J253" s="1"/>
    </row>
    <row r="254">
      <c r="A254" s="59">
        <f>HYPERLINK("https://polkadot.subsquare.io/treasury/proposals/581", 581)</f>
        <v>581</v>
      </c>
      <c r="B254" s="59">
        <f>HYPERLINK("https://polkadot.subsquare.io/referenda/366", 366)</f>
        <v>366</v>
      </c>
      <c r="C254" s="1" t="s">
        <v>1113</v>
      </c>
      <c r="D254" s="69">
        <v>45275.0</v>
      </c>
      <c r="E254" s="69">
        <v>45303.0</v>
      </c>
      <c r="F254" s="1" t="s">
        <v>2832</v>
      </c>
      <c r="G254" s="112"/>
      <c r="H254" s="112"/>
      <c r="I254" s="112"/>
      <c r="J254" s="1"/>
    </row>
    <row r="255">
      <c r="A255" s="59">
        <f>HYPERLINK("https://polkadot.subsquare.io/treasury/proposals/580", 580)</f>
        <v>580</v>
      </c>
      <c r="B255" s="59">
        <f>HYPERLINK("https://polkadot.subsquare.io/referenda/377", 377)</f>
        <v>377</v>
      </c>
      <c r="C255" s="1" t="s">
        <v>1123</v>
      </c>
      <c r="D255" s="69">
        <v>45282.0</v>
      </c>
      <c r="E255" s="69">
        <v>45303.0</v>
      </c>
      <c r="F255" s="1" t="s">
        <v>2832</v>
      </c>
      <c r="G255" s="112"/>
      <c r="H255" s="112"/>
      <c r="I255" s="112"/>
      <c r="J255" s="1"/>
    </row>
    <row r="256">
      <c r="A256" s="59">
        <f>HYPERLINK("https://polkadot.subsquare.io/treasury/proposals/579", 579)</f>
        <v>579</v>
      </c>
      <c r="B256" s="59">
        <f>HYPERLINK("https://polkadot.subsquare.io/referenda/-1", -1)</f>
        <v>-1</v>
      </c>
      <c r="C256" s="1" t="s">
        <v>1134</v>
      </c>
      <c r="D256" s="69"/>
      <c r="E256" s="69">
        <v>45303.0</v>
      </c>
      <c r="F256" s="1" t="s">
        <v>2832</v>
      </c>
      <c r="G256" s="112"/>
      <c r="H256" s="112"/>
      <c r="I256" s="112"/>
      <c r="J256" s="1"/>
    </row>
    <row r="257">
      <c r="A257" s="59">
        <f>HYPERLINK("https://polkadot.subsquare.io/treasury/proposals/578", 578)</f>
        <v>578</v>
      </c>
      <c r="B257" s="59">
        <f>HYPERLINK("https://polkadot.subsquare.io/referenda/356", 356)</f>
        <v>356</v>
      </c>
      <c r="C257" s="1" t="s">
        <v>1105</v>
      </c>
      <c r="D257" s="69">
        <v>45271.0</v>
      </c>
      <c r="E257" s="69">
        <v>45303.0</v>
      </c>
      <c r="F257" s="1" t="s">
        <v>2832</v>
      </c>
      <c r="G257" s="112"/>
      <c r="H257" s="112"/>
      <c r="I257" s="112"/>
      <c r="J257" s="1"/>
    </row>
    <row r="258">
      <c r="A258" s="59">
        <f>HYPERLINK("https://polkadot.subsquare.io/treasury/proposals/577", 577)</f>
        <v>577</v>
      </c>
      <c r="B258" s="59">
        <f>HYPERLINK("https://polkadot.subsquare.io/referenda/362", 362)</f>
        <v>362</v>
      </c>
      <c r="C258" s="1" t="s">
        <v>1110</v>
      </c>
      <c r="D258" s="69">
        <v>45273.0</v>
      </c>
      <c r="E258" s="69">
        <v>45303.0</v>
      </c>
      <c r="F258" s="1" t="s">
        <v>2832</v>
      </c>
      <c r="G258" s="112"/>
      <c r="H258" s="112"/>
      <c r="I258" s="112"/>
      <c r="J258" s="1"/>
    </row>
    <row r="259">
      <c r="A259" s="59">
        <f>HYPERLINK("https://polkadot.subsquare.io/treasury/proposals/576", 576)</f>
        <v>576</v>
      </c>
      <c r="B259" s="59">
        <f>HYPERLINK("https://polkadot.subsquare.io/referenda/376", 376)</f>
        <v>376</v>
      </c>
      <c r="C259" s="1" t="s">
        <v>1122</v>
      </c>
      <c r="D259" s="69">
        <v>45281.0</v>
      </c>
      <c r="E259" s="69">
        <v>45303.0</v>
      </c>
      <c r="F259" s="1" t="s">
        <v>2832</v>
      </c>
      <c r="G259" s="112"/>
      <c r="H259" s="112"/>
      <c r="I259" s="112"/>
      <c r="J259" s="1"/>
    </row>
    <row r="260">
      <c r="A260" s="59">
        <f>HYPERLINK("https://polkadot.subsquare.io/treasury/proposals/575", 575)</f>
        <v>575</v>
      </c>
      <c r="B260" s="59">
        <f>HYPERLINK("https://polkadot.subsquare.io/referenda/369", 369)</f>
        <v>369</v>
      </c>
      <c r="C260" s="1" t="s">
        <v>1115</v>
      </c>
      <c r="D260" s="69">
        <v>45279.0</v>
      </c>
      <c r="E260" s="69">
        <v>45303.0</v>
      </c>
      <c r="F260" s="1" t="s">
        <v>2832</v>
      </c>
      <c r="G260" s="112"/>
      <c r="H260" s="112"/>
      <c r="I260" s="112"/>
      <c r="J260" s="1"/>
    </row>
    <row r="261">
      <c r="A261" s="59">
        <f>HYPERLINK("https://polkadot.subsquare.io/treasury/proposals/574", 574)</f>
        <v>574</v>
      </c>
      <c r="B261" s="59">
        <f>HYPERLINK("https://polkadot.subsquare.io/referenda/373", 373)</f>
        <v>373</v>
      </c>
      <c r="C261" s="1" t="s">
        <v>1119</v>
      </c>
      <c r="D261" s="69">
        <v>45281.0</v>
      </c>
      <c r="E261" s="69">
        <v>45303.0</v>
      </c>
      <c r="F261" s="1" t="s">
        <v>2832</v>
      </c>
      <c r="G261" s="112"/>
      <c r="H261" s="112"/>
      <c r="I261" s="112"/>
      <c r="J261" s="1"/>
    </row>
    <row r="262">
      <c r="A262" s="59">
        <f>HYPERLINK("https://polkadot.subsquare.io/treasury/proposals/573", 573)</f>
        <v>573</v>
      </c>
      <c r="B262" s="59">
        <f>HYPERLINK("https://polkadot.subsquare.io/referenda/370", 370)</f>
        <v>370</v>
      </c>
      <c r="C262" s="1" t="s">
        <v>1116</v>
      </c>
      <c r="D262" s="69">
        <v>45279.0</v>
      </c>
      <c r="E262" s="69">
        <v>45303.0</v>
      </c>
      <c r="F262" s="1" t="s">
        <v>2832</v>
      </c>
      <c r="G262" s="112"/>
      <c r="H262" s="112"/>
      <c r="I262" s="112"/>
      <c r="J262" s="1"/>
    </row>
    <row r="263">
      <c r="A263" s="59">
        <f>HYPERLINK("https://polkadot.subsquare.io/treasury/proposals/572", 572)</f>
        <v>572</v>
      </c>
      <c r="B263" s="59">
        <f>HYPERLINK("https://polkadot.subsquare.io/referenda/359", 359)</f>
        <v>359</v>
      </c>
      <c r="C263" s="1" t="s">
        <v>1107</v>
      </c>
      <c r="D263" s="69">
        <v>45273.0</v>
      </c>
      <c r="E263" s="69">
        <v>45303.0</v>
      </c>
      <c r="F263" s="1" t="s">
        <v>2832</v>
      </c>
      <c r="G263" s="112"/>
      <c r="H263" s="112"/>
      <c r="I263" s="112"/>
      <c r="J263" s="1"/>
    </row>
    <row r="264">
      <c r="A264" s="59">
        <f>HYPERLINK("https://polkadot.subsquare.io/treasury/proposals/571", 571)</f>
        <v>571</v>
      </c>
      <c r="B264" s="59">
        <f>HYPERLINK("https://polkadot.subsquare.io/referenda/360", 360)</f>
        <v>360</v>
      </c>
      <c r="C264" s="1" t="s">
        <v>1108</v>
      </c>
      <c r="D264" s="69">
        <v>45273.0</v>
      </c>
      <c r="E264" s="69">
        <v>45303.0</v>
      </c>
      <c r="F264" s="1" t="s">
        <v>2832</v>
      </c>
      <c r="G264" s="112"/>
      <c r="H264" s="112"/>
      <c r="I264" s="112"/>
      <c r="J264" s="1"/>
    </row>
    <row r="265">
      <c r="A265" s="59">
        <f>HYPERLINK("https://polkadot.subsquare.io/treasury/proposals/570", 570)</f>
        <v>570</v>
      </c>
      <c r="B265" s="59">
        <f>HYPERLINK("https://polkadot.subsquare.io/referenda/343", 343)</f>
        <v>343</v>
      </c>
      <c r="C265" s="1" t="s">
        <v>1099</v>
      </c>
      <c r="D265" s="69">
        <v>45267.0</v>
      </c>
      <c r="E265" s="69">
        <v>45303.0</v>
      </c>
      <c r="F265" s="1" t="s">
        <v>2832</v>
      </c>
      <c r="G265" s="112"/>
      <c r="H265" s="112"/>
      <c r="I265" s="112"/>
      <c r="J265" s="1"/>
    </row>
    <row r="266">
      <c r="A266" s="59">
        <f>HYPERLINK("https://polkadot.subsquare.io/treasury/proposals/569", 569)</f>
        <v>569</v>
      </c>
      <c r="B266" s="59">
        <f>HYPERLINK("https://polkadot.subsquare.io/referenda/355", 355)</f>
        <v>355</v>
      </c>
      <c r="C266" s="1" t="s">
        <v>1104</v>
      </c>
      <c r="D266" s="69">
        <v>45271.0</v>
      </c>
      <c r="E266" s="69">
        <v>45303.0</v>
      </c>
      <c r="F266" s="1" t="s">
        <v>2832</v>
      </c>
      <c r="G266" s="112"/>
      <c r="H266" s="112"/>
      <c r="I266" s="112"/>
      <c r="J266" s="1"/>
    </row>
    <row r="267">
      <c r="A267" s="59">
        <f>HYPERLINK("https://polkadot.subsquare.io/treasury/proposals/568", 568)</f>
        <v>568</v>
      </c>
      <c r="B267" s="59">
        <f>HYPERLINK("https://polkadot.subsquare.io/referenda/-1", -1)</f>
        <v>-1</v>
      </c>
      <c r="C267" s="1" t="s">
        <v>1131</v>
      </c>
      <c r="D267" s="69"/>
      <c r="E267" s="69">
        <v>45303.0</v>
      </c>
      <c r="F267" s="1" t="s">
        <v>2832</v>
      </c>
      <c r="G267" s="112"/>
      <c r="H267" s="112"/>
      <c r="I267" s="112"/>
      <c r="J267" s="1"/>
    </row>
    <row r="268">
      <c r="A268" s="59">
        <f>HYPERLINK("https://polkadot.subsquare.io/treasury/proposals/567", 567)</f>
        <v>567</v>
      </c>
      <c r="B268" s="59">
        <f>HYPERLINK("https://polkadot.subsquare.io/referenda/391", 391)</f>
        <v>391</v>
      </c>
      <c r="C268" s="1" t="s">
        <v>1130</v>
      </c>
      <c r="D268" s="69">
        <v>45289.0</v>
      </c>
      <c r="E268" s="69">
        <v>45303.0</v>
      </c>
      <c r="F268" s="1" t="s">
        <v>2832</v>
      </c>
      <c r="G268" s="112"/>
      <c r="H268" s="112"/>
      <c r="I268" s="112"/>
      <c r="J268" s="1"/>
    </row>
    <row r="269">
      <c r="A269" s="59">
        <f>HYPERLINK("https://polkadot.subsquare.io/treasury/proposals/566", 566)</f>
        <v>566</v>
      </c>
      <c r="B269" s="59">
        <f>HYPERLINK("https://polkadot.subsquare.io/referenda/365", 365)</f>
        <v>365</v>
      </c>
      <c r="C269" s="1" t="s">
        <v>1112</v>
      </c>
      <c r="D269" s="69">
        <v>45274.0</v>
      </c>
      <c r="E269" s="69">
        <v>45303.0</v>
      </c>
      <c r="F269" s="1" t="s">
        <v>2832</v>
      </c>
      <c r="G269" s="112"/>
      <c r="H269" s="112"/>
      <c r="I269" s="112"/>
      <c r="J269" s="1"/>
    </row>
    <row r="270">
      <c r="A270" s="59">
        <f>HYPERLINK("https://polkadot.subsquare.io/treasury/proposals/565", 565)</f>
        <v>565</v>
      </c>
      <c r="B270" s="59">
        <f>HYPERLINK("https://polkadot.subsquare.io/referenda/350", 350)</f>
        <v>350</v>
      </c>
      <c r="C270" s="1" t="s">
        <v>1103</v>
      </c>
      <c r="D270" s="69">
        <v>45269.0</v>
      </c>
      <c r="E270" s="69">
        <v>45303.0</v>
      </c>
      <c r="F270" s="1" t="s">
        <v>2832</v>
      </c>
      <c r="G270" s="112"/>
      <c r="H270" s="112"/>
      <c r="I270" s="112"/>
      <c r="J270" s="1"/>
    </row>
    <row r="271">
      <c r="A271" s="59">
        <f>HYPERLINK("https://polkadot.subsquare.io/treasury/proposals/564", 564)</f>
        <v>564</v>
      </c>
      <c r="B271" s="59">
        <f>HYPERLINK("https://polkadot.subsquare.io/referenda/358", 358)</f>
        <v>358</v>
      </c>
      <c r="C271" s="1" t="s">
        <v>1106</v>
      </c>
      <c r="D271" s="69">
        <v>45271.0</v>
      </c>
      <c r="E271" s="69">
        <v>45303.0</v>
      </c>
      <c r="F271" s="1" t="s">
        <v>2832</v>
      </c>
      <c r="G271" s="112"/>
      <c r="H271" s="112"/>
      <c r="I271" s="112"/>
      <c r="J271" s="1"/>
    </row>
    <row r="272">
      <c r="A272" s="59">
        <f>HYPERLINK("https://polkadot.subsquare.io/treasury/proposals/563", 563)</f>
        <v>563</v>
      </c>
      <c r="B272" s="59">
        <f>HYPERLINK("https://polkadot.subsquare.io/referenda/364", 364)</f>
        <v>364</v>
      </c>
      <c r="C272" s="1" t="s">
        <v>1111</v>
      </c>
      <c r="D272" s="69">
        <v>45274.0</v>
      </c>
      <c r="E272" s="69">
        <v>45303.0</v>
      </c>
      <c r="F272" s="1" t="s">
        <v>2832</v>
      </c>
      <c r="G272" s="112"/>
      <c r="H272" s="112"/>
      <c r="I272" s="112"/>
      <c r="J272" s="1"/>
    </row>
    <row r="273">
      <c r="A273" s="59">
        <f>HYPERLINK("https://polkadot.subsquare.io/treasury/proposals/562", 562)</f>
        <v>562</v>
      </c>
      <c r="B273" s="59">
        <f>HYPERLINK("https://polkadot.subsquare.io/referenda/344", 344)</f>
        <v>344</v>
      </c>
      <c r="C273" s="1" t="s">
        <v>1100</v>
      </c>
      <c r="D273" s="69">
        <v>45267.0</v>
      </c>
      <c r="E273" s="69">
        <v>45303.0</v>
      </c>
      <c r="F273" s="1" t="s">
        <v>2832</v>
      </c>
      <c r="G273" s="112"/>
      <c r="H273" s="112"/>
      <c r="I273" s="112"/>
      <c r="J273" s="1"/>
    </row>
    <row r="274">
      <c r="A274" s="59">
        <f>HYPERLINK("https://polkadot.subsquare.io/treasury/proposals/561", 561)</f>
        <v>561</v>
      </c>
      <c r="B274" s="59">
        <f t="shared" ref="B274:B275" si="2">HYPERLINK("https://polkadot.subsquare.io/referenda/-1", -1)</f>
        <v>-1</v>
      </c>
      <c r="C274" s="1" t="s">
        <v>1124</v>
      </c>
      <c r="D274" s="69"/>
      <c r="E274" s="69">
        <v>45303.0</v>
      </c>
      <c r="F274" s="1" t="s">
        <v>2832</v>
      </c>
      <c r="G274" s="112"/>
      <c r="H274" s="112"/>
      <c r="I274" s="112"/>
      <c r="J274" s="1"/>
    </row>
    <row r="275">
      <c r="A275" s="59">
        <f>HYPERLINK("https://polkadot.subsquare.io/treasury/proposals/560", 560)</f>
        <v>560</v>
      </c>
      <c r="B275" s="59">
        <f t="shared" si="2"/>
        <v>-1</v>
      </c>
      <c r="C275" s="1" t="s">
        <v>1124</v>
      </c>
      <c r="D275" s="69"/>
      <c r="E275" s="69">
        <v>45303.0</v>
      </c>
      <c r="F275" s="1" t="s">
        <v>2832</v>
      </c>
      <c r="G275" s="112"/>
      <c r="H275" s="112"/>
      <c r="I275" s="112"/>
      <c r="J275" s="1"/>
    </row>
    <row r="276">
      <c r="A276" s="59">
        <f>HYPERLINK("https://polkadot.subsquare.io/treasury/proposals/559", 559)</f>
        <v>559</v>
      </c>
      <c r="B276" s="59">
        <f>HYPERLINK("https://polkadot.subsquare.io/referenda/342", 342)</f>
        <v>342</v>
      </c>
      <c r="C276" s="1" t="s">
        <v>1098</v>
      </c>
      <c r="D276" s="69">
        <v>45266.0</v>
      </c>
      <c r="E276" s="69">
        <v>45303.0</v>
      </c>
      <c r="F276" s="1" t="s">
        <v>2832</v>
      </c>
      <c r="G276" s="112"/>
      <c r="H276" s="112"/>
      <c r="I276" s="112"/>
      <c r="J276" s="1"/>
    </row>
    <row r="277">
      <c r="A277" s="59">
        <f>HYPERLINK("https://polkadot.subsquare.io/treasury/proposals/558", 558)</f>
        <v>558</v>
      </c>
      <c r="B277" s="59">
        <f>HYPERLINK("https://polkadot.subsquare.io/referenda/338", 338)</f>
        <v>338</v>
      </c>
      <c r="C277" s="1" t="s">
        <v>1097</v>
      </c>
      <c r="D277" s="69">
        <v>45266.0</v>
      </c>
      <c r="E277" s="69">
        <v>45303.0</v>
      </c>
      <c r="F277" s="1" t="s">
        <v>2832</v>
      </c>
      <c r="G277" s="112"/>
      <c r="H277" s="112"/>
      <c r="I277" s="112"/>
      <c r="J277" s="1"/>
    </row>
    <row r="278">
      <c r="A278" s="59">
        <f>HYPERLINK("https://polkadot.subsquare.io/treasury/proposals/557", 557)</f>
        <v>557</v>
      </c>
      <c r="B278" s="59">
        <f>HYPERLINK("https://polkadot.subsquare.io/referenda/334", 334)</f>
        <v>334</v>
      </c>
      <c r="C278" s="1" t="s">
        <v>1096</v>
      </c>
      <c r="D278" s="69">
        <v>45264.0</v>
      </c>
      <c r="E278" s="69">
        <v>45303.0</v>
      </c>
      <c r="F278" s="1" t="s">
        <v>2832</v>
      </c>
      <c r="G278" s="112"/>
      <c r="H278" s="112"/>
      <c r="I278" s="112"/>
      <c r="J278" s="1"/>
    </row>
    <row r="279">
      <c r="A279" s="59">
        <f>HYPERLINK("https://polkadot.subsquare.io/treasury/proposals/556", 556)</f>
        <v>556</v>
      </c>
      <c r="B279" s="59">
        <f>HYPERLINK("https://polkadot.subsquare.io/referenda/368", 368)</f>
        <v>368</v>
      </c>
      <c r="C279" s="1" t="s">
        <v>1114</v>
      </c>
      <c r="D279" s="69">
        <v>45278.0</v>
      </c>
      <c r="E279" s="69">
        <v>45303.0</v>
      </c>
      <c r="F279" s="1" t="s">
        <v>2832</v>
      </c>
      <c r="G279" s="112"/>
      <c r="H279" s="112"/>
      <c r="I279" s="112"/>
      <c r="J279" s="1"/>
    </row>
    <row r="280">
      <c r="A280" s="59">
        <f>HYPERLINK("https://polkadot.subsquare.io/treasury/proposals/555", 555)</f>
        <v>555</v>
      </c>
      <c r="B280" s="59">
        <f>HYPERLINK("https://polkadot.subsquare.io/referenda/312", 312)</f>
        <v>312</v>
      </c>
      <c r="C280" s="1" t="s">
        <v>1089</v>
      </c>
      <c r="D280" s="69">
        <v>45257.0</v>
      </c>
      <c r="E280" s="69">
        <v>45303.0</v>
      </c>
      <c r="F280" s="1" t="s">
        <v>2832</v>
      </c>
      <c r="G280" s="112"/>
      <c r="H280" s="112"/>
      <c r="I280" s="112"/>
      <c r="J280" s="1"/>
    </row>
    <row r="281">
      <c r="A281" s="59">
        <f>HYPERLINK("https://polkadot.subsquare.io/treasury/proposals/554", 554)</f>
        <v>554</v>
      </c>
      <c r="B281" s="59">
        <f>HYPERLINK("https://polkadot.subsquare.io/referenda/331", 331)</f>
        <v>331</v>
      </c>
      <c r="C281" s="1" t="s">
        <v>1094</v>
      </c>
      <c r="D281" s="69">
        <v>45261.0</v>
      </c>
      <c r="E281" s="69">
        <v>45303.0</v>
      </c>
      <c r="F281" s="1" t="s">
        <v>2832</v>
      </c>
      <c r="G281" s="112"/>
      <c r="H281" s="112"/>
      <c r="I281" s="112"/>
      <c r="J281" s="1"/>
    </row>
    <row r="282">
      <c r="A282" s="59">
        <f>HYPERLINK("https://polkadot.subsquare.io/treasury/proposals/553", 553)</f>
        <v>553</v>
      </c>
      <c r="B282" s="59">
        <f>HYPERLINK("https://polkadot.subsquare.io/referenda/361", 361)</f>
        <v>361</v>
      </c>
      <c r="C282" s="1" t="s">
        <v>1109</v>
      </c>
      <c r="D282" s="69">
        <v>45273.0</v>
      </c>
      <c r="E282" s="69">
        <v>45303.0</v>
      </c>
      <c r="F282" s="1" t="s">
        <v>2832</v>
      </c>
      <c r="G282" s="112"/>
      <c r="H282" s="112"/>
      <c r="I282" s="112"/>
      <c r="J282" s="1"/>
    </row>
    <row r="283">
      <c r="A283" s="59">
        <f>HYPERLINK("https://polkadot.subsquare.io/treasury/proposals/552", 552)</f>
        <v>552</v>
      </c>
      <c r="B283" s="59">
        <f>HYPERLINK("https://polkadot.subsquare.io/referenda/324", 324)</f>
        <v>324</v>
      </c>
      <c r="C283" s="1" t="s">
        <v>1091</v>
      </c>
      <c r="D283" s="69">
        <v>45258.0</v>
      </c>
      <c r="E283" s="69">
        <v>45279.0</v>
      </c>
      <c r="F283" s="1" t="s">
        <v>2832</v>
      </c>
      <c r="G283" s="112"/>
      <c r="H283" s="112"/>
      <c r="I283" s="112"/>
      <c r="J283" s="1"/>
    </row>
    <row r="284">
      <c r="A284" s="59">
        <f>HYPERLINK("https://polkadot.subsquare.io/treasury/proposals/551", 551)</f>
        <v>551</v>
      </c>
      <c r="B284" s="59">
        <f>HYPERLINK("https://polkadot.subsquare.io/referenda/328", 328)</f>
        <v>328</v>
      </c>
      <c r="C284" s="1" t="s">
        <v>1093</v>
      </c>
      <c r="D284" s="69">
        <v>45259.0</v>
      </c>
      <c r="E284" s="69">
        <v>45279.0</v>
      </c>
      <c r="F284" s="1" t="s">
        <v>2832</v>
      </c>
      <c r="G284" s="112"/>
      <c r="H284" s="112"/>
      <c r="I284" s="112"/>
      <c r="J284" s="1"/>
    </row>
    <row r="285">
      <c r="A285" s="59">
        <f>HYPERLINK("https://polkadot.subsquare.io/treasury/proposals/550", 550)</f>
        <v>550</v>
      </c>
      <c r="B285" s="59">
        <f>HYPERLINK("https://polkadot.subsquare.io/referenda/302", 302)</f>
        <v>302</v>
      </c>
      <c r="C285" s="1" t="s">
        <v>1084</v>
      </c>
      <c r="D285" s="69">
        <v>45253.0</v>
      </c>
      <c r="E285" s="69">
        <v>45279.0</v>
      </c>
      <c r="F285" s="1" t="s">
        <v>2832</v>
      </c>
      <c r="G285" s="112"/>
      <c r="H285" s="112"/>
      <c r="I285" s="112"/>
      <c r="J285" s="1"/>
    </row>
    <row r="286">
      <c r="A286" s="59">
        <f>HYPERLINK("https://polkadot.subsquare.io/treasury/proposals/549", 549)</f>
        <v>549</v>
      </c>
      <c r="B286" s="59">
        <f>HYPERLINK("https://polkadot.subsquare.io/referenda/304", 304)</f>
        <v>304</v>
      </c>
      <c r="C286" s="1" t="s">
        <v>1085</v>
      </c>
      <c r="D286" s="69">
        <v>45253.0</v>
      </c>
      <c r="E286" s="69">
        <v>45279.0</v>
      </c>
      <c r="F286" s="1" t="s">
        <v>2832</v>
      </c>
      <c r="G286" s="112"/>
      <c r="H286" s="112"/>
      <c r="I286" s="112"/>
      <c r="J286" s="1"/>
    </row>
    <row r="287">
      <c r="A287" s="59">
        <f>HYPERLINK("https://polkadot.subsquare.io/treasury/proposals/548", 548)</f>
        <v>548</v>
      </c>
      <c r="B287" s="59">
        <f>HYPERLINK("https://polkadot.subsquare.io/referenda/357", 357)</f>
        <v>357</v>
      </c>
      <c r="C287" s="1" t="s">
        <v>1105</v>
      </c>
      <c r="D287" s="69">
        <v>45271.0</v>
      </c>
      <c r="E287" s="69">
        <v>45279.0</v>
      </c>
      <c r="F287" s="1" t="s">
        <v>2832</v>
      </c>
      <c r="G287" s="112"/>
      <c r="H287" s="112"/>
      <c r="I287" s="112"/>
      <c r="J287" s="1"/>
    </row>
    <row r="288">
      <c r="A288" s="59">
        <f>HYPERLINK("https://polkadot.subsquare.io/treasury/proposals/547", 547)</f>
        <v>547</v>
      </c>
      <c r="B288" s="59">
        <f>HYPERLINK("https://polkadot.subsquare.io/referenda/310", 310)</f>
        <v>310</v>
      </c>
      <c r="C288" s="1" t="s">
        <v>1087</v>
      </c>
      <c r="D288" s="69">
        <v>45256.0</v>
      </c>
      <c r="E288" s="69">
        <v>45279.0</v>
      </c>
      <c r="F288" s="1" t="s">
        <v>2832</v>
      </c>
      <c r="G288" s="112"/>
      <c r="H288" s="112"/>
      <c r="I288" s="112"/>
      <c r="J288" s="1"/>
    </row>
    <row r="289">
      <c r="A289" s="59">
        <f>HYPERLINK("https://polkadot.subsquare.io/treasury/proposals/546", 546)</f>
        <v>546</v>
      </c>
      <c r="B289" s="59">
        <f>HYPERLINK("https://polkadot.subsquare.io/referenda/290", 290)</f>
        <v>290</v>
      </c>
      <c r="C289" s="1" t="s">
        <v>1082</v>
      </c>
      <c r="D289" s="69">
        <v>45252.0</v>
      </c>
      <c r="E289" s="69">
        <v>45279.0</v>
      </c>
      <c r="F289" s="1" t="s">
        <v>2832</v>
      </c>
      <c r="G289" s="112"/>
      <c r="H289" s="112"/>
      <c r="I289" s="112"/>
      <c r="J289" s="1"/>
    </row>
    <row r="290">
      <c r="A290" s="59">
        <f>HYPERLINK("https://polkadot.subsquare.io/treasury/proposals/545", 545)</f>
        <v>545</v>
      </c>
      <c r="B290" s="59">
        <f>HYPERLINK("https://polkadot.subsquare.io/referenda/347", 347)</f>
        <v>347</v>
      </c>
      <c r="C290" s="1" t="s">
        <v>1101</v>
      </c>
      <c r="D290" s="69">
        <v>45268.0</v>
      </c>
      <c r="E290" s="69">
        <v>45279.0</v>
      </c>
      <c r="F290" s="1" t="s">
        <v>2832</v>
      </c>
      <c r="G290" s="112"/>
      <c r="H290" s="112"/>
      <c r="I290" s="112"/>
      <c r="J290" s="1"/>
    </row>
    <row r="291">
      <c r="A291" s="59">
        <f>HYPERLINK("https://polkadot.subsquare.io/treasury/proposals/544", 544)</f>
        <v>544</v>
      </c>
      <c r="B291" s="59">
        <f>HYPERLINK("https://polkadot.subsquare.io/referenda/311", 311)</f>
        <v>311</v>
      </c>
      <c r="C291" s="1" t="s">
        <v>1088</v>
      </c>
      <c r="D291" s="69">
        <v>45257.0</v>
      </c>
      <c r="E291" s="69">
        <v>45279.0</v>
      </c>
      <c r="F291" s="1" t="s">
        <v>2832</v>
      </c>
      <c r="G291" s="112"/>
      <c r="H291" s="112"/>
      <c r="I291" s="112"/>
      <c r="J291" s="1"/>
    </row>
    <row r="292">
      <c r="A292" s="59">
        <f>HYPERLINK("https://polkadot.subsquare.io/treasury/proposals/543", 543)</f>
        <v>543</v>
      </c>
      <c r="B292" s="59">
        <f>HYPERLINK("https://polkadot.subsquare.io/referenda/349", 349)</f>
        <v>349</v>
      </c>
      <c r="C292" s="1" t="s">
        <v>1102</v>
      </c>
      <c r="D292" s="69">
        <v>45269.0</v>
      </c>
      <c r="E292" s="69">
        <v>45279.0</v>
      </c>
      <c r="F292" s="1" t="s">
        <v>2832</v>
      </c>
      <c r="G292" s="112"/>
      <c r="H292" s="112"/>
      <c r="I292" s="112"/>
      <c r="J292" s="1"/>
    </row>
    <row r="293">
      <c r="A293" s="59">
        <f>HYPERLINK("https://polkadot.subsquare.io/treasury/proposals/542", 542)</f>
        <v>542</v>
      </c>
      <c r="B293" s="59">
        <f>HYPERLINK("https://polkadot.subsquare.io/referenda/325", 325)</f>
        <v>325</v>
      </c>
      <c r="C293" s="1" t="s">
        <v>1092</v>
      </c>
      <c r="D293" s="69">
        <v>45259.0</v>
      </c>
      <c r="E293" s="69">
        <v>45279.0</v>
      </c>
      <c r="F293" s="1" t="s">
        <v>2832</v>
      </c>
      <c r="G293" s="112"/>
      <c r="H293" s="112"/>
      <c r="I293" s="112"/>
      <c r="J293" s="1"/>
    </row>
    <row r="294">
      <c r="A294" s="59">
        <f>HYPERLINK("https://polkadot.subsquare.io/treasury/proposals/541", 541)</f>
        <v>541</v>
      </c>
      <c r="B294" s="59">
        <f>HYPERLINK("https://polkadot.subsquare.io/referenda/298", 298)</f>
        <v>298</v>
      </c>
      <c r="C294" s="1" t="s">
        <v>1083</v>
      </c>
      <c r="D294" s="69">
        <v>45253.0</v>
      </c>
      <c r="E294" s="69">
        <v>45279.0</v>
      </c>
      <c r="F294" s="1" t="s">
        <v>2832</v>
      </c>
      <c r="G294" s="112"/>
      <c r="H294" s="112"/>
      <c r="I294" s="112"/>
      <c r="J294" s="1"/>
    </row>
    <row r="295">
      <c r="A295" s="59">
        <f>HYPERLINK("https://polkadot.subsquare.io/treasury/proposals/540", 540)</f>
        <v>540</v>
      </c>
      <c r="B295" s="59">
        <f>HYPERLINK("https://polkadot.subsquare.io/referenda/279", 279)</f>
        <v>279</v>
      </c>
      <c r="C295" s="1" t="s">
        <v>1080</v>
      </c>
      <c r="D295" s="69">
        <v>45250.0</v>
      </c>
      <c r="E295" s="69">
        <v>45279.0</v>
      </c>
      <c r="F295" s="1" t="s">
        <v>2832</v>
      </c>
      <c r="G295" s="112"/>
      <c r="H295" s="112"/>
      <c r="I295" s="112"/>
      <c r="J295" s="1"/>
    </row>
    <row r="296">
      <c r="A296" s="59">
        <f>HYPERLINK("https://polkadot.subsquare.io/treasury/proposals/539", 539)</f>
        <v>539</v>
      </c>
      <c r="B296" s="59">
        <f>HYPERLINK("https://polkadot.subsquare.io/referenda/332", 332)</f>
        <v>332</v>
      </c>
      <c r="C296" s="1" t="s">
        <v>1095</v>
      </c>
      <c r="D296" s="69">
        <v>45262.0</v>
      </c>
      <c r="E296" s="69">
        <v>45279.0</v>
      </c>
      <c r="F296" s="1" t="s">
        <v>2832</v>
      </c>
      <c r="G296" s="112"/>
      <c r="H296" s="112"/>
      <c r="I296" s="112"/>
      <c r="J296" s="1"/>
    </row>
    <row r="297">
      <c r="A297" s="59">
        <f>HYPERLINK("https://polkadot.subsquare.io/treasury/proposals/538", 538)</f>
        <v>538</v>
      </c>
      <c r="B297" s="59">
        <f>HYPERLINK("https://polkadot.subsquare.io/referenda/288", 288)</f>
        <v>288</v>
      </c>
      <c r="C297" s="1" t="s">
        <v>1081</v>
      </c>
      <c r="D297" s="69">
        <v>45252.0</v>
      </c>
      <c r="E297" s="69">
        <v>45279.0</v>
      </c>
      <c r="F297" s="1" t="s">
        <v>2832</v>
      </c>
      <c r="G297" s="112"/>
      <c r="H297" s="112"/>
      <c r="I297" s="112"/>
      <c r="J297" s="1"/>
    </row>
    <row r="298">
      <c r="A298" s="59">
        <f>HYPERLINK("https://polkadot.subsquare.io/treasury/proposals/537", 537)</f>
        <v>537</v>
      </c>
      <c r="B298" s="59">
        <f t="shared" ref="B298:B317" si="3">HYPERLINK("https://polkadot.subsquare.io/referenda/-1", -1)</f>
        <v>-1</v>
      </c>
      <c r="C298" s="1" t="s">
        <v>1081</v>
      </c>
      <c r="D298" s="69"/>
      <c r="E298" s="69">
        <v>45279.0</v>
      </c>
      <c r="F298" s="1" t="s">
        <v>2832</v>
      </c>
      <c r="G298" s="112"/>
      <c r="H298" s="112"/>
      <c r="I298" s="112"/>
      <c r="J298" s="1"/>
    </row>
    <row r="299">
      <c r="A299" s="59">
        <f>HYPERLINK("https://polkadot.subsquare.io/treasury/proposals/536", 536)</f>
        <v>536</v>
      </c>
      <c r="B299" s="59">
        <f t="shared" si="3"/>
        <v>-1</v>
      </c>
      <c r="C299" s="1" t="s">
        <v>1081</v>
      </c>
      <c r="D299" s="69"/>
      <c r="E299" s="69">
        <v>45279.0</v>
      </c>
      <c r="F299" s="1" t="s">
        <v>2832</v>
      </c>
      <c r="G299" s="112"/>
      <c r="H299" s="112"/>
      <c r="I299" s="112"/>
      <c r="J299" s="1"/>
    </row>
    <row r="300">
      <c r="A300" s="59">
        <f>HYPERLINK("https://polkadot.subsquare.io/treasury/proposals/535", 535)</f>
        <v>535</v>
      </c>
      <c r="B300" s="59">
        <f t="shared" si="3"/>
        <v>-1</v>
      </c>
      <c r="C300" s="1" t="s">
        <v>1081</v>
      </c>
      <c r="D300" s="69"/>
      <c r="E300" s="69">
        <v>45279.0</v>
      </c>
      <c r="F300" s="1" t="s">
        <v>2832</v>
      </c>
      <c r="G300" s="112"/>
      <c r="H300" s="112"/>
      <c r="I300" s="112"/>
      <c r="J300" s="1"/>
    </row>
    <row r="301">
      <c r="A301" s="59">
        <f>HYPERLINK("https://polkadot.subsquare.io/treasury/proposals/534", 534)</f>
        <v>534</v>
      </c>
      <c r="B301" s="59">
        <f t="shared" si="3"/>
        <v>-1</v>
      </c>
      <c r="C301" s="1" t="s">
        <v>1081</v>
      </c>
      <c r="D301" s="69"/>
      <c r="E301" s="69">
        <v>45279.0</v>
      </c>
      <c r="F301" s="1" t="s">
        <v>2832</v>
      </c>
      <c r="G301" s="112"/>
      <c r="H301" s="112"/>
      <c r="I301" s="112"/>
      <c r="J301" s="1"/>
    </row>
    <row r="302">
      <c r="A302" s="59">
        <f>HYPERLINK("https://polkadot.subsquare.io/treasury/proposals/533", 533)</f>
        <v>533</v>
      </c>
      <c r="B302" s="59">
        <f t="shared" si="3"/>
        <v>-1</v>
      </c>
      <c r="C302" s="1" t="s">
        <v>1081</v>
      </c>
      <c r="D302" s="69"/>
      <c r="E302" s="69">
        <v>45279.0</v>
      </c>
      <c r="F302" s="1" t="s">
        <v>2832</v>
      </c>
      <c r="G302" s="112"/>
      <c r="H302" s="112"/>
      <c r="I302" s="112"/>
      <c r="J302" s="1"/>
    </row>
    <row r="303">
      <c r="A303" s="59">
        <f>HYPERLINK("https://polkadot.subsquare.io/treasury/proposals/532", 532)</f>
        <v>532</v>
      </c>
      <c r="B303" s="59">
        <f t="shared" si="3"/>
        <v>-1</v>
      </c>
      <c r="C303" s="1" t="s">
        <v>1081</v>
      </c>
      <c r="D303" s="69"/>
      <c r="E303" s="69">
        <v>45279.0</v>
      </c>
      <c r="F303" s="1" t="s">
        <v>2832</v>
      </c>
      <c r="G303" s="112"/>
      <c r="H303" s="112"/>
      <c r="I303" s="112"/>
      <c r="J303" s="1"/>
    </row>
    <row r="304">
      <c r="A304" s="59">
        <f>HYPERLINK("https://polkadot.subsquare.io/treasury/proposals/531", 531)</f>
        <v>531</v>
      </c>
      <c r="B304" s="59">
        <f t="shared" si="3"/>
        <v>-1</v>
      </c>
      <c r="C304" s="1" t="s">
        <v>1081</v>
      </c>
      <c r="D304" s="69"/>
      <c r="E304" s="69">
        <v>45279.0</v>
      </c>
      <c r="F304" s="1" t="s">
        <v>2832</v>
      </c>
      <c r="G304" s="112"/>
      <c r="H304" s="112"/>
      <c r="I304" s="112"/>
      <c r="J304" s="1"/>
    </row>
    <row r="305">
      <c r="A305" s="59">
        <f>HYPERLINK("https://polkadot.subsquare.io/treasury/proposals/530", 530)</f>
        <v>530</v>
      </c>
      <c r="B305" s="59">
        <f t="shared" si="3"/>
        <v>-1</v>
      </c>
      <c r="C305" s="1" t="s">
        <v>1081</v>
      </c>
      <c r="D305" s="69"/>
      <c r="E305" s="69">
        <v>45279.0</v>
      </c>
      <c r="F305" s="1" t="s">
        <v>2832</v>
      </c>
      <c r="G305" s="112"/>
      <c r="H305" s="112"/>
      <c r="I305" s="112"/>
      <c r="J305" s="1"/>
    </row>
    <row r="306">
      <c r="A306" s="59">
        <f>HYPERLINK("https://polkadot.subsquare.io/treasury/proposals/529", 529)</f>
        <v>529</v>
      </c>
      <c r="B306" s="59">
        <f t="shared" si="3"/>
        <v>-1</v>
      </c>
      <c r="C306" s="1" t="s">
        <v>1081</v>
      </c>
      <c r="D306" s="69"/>
      <c r="E306" s="69">
        <v>45279.0</v>
      </c>
      <c r="F306" s="1" t="s">
        <v>2832</v>
      </c>
      <c r="G306" s="112"/>
      <c r="H306" s="112"/>
      <c r="I306" s="112"/>
      <c r="J306" s="1"/>
    </row>
    <row r="307">
      <c r="A307" s="59">
        <f>HYPERLINK("https://polkadot.subsquare.io/treasury/proposals/528", 528)</f>
        <v>528</v>
      </c>
      <c r="B307" s="59">
        <f t="shared" si="3"/>
        <v>-1</v>
      </c>
      <c r="C307" s="1" t="s">
        <v>1081</v>
      </c>
      <c r="D307" s="69"/>
      <c r="E307" s="69">
        <v>45279.0</v>
      </c>
      <c r="F307" s="1" t="s">
        <v>2832</v>
      </c>
      <c r="G307" s="112"/>
      <c r="H307" s="112"/>
      <c r="I307" s="112"/>
      <c r="J307" s="1"/>
    </row>
    <row r="308">
      <c r="A308" s="59">
        <f>HYPERLINK("https://polkadot.subsquare.io/treasury/proposals/527", 527)</f>
        <v>527</v>
      </c>
      <c r="B308" s="59">
        <f t="shared" si="3"/>
        <v>-1</v>
      </c>
      <c r="C308" s="1" t="s">
        <v>1081</v>
      </c>
      <c r="D308" s="69"/>
      <c r="E308" s="69">
        <v>45279.0</v>
      </c>
      <c r="F308" s="1" t="s">
        <v>2832</v>
      </c>
      <c r="G308" s="112"/>
      <c r="H308" s="112"/>
      <c r="I308" s="112"/>
      <c r="J308" s="1"/>
    </row>
    <row r="309">
      <c r="A309" s="59">
        <f>HYPERLINK("https://polkadot.subsquare.io/treasury/proposals/526", 526)</f>
        <v>526</v>
      </c>
      <c r="B309" s="59">
        <f t="shared" si="3"/>
        <v>-1</v>
      </c>
      <c r="C309" s="1" t="s">
        <v>1081</v>
      </c>
      <c r="D309" s="69"/>
      <c r="E309" s="69">
        <v>45279.0</v>
      </c>
      <c r="F309" s="1" t="s">
        <v>2832</v>
      </c>
      <c r="G309" s="112"/>
      <c r="H309" s="112"/>
      <c r="I309" s="112"/>
      <c r="J309" s="1"/>
    </row>
    <row r="310">
      <c r="A310" s="59">
        <f>HYPERLINK("https://polkadot.subsquare.io/treasury/proposals/525", 525)</f>
        <v>525</v>
      </c>
      <c r="B310" s="59">
        <f t="shared" si="3"/>
        <v>-1</v>
      </c>
      <c r="C310" s="1" t="s">
        <v>1081</v>
      </c>
      <c r="D310" s="69"/>
      <c r="E310" s="69">
        <v>45279.0</v>
      </c>
      <c r="F310" s="1" t="s">
        <v>2832</v>
      </c>
      <c r="G310" s="112"/>
      <c r="H310" s="112"/>
      <c r="I310" s="112"/>
      <c r="J310" s="1"/>
    </row>
    <row r="311">
      <c r="A311" s="59">
        <f>HYPERLINK("https://polkadot.subsquare.io/treasury/proposals/524", 524)</f>
        <v>524</v>
      </c>
      <c r="B311" s="59">
        <f t="shared" si="3"/>
        <v>-1</v>
      </c>
      <c r="C311" s="1" t="s">
        <v>1081</v>
      </c>
      <c r="D311" s="69"/>
      <c r="E311" s="69">
        <v>45279.0</v>
      </c>
      <c r="F311" s="1" t="s">
        <v>2832</v>
      </c>
      <c r="G311" s="112"/>
      <c r="H311" s="112"/>
      <c r="I311" s="112"/>
      <c r="J311" s="1"/>
    </row>
    <row r="312">
      <c r="A312" s="59">
        <f>HYPERLINK("https://polkadot.subsquare.io/treasury/proposals/523", 523)</f>
        <v>523</v>
      </c>
      <c r="B312" s="59">
        <f t="shared" si="3"/>
        <v>-1</v>
      </c>
      <c r="C312" s="1" t="s">
        <v>1081</v>
      </c>
      <c r="D312" s="69"/>
      <c r="E312" s="69">
        <v>45279.0</v>
      </c>
      <c r="F312" s="1" t="s">
        <v>2832</v>
      </c>
      <c r="G312" s="112"/>
      <c r="H312" s="112"/>
      <c r="I312" s="112"/>
      <c r="J312" s="1"/>
    </row>
    <row r="313">
      <c r="A313" s="59">
        <f>HYPERLINK("https://polkadot.subsquare.io/treasury/proposals/522", 522)</f>
        <v>522</v>
      </c>
      <c r="B313" s="59">
        <f t="shared" si="3"/>
        <v>-1</v>
      </c>
      <c r="C313" s="1" t="s">
        <v>1081</v>
      </c>
      <c r="D313" s="69"/>
      <c r="E313" s="69">
        <v>45279.0</v>
      </c>
      <c r="F313" s="1" t="s">
        <v>2832</v>
      </c>
      <c r="G313" s="112"/>
      <c r="H313" s="112"/>
      <c r="I313" s="112"/>
      <c r="J313" s="1"/>
    </row>
    <row r="314">
      <c r="A314" s="59">
        <f>HYPERLINK("https://polkadot.subsquare.io/treasury/proposals/521", 521)</f>
        <v>521</v>
      </c>
      <c r="B314" s="59">
        <f t="shared" si="3"/>
        <v>-1</v>
      </c>
      <c r="C314" s="1" t="s">
        <v>1081</v>
      </c>
      <c r="D314" s="69"/>
      <c r="E314" s="69">
        <v>45279.0</v>
      </c>
      <c r="F314" s="1" t="s">
        <v>2832</v>
      </c>
      <c r="G314" s="112"/>
      <c r="H314" s="112"/>
      <c r="I314" s="112"/>
      <c r="J314" s="1"/>
    </row>
    <row r="315">
      <c r="A315" s="59">
        <f>HYPERLINK("https://polkadot.subsquare.io/treasury/proposals/520", 520)</f>
        <v>520</v>
      </c>
      <c r="B315" s="59">
        <f t="shared" si="3"/>
        <v>-1</v>
      </c>
      <c r="C315" s="1" t="s">
        <v>1081</v>
      </c>
      <c r="D315" s="69"/>
      <c r="E315" s="69">
        <v>45279.0</v>
      </c>
      <c r="F315" s="1" t="s">
        <v>2832</v>
      </c>
      <c r="G315" s="112"/>
      <c r="H315" s="112"/>
      <c r="I315" s="112"/>
      <c r="J315" s="1"/>
    </row>
    <row r="316">
      <c r="A316" s="59">
        <f>HYPERLINK("https://polkadot.subsquare.io/treasury/proposals/519", 519)</f>
        <v>519</v>
      </c>
      <c r="B316" s="59">
        <f t="shared" si="3"/>
        <v>-1</v>
      </c>
      <c r="C316" s="1" t="s">
        <v>1081</v>
      </c>
      <c r="D316" s="69"/>
      <c r="E316" s="69">
        <v>45279.0</v>
      </c>
      <c r="F316" s="1" t="s">
        <v>2832</v>
      </c>
      <c r="G316" s="112"/>
      <c r="H316" s="112"/>
      <c r="I316" s="112"/>
      <c r="J316" s="1"/>
    </row>
    <row r="317">
      <c r="A317" s="59">
        <f>HYPERLINK("https://polkadot.subsquare.io/treasury/proposals/518", 518)</f>
        <v>518</v>
      </c>
      <c r="B317" s="59">
        <f t="shared" si="3"/>
        <v>-1</v>
      </c>
      <c r="C317" s="1" t="s">
        <v>1086</v>
      </c>
      <c r="D317" s="69"/>
      <c r="E317" s="69">
        <v>45279.0</v>
      </c>
      <c r="F317" s="1" t="s">
        <v>2832</v>
      </c>
      <c r="G317" s="112"/>
      <c r="H317" s="112"/>
      <c r="I317" s="112"/>
      <c r="J317" s="1"/>
    </row>
    <row r="318">
      <c r="A318" s="59">
        <f>HYPERLINK("https://polkadot.subsquare.io/treasury/proposals/517", 517)</f>
        <v>517</v>
      </c>
      <c r="B318" s="59">
        <f>HYPERLINK("https://polkadot.subsquare.io/referenda/271", 271)</f>
        <v>271</v>
      </c>
      <c r="C318" s="1" t="s">
        <v>1079</v>
      </c>
      <c r="D318" s="69">
        <v>45248.0</v>
      </c>
      <c r="E318" s="69">
        <v>45279.0</v>
      </c>
      <c r="F318" s="1" t="s">
        <v>2832</v>
      </c>
      <c r="G318" s="112"/>
      <c r="H318" s="112"/>
      <c r="I318" s="112"/>
      <c r="J318" s="1"/>
    </row>
    <row r="319">
      <c r="A319" s="59">
        <f>HYPERLINK("https://polkadot.subsquare.io/treasury/proposals/516", 516)</f>
        <v>516</v>
      </c>
      <c r="B319" s="59">
        <f>HYPERLINK("https://polkadot.subsquare.io/referenda/260", 260)</f>
        <v>260</v>
      </c>
      <c r="C319" s="1" t="s">
        <v>1073</v>
      </c>
      <c r="D319" s="69">
        <v>45244.0</v>
      </c>
      <c r="E319" s="69">
        <v>45279.0</v>
      </c>
      <c r="F319" s="1" t="s">
        <v>2832</v>
      </c>
      <c r="G319" s="112"/>
      <c r="H319" s="112"/>
      <c r="I319" s="112"/>
      <c r="J319" s="1"/>
    </row>
    <row r="320">
      <c r="A320" s="59">
        <f>HYPERLINK("https://polkadot.subsquare.io/treasury/proposals/515", 515)</f>
        <v>515</v>
      </c>
      <c r="B320" s="59">
        <f>HYPERLINK("https://polkadot.subsquare.io/referenda/263", 263)</f>
        <v>263</v>
      </c>
      <c r="C320" s="1" t="s">
        <v>1076</v>
      </c>
      <c r="D320" s="69">
        <v>45245.0</v>
      </c>
      <c r="E320" s="69">
        <v>45279.0</v>
      </c>
      <c r="F320" s="1" t="s">
        <v>2832</v>
      </c>
      <c r="G320" s="112"/>
      <c r="H320" s="112"/>
      <c r="I320" s="112"/>
      <c r="J320" s="1"/>
    </row>
    <row r="321">
      <c r="A321" s="59">
        <f>HYPERLINK("https://polkadot.subsquare.io/treasury/proposals/514", 514)</f>
        <v>514</v>
      </c>
      <c r="B321" s="59">
        <f>HYPERLINK("https://polkadot.subsquare.io/referenda/242", 242)</f>
        <v>242</v>
      </c>
      <c r="C321" s="1" t="s">
        <v>1063</v>
      </c>
      <c r="D321" s="69">
        <v>45236.0</v>
      </c>
      <c r="E321" s="69">
        <v>45279.0</v>
      </c>
      <c r="F321" s="1" t="s">
        <v>2832</v>
      </c>
      <c r="G321" s="112"/>
      <c r="H321" s="112"/>
      <c r="I321" s="112"/>
      <c r="J321" s="1"/>
    </row>
    <row r="322">
      <c r="A322" s="59">
        <f>HYPERLINK("https://polkadot.subsquare.io/treasury/proposals/513", 513)</f>
        <v>513</v>
      </c>
      <c r="B322" s="59">
        <f>HYPERLINK("https://polkadot.subsquare.io/referenda/255", 255)</f>
        <v>255</v>
      </c>
      <c r="C322" s="1" t="s">
        <v>1070</v>
      </c>
      <c r="D322" s="69">
        <v>45242.0</v>
      </c>
      <c r="E322" s="69">
        <v>45279.0</v>
      </c>
      <c r="F322" s="1" t="s">
        <v>2832</v>
      </c>
      <c r="G322" s="112"/>
      <c r="H322" s="112"/>
      <c r="I322" s="112"/>
      <c r="J322" s="1"/>
    </row>
    <row r="323">
      <c r="A323" s="59">
        <f>HYPERLINK("https://polkadot.subsquare.io/treasury/proposals/512", 512)</f>
        <v>512</v>
      </c>
      <c r="B323" s="59">
        <f>HYPERLINK("https://polkadot.subsquare.io/referenda/-1", -1)</f>
        <v>-1</v>
      </c>
      <c r="C323" s="1" t="s">
        <v>1070</v>
      </c>
      <c r="D323" s="69"/>
      <c r="E323" s="69">
        <v>45279.0</v>
      </c>
      <c r="F323" s="1" t="s">
        <v>2832</v>
      </c>
      <c r="G323" s="112"/>
      <c r="H323" s="112"/>
      <c r="I323" s="112"/>
      <c r="J323" s="1"/>
    </row>
    <row r="324">
      <c r="A324" s="59">
        <f>HYPERLINK("https://polkadot.subsquare.io/treasury/proposals/511", 511)</f>
        <v>511</v>
      </c>
      <c r="B324" s="59">
        <f>HYPERLINK("https://polkadot.subsquare.io/referenda/320", 320)</f>
        <v>320</v>
      </c>
      <c r="C324" s="67" t="s">
        <v>1090</v>
      </c>
      <c r="D324" s="69">
        <v>45258.0</v>
      </c>
      <c r="E324" s="69">
        <v>45279.0</v>
      </c>
      <c r="F324" s="1" t="s">
        <v>2832</v>
      </c>
      <c r="G324" s="112"/>
      <c r="H324" s="112"/>
      <c r="I324" s="112"/>
      <c r="J324" s="1"/>
    </row>
    <row r="325">
      <c r="A325" s="59">
        <f>HYPERLINK("https://polkadot.subsquare.io/treasury/proposals/510", 510)</f>
        <v>510</v>
      </c>
      <c r="B325" s="59">
        <f>HYPERLINK("https://polkadot.subsquare.io/referenda/261", 261)</f>
        <v>261</v>
      </c>
      <c r="C325" s="1" t="s">
        <v>1074</v>
      </c>
      <c r="D325" s="69">
        <v>45244.0</v>
      </c>
      <c r="E325" s="69">
        <v>45279.0</v>
      </c>
      <c r="F325" s="1" t="s">
        <v>2832</v>
      </c>
      <c r="G325" s="112"/>
      <c r="H325" s="112"/>
      <c r="I325" s="112"/>
      <c r="J325" s="1"/>
    </row>
    <row r="326">
      <c r="A326" s="59">
        <f>HYPERLINK("https://polkadot.subsquare.io/treasury/proposals/509", 509)</f>
        <v>509</v>
      </c>
      <c r="B326" s="59">
        <f>HYPERLINK("https://polkadot.subsquare.io/referenda/248", 248)</f>
        <v>248</v>
      </c>
      <c r="C326" s="1" t="s">
        <v>1068</v>
      </c>
      <c r="D326" s="69">
        <v>45240.0</v>
      </c>
      <c r="E326" s="69">
        <v>45279.0</v>
      </c>
      <c r="F326" s="1" t="s">
        <v>2832</v>
      </c>
      <c r="G326" s="112"/>
      <c r="H326" s="112"/>
      <c r="I326" s="112"/>
      <c r="J326" s="1"/>
    </row>
    <row r="327">
      <c r="A327" s="59">
        <f>HYPERLINK("https://polkadot.subsquare.io/treasury/proposals/508", 508)</f>
        <v>508</v>
      </c>
      <c r="B327" s="59">
        <f>HYPERLINK("https://polkadot.subsquare.io/referenda/234", 234)</f>
        <v>234</v>
      </c>
      <c r="C327" s="1" t="s">
        <v>1060</v>
      </c>
      <c r="D327" s="69">
        <v>45233.0</v>
      </c>
      <c r="E327" s="69">
        <v>45279.0</v>
      </c>
      <c r="F327" s="1" t="s">
        <v>2832</v>
      </c>
      <c r="G327" s="112"/>
      <c r="H327" s="112"/>
      <c r="I327" s="112"/>
      <c r="J327" s="1"/>
    </row>
    <row r="328">
      <c r="A328" s="59">
        <f>HYPERLINK("https://polkadot.subsquare.io/treasury/proposals/507", 507)</f>
        <v>507</v>
      </c>
      <c r="B328" s="59">
        <f>HYPERLINK("https://polkadot.subsquare.io/referenda/245", 245)</f>
        <v>245</v>
      </c>
      <c r="C328" s="1" t="s">
        <v>1066</v>
      </c>
      <c r="D328" s="69">
        <v>45238.0</v>
      </c>
      <c r="E328" s="69">
        <v>45279.0</v>
      </c>
      <c r="F328" s="1" t="s">
        <v>2832</v>
      </c>
      <c r="G328" s="112"/>
      <c r="H328" s="112"/>
      <c r="I328" s="112"/>
      <c r="J328" s="1"/>
    </row>
    <row r="329">
      <c r="A329" s="59">
        <f>HYPERLINK("https://polkadot.subsquare.io/treasury/proposals/506", 506)</f>
        <v>506</v>
      </c>
      <c r="B329" s="59">
        <f>HYPERLINK("https://polkadot.subsquare.io/referenda/247", 247)</f>
        <v>247</v>
      </c>
      <c r="C329" s="1" t="s">
        <v>1067</v>
      </c>
      <c r="D329" s="69">
        <v>45239.0</v>
      </c>
      <c r="E329" s="69">
        <v>45279.0</v>
      </c>
      <c r="F329" s="1" t="s">
        <v>2832</v>
      </c>
      <c r="G329" s="112"/>
      <c r="H329" s="112"/>
      <c r="I329" s="112"/>
      <c r="J329" s="1"/>
    </row>
    <row r="330">
      <c r="A330" s="59">
        <f>HYPERLINK("https://polkadot.subsquare.io/treasury/proposals/505", 505)</f>
        <v>505</v>
      </c>
      <c r="B330" s="59">
        <f>HYPERLINK("https://polkadot.subsquare.io/referenda/269", 269)</f>
        <v>269</v>
      </c>
      <c r="C330" s="1" t="s">
        <v>1078</v>
      </c>
      <c r="D330" s="69">
        <v>45247.0</v>
      </c>
      <c r="E330" s="69">
        <v>45255.0</v>
      </c>
      <c r="F330" s="1" t="s">
        <v>2832</v>
      </c>
      <c r="G330" s="112"/>
      <c r="H330" s="112"/>
      <c r="I330" s="112"/>
      <c r="J330" s="1"/>
    </row>
    <row r="331">
      <c r="A331" s="59">
        <f>HYPERLINK("https://polkadot.subsquare.io/treasury/proposals/504", 504)</f>
        <v>504</v>
      </c>
      <c r="B331" s="59">
        <f t="shared" ref="B331:B332" si="4">HYPERLINK("https://polkadot.subsquare.io/referenda/-1", -1)</f>
        <v>-1</v>
      </c>
      <c r="C331" s="1" t="s">
        <v>1078</v>
      </c>
      <c r="D331" s="69"/>
      <c r="E331" s="69">
        <v>45255.0</v>
      </c>
      <c r="F331" s="1" t="s">
        <v>2832</v>
      </c>
      <c r="G331" s="112"/>
      <c r="H331" s="112"/>
      <c r="I331" s="112"/>
      <c r="J331" s="1"/>
    </row>
    <row r="332">
      <c r="A332" s="59">
        <f>HYPERLINK("https://polkadot.subsquare.io/treasury/proposals/503", 503)</f>
        <v>503</v>
      </c>
      <c r="B332" s="59">
        <f t="shared" si="4"/>
        <v>-1</v>
      </c>
      <c r="C332" s="1" t="s">
        <v>1077</v>
      </c>
      <c r="D332" s="69"/>
      <c r="E332" s="69">
        <v>45255.0</v>
      </c>
      <c r="F332" s="1" t="s">
        <v>2832</v>
      </c>
      <c r="G332" s="112"/>
      <c r="H332" s="112"/>
      <c r="I332" s="112"/>
      <c r="J332" s="1"/>
    </row>
    <row r="333">
      <c r="A333" s="59">
        <f>HYPERLINK("https://polkadot.subsquare.io/treasury/proposals/502", 502)</f>
        <v>502</v>
      </c>
      <c r="B333" s="59">
        <f>HYPERLINK("https://polkadot.subsquare.io/referenda/244", 244)</f>
        <v>244</v>
      </c>
      <c r="C333" s="1" t="s">
        <v>1065</v>
      </c>
      <c r="D333" s="69">
        <v>45237.0</v>
      </c>
      <c r="E333" s="69">
        <v>45255.0</v>
      </c>
      <c r="F333" s="1" t="s">
        <v>2832</v>
      </c>
      <c r="G333" s="112"/>
      <c r="H333" s="112"/>
      <c r="I333" s="112"/>
      <c r="J333" s="1"/>
    </row>
    <row r="334">
      <c r="A334" s="59">
        <f>HYPERLINK("https://polkadot.subsquare.io/treasury/proposals/501", 501)</f>
        <v>501</v>
      </c>
      <c r="B334" s="59">
        <f>HYPERLINK("https://polkadot.subsquare.io/referenda/243", 243)</f>
        <v>243</v>
      </c>
      <c r="C334" s="1" t="s">
        <v>1064</v>
      </c>
      <c r="D334" s="69">
        <v>45236.0</v>
      </c>
      <c r="E334" s="69">
        <v>45255.0</v>
      </c>
      <c r="F334" s="1" t="s">
        <v>2832</v>
      </c>
      <c r="G334" s="112"/>
      <c r="H334" s="112"/>
      <c r="I334" s="112"/>
      <c r="J334" s="1"/>
    </row>
    <row r="335">
      <c r="A335" s="59">
        <f>HYPERLINK("https://polkadot.subsquare.io/treasury/proposals/500", 500)</f>
        <v>500</v>
      </c>
      <c r="B335" s="59">
        <f>HYPERLINK("https://polkadot.subsquare.io/referenda/240", 240)</f>
        <v>240</v>
      </c>
      <c r="C335" s="1" t="s">
        <v>1062</v>
      </c>
      <c r="D335" s="69">
        <v>45236.0</v>
      </c>
      <c r="E335" s="69">
        <v>45255.0</v>
      </c>
      <c r="F335" s="1" t="s">
        <v>2832</v>
      </c>
      <c r="G335" s="112"/>
      <c r="H335" s="112"/>
      <c r="I335" s="112"/>
      <c r="J335" s="1"/>
    </row>
    <row r="336">
      <c r="A336" s="59">
        <f>HYPERLINK("https://polkadot.subsquare.io/treasury/proposals/499", 499)</f>
        <v>499</v>
      </c>
      <c r="B336" s="59">
        <f>HYPERLINK("https://polkadot.subsquare.io/referenda/237", 237)</f>
        <v>237</v>
      </c>
      <c r="C336" s="1" t="s">
        <v>1061</v>
      </c>
      <c r="D336" s="69">
        <v>45233.0</v>
      </c>
      <c r="E336" s="69">
        <v>45255.0</v>
      </c>
      <c r="F336" s="1" t="s">
        <v>2832</v>
      </c>
      <c r="G336" s="112"/>
      <c r="H336" s="112"/>
      <c r="I336" s="112"/>
      <c r="J336" s="1"/>
    </row>
    <row r="337">
      <c r="A337" s="59">
        <f>HYPERLINK("https://polkadot.subsquare.io/treasury/proposals/498", 498)</f>
        <v>498</v>
      </c>
      <c r="B337" s="59">
        <f>HYPERLINK("https://polkadot.subsquare.io/referenda/262", 262)</f>
        <v>262</v>
      </c>
      <c r="C337" s="1" t="s">
        <v>1075</v>
      </c>
      <c r="D337" s="69">
        <v>45245.0</v>
      </c>
      <c r="E337" s="69">
        <v>45255.0</v>
      </c>
      <c r="F337" s="1" t="s">
        <v>2832</v>
      </c>
      <c r="G337" s="112"/>
      <c r="H337" s="112"/>
      <c r="I337" s="112"/>
      <c r="J337" s="1"/>
    </row>
    <row r="338">
      <c r="A338" s="59">
        <f>HYPERLINK("https://polkadot.subsquare.io/treasury/proposals/497", 497)</f>
        <v>497</v>
      </c>
      <c r="B338" s="59">
        <f>HYPERLINK("https://polkadot.subsquare.io/referenda/249", 249)</f>
        <v>249</v>
      </c>
      <c r="C338" s="1" t="s">
        <v>1069</v>
      </c>
      <c r="D338" s="69">
        <v>45241.0</v>
      </c>
      <c r="E338" s="69">
        <v>45255.0</v>
      </c>
      <c r="F338" s="1" t="s">
        <v>2832</v>
      </c>
      <c r="G338" s="112"/>
      <c r="H338" s="112"/>
      <c r="I338" s="112"/>
      <c r="J338" s="1"/>
    </row>
    <row r="339">
      <c r="A339" s="59">
        <f>HYPERLINK("https://polkadot.subsquare.io/treasury/proposals/496", 496)</f>
        <v>496</v>
      </c>
      <c r="B339" s="59">
        <f>HYPERLINK("https://polkadot.subsquare.io/referenda/258", 258)</f>
        <v>258</v>
      </c>
      <c r="C339" s="1" t="s">
        <v>1071</v>
      </c>
      <c r="D339" s="69">
        <v>45243.0</v>
      </c>
      <c r="E339" s="69">
        <v>45255.0</v>
      </c>
      <c r="F339" s="1" t="s">
        <v>2832</v>
      </c>
      <c r="G339" s="112"/>
      <c r="H339" s="112"/>
      <c r="I339" s="112"/>
      <c r="J339" s="1"/>
    </row>
    <row r="340">
      <c r="A340" s="59">
        <f>HYPERLINK("https://polkadot.subsquare.io/treasury/proposals/495", 495)</f>
        <v>495</v>
      </c>
      <c r="B340" s="59">
        <f>HYPERLINK("https://polkadot.subsquare.io/referenda/-1", -1)</f>
        <v>-1</v>
      </c>
      <c r="C340" s="1" t="s">
        <v>1071</v>
      </c>
      <c r="D340" s="69"/>
      <c r="E340" s="69">
        <v>45255.0</v>
      </c>
      <c r="F340" s="1" t="s">
        <v>2832</v>
      </c>
      <c r="G340" s="112"/>
      <c r="H340" s="112"/>
      <c r="I340" s="112"/>
      <c r="J340" s="1"/>
    </row>
    <row r="341">
      <c r="A341" s="59">
        <f>HYPERLINK("https://polkadot.subsquare.io/treasury/proposals/494", 494)</f>
        <v>494</v>
      </c>
      <c r="B341" s="59">
        <f>HYPERLINK("https://polkadot.subsquare.io/referenda/259", 259)</f>
        <v>259</v>
      </c>
      <c r="C341" s="1" t="s">
        <v>1072</v>
      </c>
      <c r="D341" s="69">
        <v>45243.0</v>
      </c>
      <c r="E341" s="69">
        <v>45255.0</v>
      </c>
      <c r="F341" s="1" t="s">
        <v>2832</v>
      </c>
      <c r="G341" s="112"/>
      <c r="H341" s="112"/>
      <c r="I341" s="112"/>
      <c r="J341" s="1"/>
    </row>
    <row r="342">
      <c r="A342" s="59">
        <f>HYPERLINK("https://polkadot.subsquare.io/treasury/proposals/493", 493)</f>
        <v>493</v>
      </c>
      <c r="B342" s="59">
        <f>HYPERLINK("https://polkadot.subsquare.io/referenda/223", 223)</f>
        <v>223</v>
      </c>
      <c r="C342" s="1" t="s">
        <v>1054</v>
      </c>
      <c r="D342" s="69">
        <v>45228.0</v>
      </c>
      <c r="E342" s="69">
        <v>45255.0</v>
      </c>
      <c r="F342" s="1" t="s">
        <v>2832</v>
      </c>
      <c r="G342" s="112"/>
      <c r="H342" s="112"/>
      <c r="I342" s="112"/>
      <c r="J342" s="1"/>
    </row>
    <row r="343">
      <c r="A343" s="59">
        <f>HYPERLINK("https://polkadot.subsquare.io/treasury/proposals/492", 492)</f>
        <v>492</v>
      </c>
      <c r="B343" s="59">
        <f>HYPERLINK("https://polkadot.subsquare.io/referenda/230", 230)</f>
        <v>230</v>
      </c>
      <c r="C343" s="1" t="s">
        <v>1058</v>
      </c>
      <c r="D343" s="69">
        <v>45230.0</v>
      </c>
      <c r="E343" s="69">
        <v>45255.0</v>
      </c>
      <c r="F343" s="1" t="s">
        <v>2832</v>
      </c>
      <c r="G343" s="112"/>
      <c r="H343" s="112"/>
      <c r="I343" s="112"/>
      <c r="J343" s="1"/>
    </row>
    <row r="344">
      <c r="A344" s="59">
        <f>HYPERLINK("https://polkadot.subsquare.io/treasury/proposals/491", 491)</f>
        <v>491</v>
      </c>
      <c r="B344" s="59">
        <f>HYPERLINK("https://polkadot.subsquare.io/referenda/225", 225)</f>
        <v>225</v>
      </c>
      <c r="C344" s="1" t="s">
        <v>1055</v>
      </c>
      <c r="D344" s="69">
        <v>45229.0</v>
      </c>
      <c r="E344" s="69">
        <v>45255.0</v>
      </c>
      <c r="F344" s="1" t="s">
        <v>2832</v>
      </c>
      <c r="G344" s="112"/>
      <c r="H344" s="112"/>
      <c r="I344" s="112"/>
      <c r="J344" s="1"/>
    </row>
    <row r="345">
      <c r="A345" s="59">
        <f>HYPERLINK("https://polkadot.subsquare.io/treasury/proposals/490", 490)</f>
        <v>490</v>
      </c>
      <c r="B345" s="59">
        <f>HYPERLINK("https://polkadot.subsquare.io/referenda/226", 226)</f>
        <v>226</v>
      </c>
      <c r="C345" s="1" t="s">
        <v>1056</v>
      </c>
      <c r="D345" s="69">
        <v>45229.0</v>
      </c>
      <c r="E345" s="69">
        <v>45255.0</v>
      </c>
      <c r="F345" s="1" t="s">
        <v>2832</v>
      </c>
      <c r="G345" s="112"/>
      <c r="H345" s="112"/>
      <c r="I345" s="112"/>
      <c r="J345" s="1"/>
    </row>
    <row r="346">
      <c r="A346" s="59">
        <f>HYPERLINK("https://polkadot.subsquare.io/treasury/proposals/489", 489)</f>
        <v>489</v>
      </c>
      <c r="B346" s="59">
        <f>HYPERLINK("https://polkadot.subsquare.io/referenda/216", 216)</f>
        <v>216</v>
      </c>
      <c r="C346" s="1" t="s">
        <v>1048</v>
      </c>
      <c r="D346" s="69">
        <v>45224.0</v>
      </c>
      <c r="E346" s="69">
        <v>45255.0</v>
      </c>
      <c r="F346" s="1" t="s">
        <v>2832</v>
      </c>
      <c r="G346" s="112"/>
      <c r="H346" s="112"/>
      <c r="I346" s="112"/>
      <c r="J346" s="1"/>
    </row>
    <row r="347">
      <c r="A347" s="59">
        <f>HYPERLINK("https://polkadot.subsquare.io/treasury/proposals/488", 488)</f>
        <v>488</v>
      </c>
      <c r="B347" s="59">
        <f>HYPERLINK("https://polkadot.subsquare.io/referenda/222", 222)</f>
        <v>222</v>
      </c>
      <c r="C347" s="1" t="s">
        <v>1053</v>
      </c>
      <c r="D347" s="69">
        <v>45227.0</v>
      </c>
      <c r="E347" s="69">
        <v>45255.0</v>
      </c>
      <c r="F347" s="1" t="s">
        <v>2832</v>
      </c>
      <c r="G347" s="112"/>
      <c r="H347" s="112"/>
      <c r="I347" s="112"/>
      <c r="J347" s="1"/>
    </row>
    <row r="348">
      <c r="A348" s="59">
        <f>HYPERLINK("https://polkadot.subsquare.io/treasury/proposals/487", 487)</f>
        <v>487</v>
      </c>
      <c r="B348" s="59">
        <f>HYPERLINK("https://polkadot.subsquare.io/referenda/219", 219)</f>
        <v>219</v>
      </c>
      <c r="C348" s="1" t="s">
        <v>1051</v>
      </c>
      <c r="D348" s="69">
        <v>45224.0</v>
      </c>
      <c r="E348" s="69">
        <v>45255.0</v>
      </c>
      <c r="F348" s="1" t="s">
        <v>2832</v>
      </c>
      <c r="G348" s="112"/>
      <c r="H348" s="112"/>
      <c r="I348" s="112"/>
      <c r="J348" s="1"/>
    </row>
    <row r="349">
      <c r="A349" s="59">
        <f>HYPERLINK("https://polkadot.subsquare.io/treasury/proposals/486", 486)</f>
        <v>486</v>
      </c>
      <c r="B349" s="59">
        <f>HYPERLINK("https://polkadot.subsquare.io/referenda/215", 215)</f>
        <v>215</v>
      </c>
      <c r="C349" s="1" t="s">
        <v>1047</v>
      </c>
      <c r="D349" s="69">
        <v>45224.0</v>
      </c>
      <c r="E349" s="69">
        <v>45255.0</v>
      </c>
      <c r="F349" s="1" t="s">
        <v>2832</v>
      </c>
      <c r="G349" s="112"/>
      <c r="H349" s="112"/>
      <c r="I349" s="112"/>
      <c r="J349" s="1"/>
    </row>
    <row r="350">
      <c r="A350" s="59">
        <f>HYPERLINK("https://polkadot.subsquare.io/treasury/proposals/485", 485)</f>
        <v>485</v>
      </c>
      <c r="B350" s="59">
        <f>HYPERLINK("https://polkadot.subsquare.io/referenda/201", 201)</f>
        <v>201</v>
      </c>
      <c r="C350" s="1" t="s">
        <v>1042</v>
      </c>
      <c r="D350" s="69">
        <v>45217.0</v>
      </c>
      <c r="E350" s="69">
        <v>45255.0</v>
      </c>
      <c r="F350" s="1" t="s">
        <v>2832</v>
      </c>
      <c r="G350" s="112"/>
      <c r="H350" s="112"/>
      <c r="I350" s="112"/>
      <c r="J350" s="1"/>
    </row>
    <row r="351">
      <c r="A351" s="59">
        <f>HYPERLINK("https://polkadot.subsquare.io/treasury/proposals/484", 484)</f>
        <v>484</v>
      </c>
      <c r="B351" s="59">
        <f>HYPERLINK("https://polkadot.subsquare.io/referenda/207", 207)</f>
        <v>207</v>
      </c>
      <c r="C351" s="1" t="s">
        <v>1044</v>
      </c>
      <c r="D351" s="69">
        <v>45219.0</v>
      </c>
      <c r="E351" s="69">
        <v>45255.0</v>
      </c>
      <c r="F351" s="1" t="s">
        <v>2832</v>
      </c>
      <c r="G351" s="112"/>
      <c r="H351" s="112"/>
      <c r="I351" s="112"/>
      <c r="J351" s="1"/>
    </row>
    <row r="352">
      <c r="A352" s="59">
        <f>HYPERLINK("https://polkadot.subsquare.io/treasury/proposals/483", 483)</f>
        <v>483</v>
      </c>
      <c r="B352" s="59">
        <f>HYPERLINK("https://polkadot.subsquare.io/referenda/221", 221)</f>
        <v>221</v>
      </c>
      <c r="C352" s="1" t="s">
        <v>1052</v>
      </c>
      <c r="D352" s="69">
        <v>45225.0</v>
      </c>
      <c r="E352" s="69">
        <v>45255.0</v>
      </c>
      <c r="F352" s="1" t="s">
        <v>2832</v>
      </c>
      <c r="G352" s="112"/>
      <c r="H352" s="112"/>
      <c r="I352" s="112"/>
      <c r="J352" s="1"/>
    </row>
    <row r="353">
      <c r="A353" s="59">
        <f>HYPERLINK("https://polkadot.subsquare.io/treasury/proposals/482", 482)</f>
        <v>482</v>
      </c>
      <c r="B353" s="59">
        <f>HYPERLINK("https://polkadot.subsquare.io/referenda/218", 218)</f>
        <v>218</v>
      </c>
      <c r="C353" s="1" t="s">
        <v>1050</v>
      </c>
      <c r="D353" s="69">
        <v>45224.0</v>
      </c>
      <c r="E353" s="69">
        <v>45255.0</v>
      </c>
      <c r="F353" s="1" t="s">
        <v>2832</v>
      </c>
      <c r="G353" s="112"/>
      <c r="H353" s="112"/>
      <c r="I353" s="112"/>
      <c r="J353" s="1"/>
    </row>
    <row r="354">
      <c r="A354" s="59">
        <f>HYPERLINK("https://polkadot.subsquare.io/treasury/proposals/481", 481)</f>
        <v>481</v>
      </c>
      <c r="B354" s="59">
        <f>HYPERLINK("https://polkadot.subsquare.io/referenda/209", 209)</f>
        <v>209</v>
      </c>
      <c r="C354" s="1" t="s">
        <v>1045</v>
      </c>
      <c r="D354" s="69">
        <v>45220.0</v>
      </c>
      <c r="E354" s="69">
        <v>45255.0</v>
      </c>
      <c r="F354" s="1" t="s">
        <v>2832</v>
      </c>
      <c r="G354" s="112"/>
      <c r="H354" s="112"/>
      <c r="I354" s="112"/>
      <c r="J354" s="1"/>
    </row>
    <row r="355">
      <c r="A355" s="59">
        <f>HYPERLINK("https://polkadot.subsquare.io/treasury/proposals/480", 480)</f>
        <v>480</v>
      </c>
      <c r="B355" s="59">
        <f>HYPERLINK("https://polkadot.subsquare.io/referenda/214", 214)</f>
        <v>214</v>
      </c>
      <c r="C355" s="1" t="s">
        <v>1046</v>
      </c>
      <c r="D355" s="69">
        <v>45224.0</v>
      </c>
      <c r="E355" s="69">
        <v>45255.0</v>
      </c>
      <c r="F355" s="1" t="s">
        <v>2832</v>
      </c>
      <c r="G355" s="112"/>
      <c r="H355" s="112"/>
      <c r="I355" s="112"/>
      <c r="J355" s="1"/>
    </row>
    <row r="356">
      <c r="A356" s="59">
        <f>HYPERLINK("https://polkadot.subsquare.io/treasury/proposals/479", 479)</f>
        <v>479</v>
      </c>
      <c r="B356" s="59">
        <f>HYPERLINK("https://polkadot.subsquare.io/referenda/202", 202)</f>
        <v>202</v>
      </c>
      <c r="C356" s="1" t="s">
        <v>1043</v>
      </c>
      <c r="D356" s="69">
        <v>45217.0</v>
      </c>
      <c r="E356" s="69">
        <v>45255.0</v>
      </c>
      <c r="F356" s="1" t="s">
        <v>2832</v>
      </c>
      <c r="G356" s="112"/>
      <c r="H356" s="112"/>
      <c r="I356" s="112"/>
      <c r="J356" s="1"/>
    </row>
    <row r="357">
      <c r="A357" s="59">
        <f>HYPERLINK("https://polkadot.subsquare.io/treasury/proposals/478", 478)</f>
        <v>478</v>
      </c>
      <c r="B357" s="59">
        <f>HYPERLINK("https://polkadot.subsquare.io/referenda/200", 200)</f>
        <v>200</v>
      </c>
      <c r="C357" s="1" t="s">
        <v>1041</v>
      </c>
      <c r="D357" s="69">
        <v>45217.0</v>
      </c>
      <c r="E357" s="69">
        <v>45255.0</v>
      </c>
      <c r="F357" s="1" t="s">
        <v>2832</v>
      </c>
      <c r="G357" s="112"/>
      <c r="H357" s="112"/>
      <c r="I357" s="112"/>
      <c r="J357" s="1"/>
    </row>
    <row r="358">
      <c r="A358" s="59">
        <f>HYPERLINK("https://polkadot.subsquare.io/treasury/proposals/477", 477)</f>
        <v>477</v>
      </c>
      <c r="B358" s="59">
        <f>HYPERLINK("https://polkadot.subsquare.io/referenda/227", 227)</f>
        <v>227</v>
      </c>
      <c r="C358" s="1" t="s">
        <v>1057</v>
      </c>
      <c r="D358" s="69">
        <v>45229.0</v>
      </c>
      <c r="E358" s="69">
        <v>45255.0</v>
      </c>
      <c r="F358" s="1" t="s">
        <v>2832</v>
      </c>
      <c r="G358" s="112"/>
      <c r="H358" s="112"/>
      <c r="I358" s="112"/>
      <c r="J358" s="1"/>
    </row>
    <row r="359">
      <c r="A359" s="59">
        <f>HYPERLINK("https://polkadot.subsquare.io/treasury/proposals/476", 476)</f>
        <v>476</v>
      </c>
      <c r="B359" s="59">
        <f>HYPERLINK("https://polkadot.subsquare.io/referenda/232", 232)</f>
        <v>232</v>
      </c>
      <c r="C359" s="1" t="s">
        <v>1059</v>
      </c>
      <c r="D359" s="69">
        <v>45231.0</v>
      </c>
      <c r="E359" s="69">
        <v>45255.0</v>
      </c>
      <c r="F359" s="1" t="s">
        <v>2832</v>
      </c>
      <c r="G359" s="112"/>
      <c r="H359" s="112"/>
      <c r="I359" s="112"/>
      <c r="J359" s="1"/>
    </row>
    <row r="360">
      <c r="A360" s="59">
        <f>HYPERLINK("https://polkadot.subsquare.io/treasury/proposals/475", 475)</f>
        <v>475</v>
      </c>
      <c r="B360" s="59">
        <f>HYPERLINK("https://polkadot.subsquare.io/referenda/183", 183)</f>
        <v>183</v>
      </c>
      <c r="C360" s="1" t="s">
        <v>1029</v>
      </c>
      <c r="D360" s="69">
        <v>45206.0</v>
      </c>
      <c r="E360" s="69">
        <v>45255.0</v>
      </c>
      <c r="F360" s="1" t="s">
        <v>2832</v>
      </c>
      <c r="G360" s="112"/>
      <c r="H360" s="112"/>
      <c r="I360" s="112"/>
      <c r="J360" s="1"/>
    </row>
    <row r="361">
      <c r="A361" s="59">
        <f>HYPERLINK("https://polkadot.subsquare.io/treasury/proposals/474", 474)</f>
        <v>474</v>
      </c>
      <c r="B361" s="59">
        <f>HYPERLINK("https://polkadot.subsquare.io/referenda/187", 187)</f>
        <v>187</v>
      </c>
      <c r="C361" s="1" t="s">
        <v>1032</v>
      </c>
      <c r="D361" s="69">
        <v>45208.0</v>
      </c>
      <c r="E361" s="69">
        <v>45255.0</v>
      </c>
      <c r="F361" s="1" t="s">
        <v>2832</v>
      </c>
      <c r="G361" s="112"/>
      <c r="H361" s="112"/>
      <c r="I361" s="112"/>
      <c r="J361" s="1"/>
    </row>
    <row r="362">
      <c r="A362" s="59">
        <f>HYPERLINK("https://polkadot.subsquare.io/treasury/proposals/473", 473)</f>
        <v>473</v>
      </c>
      <c r="B362" s="59">
        <f>HYPERLINK("https://polkadot.subsquare.io/referenda/175", 175)</f>
        <v>175</v>
      </c>
      <c r="C362" s="1" t="s">
        <v>1024</v>
      </c>
      <c r="D362" s="69">
        <v>45201.0</v>
      </c>
      <c r="E362" s="69">
        <v>45231.0</v>
      </c>
      <c r="F362" s="1" t="s">
        <v>2832</v>
      </c>
      <c r="G362" s="112"/>
      <c r="H362" s="112"/>
      <c r="I362" s="112"/>
      <c r="J362" s="1"/>
    </row>
    <row r="363">
      <c r="A363" s="59">
        <f>HYPERLINK("https://polkadot.subsquare.io/treasury/proposals/472", 472)</f>
        <v>472</v>
      </c>
      <c r="B363" s="59">
        <f>HYPERLINK("https://polkadot.subsquare.io/referenda/-1", -1)</f>
        <v>-1</v>
      </c>
      <c r="C363" s="1" t="s">
        <v>2842</v>
      </c>
      <c r="D363" s="69"/>
      <c r="E363" s="69">
        <v>45229.0</v>
      </c>
      <c r="F363" s="1" t="s">
        <v>2826</v>
      </c>
      <c r="G363" s="112"/>
      <c r="H363" s="112"/>
      <c r="I363" s="112"/>
      <c r="J363" s="1"/>
    </row>
    <row r="364">
      <c r="A364" s="59">
        <f>HYPERLINK("https://polkadot.subsquare.io/treasury/proposals/471", 471)</f>
        <v>471</v>
      </c>
      <c r="B364" s="59">
        <f>HYPERLINK("https://polkadot.subsquare.io/referenda/191", 191)</f>
        <v>191</v>
      </c>
      <c r="C364" s="1" t="s">
        <v>1034</v>
      </c>
      <c r="D364" s="69">
        <v>45210.0</v>
      </c>
      <c r="E364" s="69">
        <v>45231.0</v>
      </c>
      <c r="F364" s="1" t="s">
        <v>2832</v>
      </c>
      <c r="G364" s="112"/>
      <c r="H364" s="112"/>
      <c r="I364" s="112"/>
      <c r="J364" s="1"/>
    </row>
    <row r="365">
      <c r="A365" s="59">
        <f>HYPERLINK("https://polkadot.subsquare.io/treasury/proposals/470", 470)</f>
        <v>470</v>
      </c>
      <c r="B365" s="59">
        <f>HYPERLINK("https://polkadot.subsquare.io/referenda/193", 193)</f>
        <v>193</v>
      </c>
      <c r="C365" s="1" t="s">
        <v>1035</v>
      </c>
      <c r="D365" s="69">
        <v>45212.0</v>
      </c>
      <c r="E365" s="69">
        <v>45231.0</v>
      </c>
      <c r="F365" s="1" t="s">
        <v>2832</v>
      </c>
      <c r="G365" s="112"/>
      <c r="H365" s="112"/>
      <c r="I365" s="112"/>
      <c r="J365" s="1"/>
    </row>
    <row r="366">
      <c r="A366" s="59">
        <f>HYPERLINK("https://polkadot.subsquare.io/treasury/proposals/469", 469)</f>
        <v>469</v>
      </c>
      <c r="B366" s="59">
        <f>HYPERLINK("https://polkadot.subsquare.io/referenda/185", 185)</f>
        <v>185</v>
      </c>
      <c r="C366" s="1" t="s">
        <v>1031</v>
      </c>
      <c r="D366" s="69">
        <v>45207.0</v>
      </c>
      <c r="E366" s="69">
        <v>45231.0</v>
      </c>
      <c r="F366" s="1" t="s">
        <v>2832</v>
      </c>
      <c r="G366" s="112"/>
      <c r="H366" s="112"/>
      <c r="I366" s="112"/>
      <c r="J366" s="1"/>
    </row>
    <row r="367">
      <c r="A367" s="59">
        <f>HYPERLINK("https://polkadot.subsquare.io/treasury/proposals/468", 468)</f>
        <v>468</v>
      </c>
      <c r="B367" s="59">
        <f>HYPERLINK("https://polkadot.subsquare.io/referenda/178", 178)</f>
        <v>178</v>
      </c>
      <c r="C367" s="1" t="s">
        <v>1026</v>
      </c>
      <c r="D367" s="69">
        <v>45203.0</v>
      </c>
      <c r="E367" s="69">
        <v>45231.0</v>
      </c>
      <c r="F367" s="1" t="s">
        <v>2832</v>
      </c>
      <c r="G367" s="112"/>
      <c r="H367" s="112"/>
      <c r="I367" s="112"/>
      <c r="J367" s="1"/>
    </row>
    <row r="368">
      <c r="A368" s="59">
        <f>HYPERLINK("https://polkadot.subsquare.io/treasury/proposals/467", 467)</f>
        <v>467</v>
      </c>
      <c r="B368" s="59">
        <f>HYPERLINK("https://polkadot.subsquare.io/referenda/179", 179)</f>
        <v>179</v>
      </c>
      <c r="C368" s="1" t="s">
        <v>1027</v>
      </c>
      <c r="D368" s="69">
        <v>45203.0</v>
      </c>
      <c r="E368" s="69">
        <v>45231.0</v>
      </c>
      <c r="F368" s="1" t="s">
        <v>2832</v>
      </c>
      <c r="G368" s="112"/>
      <c r="H368" s="112"/>
      <c r="I368" s="112"/>
      <c r="J368" s="1"/>
    </row>
    <row r="369">
      <c r="A369" s="59">
        <f>HYPERLINK("https://polkadot.subsquare.io/treasury/proposals/466", 466)</f>
        <v>466</v>
      </c>
      <c r="B369" s="59">
        <f>HYPERLINK("https://polkadot.subsquare.io/referenda/217", 217)</f>
        <v>217</v>
      </c>
      <c r="C369" s="1" t="s">
        <v>1049</v>
      </c>
      <c r="D369" s="69">
        <v>45224.0</v>
      </c>
      <c r="E369" s="69">
        <v>45231.0</v>
      </c>
      <c r="F369" s="1" t="s">
        <v>2832</v>
      </c>
      <c r="G369" s="112"/>
      <c r="H369" s="112"/>
      <c r="I369" s="112"/>
      <c r="J369" s="1"/>
    </row>
    <row r="370">
      <c r="A370" s="59">
        <f>HYPERLINK("https://polkadot.subsquare.io/treasury/proposals/465", 465)</f>
        <v>465</v>
      </c>
      <c r="B370" s="59">
        <f>HYPERLINK("https://polkadot.subsquare.io/referenda/210", 210)</f>
        <v>210</v>
      </c>
      <c r="C370" s="1" t="s">
        <v>982</v>
      </c>
      <c r="D370" s="69">
        <v>45221.0</v>
      </c>
      <c r="E370" s="69">
        <v>45231.0</v>
      </c>
      <c r="F370" s="1" t="s">
        <v>2832</v>
      </c>
      <c r="G370" s="112"/>
      <c r="H370" s="112"/>
      <c r="I370" s="112"/>
      <c r="J370" s="1"/>
    </row>
    <row r="371">
      <c r="A371" s="59">
        <f>HYPERLINK("https://polkadot.subsquare.io/treasury/proposals/464", 464)</f>
        <v>464</v>
      </c>
      <c r="B371" s="59">
        <f>HYPERLINK("https://polkadot.subsquare.io/referenda/172", 172)</f>
        <v>172</v>
      </c>
      <c r="C371" s="1" t="s">
        <v>1023</v>
      </c>
      <c r="D371" s="69">
        <v>45201.0</v>
      </c>
      <c r="E371" s="69">
        <v>45231.0</v>
      </c>
      <c r="F371" s="1" t="s">
        <v>2832</v>
      </c>
      <c r="G371" s="112"/>
      <c r="H371" s="112"/>
      <c r="I371" s="112"/>
      <c r="J371" s="1"/>
    </row>
    <row r="372">
      <c r="A372" s="59">
        <f>HYPERLINK("https://polkadot.subsquare.io/treasury/proposals/463", 463)</f>
        <v>463</v>
      </c>
      <c r="B372" s="59">
        <f>HYPERLINK("https://polkadot.subsquare.io/referenda/181", 181)</f>
        <v>181</v>
      </c>
      <c r="C372" s="1" t="s">
        <v>1028</v>
      </c>
      <c r="D372" s="69">
        <v>45204.0</v>
      </c>
      <c r="E372" s="69">
        <v>45231.0</v>
      </c>
      <c r="F372" s="1" t="s">
        <v>2832</v>
      </c>
      <c r="G372" s="112"/>
      <c r="H372" s="112"/>
      <c r="I372" s="112"/>
      <c r="J372" s="1"/>
    </row>
    <row r="373">
      <c r="A373" s="59">
        <f>HYPERLINK("https://polkadot.subsquare.io/treasury/proposals/462", 462)</f>
        <v>462</v>
      </c>
      <c r="B373" s="59">
        <f>HYPERLINK("https://polkadot.subsquare.io/referenda/161", 161)</f>
        <v>161</v>
      </c>
      <c r="C373" s="1" t="s">
        <v>1016</v>
      </c>
      <c r="D373" s="69">
        <v>45195.0</v>
      </c>
      <c r="E373" s="69">
        <v>45231.0</v>
      </c>
      <c r="F373" s="1" t="s">
        <v>2832</v>
      </c>
      <c r="G373" s="112"/>
      <c r="H373" s="112"/>
      <c r="I373" s="112"/>
      <c r="J373" s="1"/>
    </row>
    <row r="374">
      <c r="A374" s="59">
        <f>HYPERLINK("https://polkadot.subsquare.io/treasury/proposals/461", 461)</f>
        <v>461</v>
      </c>
      <c r="B374" s="59">
        <f>HYPERLINK("https://polkadot.subsquare.io/referenda/165", 165)</f>
        <v>165</v>
      </c>
      <c r="C374" s="1" t="s">
        <v>1018</v>
      </c>
      <c r="D374" s="69">
        <v>45197.0</v>
      </c>
      <c r="E374" s="69">
        <v>45231.0</v>
      </c>
      <c r="F374" s="1" t="s">
        <v>2832</v>
      </c>
      <c r="G374" s="112"/>
      <c r="H374" s="112"/>
      <c r="I374" s="112"/>
      <c r="J374" s="1"/>
    </row>
    <row r="375">
      <c r="A375" s="59">
        <f>HYPERLINK("https://polkadot.subsquare.io/treasury/proposals/460", 460)</f>
        <v>460</v>
      </c>
      <c r="B375" s="59">
        <f>HYPERLINK("https://polkadot.subsquare.io/referenda/198", 198)</f>
        <v>198</v>
      </c>
      <c r="C375" s="1" t="s">
        <v>1039</v>
      </c>
      <c r="D375" s="69">
        <v>45216.0</v>
      </c>
      <c r="E375" s="69">
        <v>45231.0</v>
      </c>
      <c r="F375" s="1" t="s">
        <v>2832</v>
      </c>
      <c r="G375" s="112"/>
      <c r="H375" s="112"/>
      <c r="I375" s="112"/>
      <c r="J375" s="1"/>
    </row>
    <row r="376">
      <c r="A376" s="59">
        <f>HYPERLINK("https://polkadot.subsquare.io/treasury/proposals/459", 459)</f>
        <v>459</v>
      </c>
      <c r="B376" s="59">
        <f>HYPERLINK("https://polkadot.subsquare.io/referenda/-1", -1)</f>
        <v>-1</v>
      </c>
      <c r="C376" s="1" t="s">
        <v>1038</v>
      </c>
      <c r="D376" s="69"/>
      <c r="E376" s="69">
        <v>45231.0</v>
      </c>
      <c r="F376" s="1" t="s">
        <v>2832</v>
      </c>
      <c r="G376" s="112"/>
      <c r="H376" s="112"/>
      <c r="I376" s="112"/>
      <c r="J376" s="1"/>
    </row>
    <row r="377">
      <c r="A377" s="59">
        <f>HYPERLINK("https://polkadot.subsquare.io/treasury/proposals/458", 458)</f>
        <v>458</v>
      </c>
      <c r="B377" s="59">
        <f>HYPERLINK("https://polkadot.subsquare.io/referenda/167", 167)</f>
        <v>167</v>
      </c>
      <c r="C377" s="1" t="s">
        <v>1019</v>
      </c>
      <c r="D377" s="69">
        <v>45198.0</v>
      </c>
      <c r="E377" s="69">
        <v>45231.0</v>
      </c>
      <c r="F377" s="1" t="s">
        <v>2832</v>
      </c>
      <c r="G377" s="112"/>
      <c r="H377" s="112"/>
      <c r="I377" s="112"/>
      <c r="J377" s="1"/>
    </row>
    <row r="378">
      <c r="A378" s="59">
        <f>HYPERLINK("https://polkadot.subsquare.io/treasury/proposals/457", 457)</f>
        <v>457</v>
      </c>
      <c r="B378" s="59">
        <f>HYPERLINK("https://polkadot.subsquare.io/referenda/177", 177)</f>
        <v>177</v>
      </c>
      <c r="C378" s="1" t="s">
        <v>1025</v>
      </c>
      <c r="D378" s="69">
        <v>45202.0</v>
      </c>
      <c r="E378" s="69">
        <v>45231.0</v>
      </c>
      <c r="F378" s="1" t="s">
        <v>2832</v>
      </c>
      <c r="G378" s="112"/>
      <c r="H378" s="112"/>
      <c r="I378" s="112"/>
      <c r="J378" s="1"/>
    </row>
    <row r="379">
      <c r="A379" s="59">
        <f>HYPERLINK("https://polkadot.subsquare.io/treasury/proposals/456", 456)</f>
        <v>456</v>
      </c>
      <c r="B379" s="59">
        <f>HYPERLINK("https://polkadot.subsquare.io/referenda/-1", -1)</f>
        <v>-1</v>
      </c>
      <c r="C379" s="1"/>
      <c r="D379" s="69"/>
      <c r="E379" s="69">
        <v>45219.0</v>
      </c>
      <c r="F379" s="1" t="s">
        <v>2826</v>
      </c>
      <c r="G379" s="112"/>
      <c r="H379" s="112"/>
      <c r="I379" s="112"/>
      <c r="J379" s="1"/>
    </row>
    <row r="380">
      <c r="A380" s="59">
        <f>HYPERLINK("https://polkadot.subsquare.io/treasury/proposals/455", 455)</f>
        <v>455</v>
      </c>
      <c r="B380" s="59">
        <f>HYPERLINK("https://polkadot.subsquare.io/referenda/196", 196)</f>
        <v>196</v>
      </c>
      <c r="C380" s="1" t="s">
        <v>1037</v>
      </c>
      <c r="D380" s="69">
        <v>45215.0</v>
      </c>
      <c r="E380" s="69">
        <v>45231.0</v>
      </c>
      <c r="F380" s="1" t="s">
        <v>2832</v>
      </c>
      <c r="G380" s="112"/>
      <c r="H380" s="112"/>
      <c r="I380" s="112"/>
      <c r="J380" s="1"/>
    </row>
    <row r="381">
      <c r="A381" s="59">
        <f>HYPERLINK("https://polkadot.subsquare.io/treasury/proposals/454", 454)</f>
        <v>454</v>
      </c>
      <c r="B381" s="59">
        <f>HYPERLINK("https://polkadot.subsquare.io/referenda/194", 194)</f>
        <v>194</v>
      </c>
      <c r="C381" s="1" t="s">
        <v>1036</v>
      </c>
      <c r="D381" s="69">
        <v>45213.0</v>
      </c>
      <c r="E381" s="69">
        <v>45231.0</v>
      </c>
      <c r="F381" s="1" t="s">
        <v>2832</v>
      </c>
      <c r="G381" s="112"/>
      <c r="H381" s="112"/>
      <c r="I381" s="112"/>
      <c r="J381" s="1"/>
    </row>
    <row r="382">
      <c r="A382" s="59">
        <f>HYPERLINK("https://polkadot.subsquare.io/treasury/proposals/453", 453)</f>
        <v>453</v>
      </c>
      <c r="B382" s="59">
        <f>HYPERLINK("https://polkadot.subsquare.io/referenda/168", 168)</f>
        <v>168</v>
      </c>
      <c r="C382" s="1" t="s">
        <v>1020</v>
      </c>
      <c r="D382" s="69">
        <v>45198.0</v>
      </c>
      <c r="E382" s="69">
        <v>45231.0</v>
      </c>
      <c r="F382" s="1" t="s">
        <v>2832</v>
      </c>
      <c r="G382" s="112"/>
      <c r="H382" s="112"/>
      <c r="I382" s="112"/>
      <c r="J382" s="1"/>
    </row>
    <row r="383">
      <c r="A383" s="59">
        <f>HYPERLINK("https://polkadot.subsquare.io/treasury/proposals/452", 452)</f>
        <v>452</v>
      </c>
      <c r="B383" s="59">
        <f>HYPERLINK("https://polkadot.subsquare.io/referenda/-1", -1)</f>
        <v>-1</v>
      </c>
      <c r="C383" s="1" t="s">
        <v>1043</v>
      </c>
      <c r="D383" s="69"/>
      <c r="E383" s="69">
        <v>45217.0</v>
      </c>
      <c r="F383" s="1" t="s">
        <v>2826</v>
      </c>
      <c r="G383" s="112"/>
      <c r="H383" s="112"/>
      <c r="I383" s="112"/>
      <c r="J383" s="1"/>
    </row>
    <row r="384">
      <c r="A384" s="59">
        <f>HYPERLINK("https://polkadot.subsquare.io/treasury/proposals/451", 451)</f>
        <v>451</v>
      </c>
      <c r="B384" s="59">
        <f>HYPERLINK("https://polkadot.subsquare.io/referenda/162", 162)</f>
        <v>162</v>
      </c>
      <c r="C384" s="1" t="s">
        <v>1017</v>
      </c>
      <c r="D384" s="69">
        <v>45196.0</v>
      </c>
      <c r="E384" s="69">
        <v>45231.0</v>
      </c>
      <c r="F384" s="1" t="s">
        <v>2832</v>
      </c>
      <c r="G384" s="112"/>
      <c r="H384" s="112"/>
      <c r="I384" s="112"/>
      <c r="J384" s="1"/>
    </row>
    <row r="385">
      <c r="A385" s="59">
        <f>HYPERLINK("https://polkadot.subsquare.io/treasury/proposals/450", 450)</f>
        <v>450</v>
      </c>
      <c r="B385" s="59">
        <f>HYPERLINK("https://polkadot.subsquare.io/referenda/170", 170)</f>
        <v>170</v>
      </c>
      <c r="C385" s="1" t="s">
        <v>1021</v>
      </c>
      <c r="D385" s="69">
        <v>45199.0</v>
      </c>
      <c r="E385" s="69">
        <v>45231.0</v>
      </c>
      <c r="F385" s="1" t="s">
        <v>2832</v>
      </c>
      <c r="G385" s="112"/>
      <c r="H385" s="112"/>
      <c r="I385" s="112"/>
      <c r="J385" s="1"/>
    </row>
    <row r="386">
      <c r="A386" s="59">
        <f>HYPERLINK("https://polkadot.subsquare.io/treasury/proposals/449", 449)</f>
        <v>449</v>
      </c>
      <c r="B386" s="59">
        <f>HYPERLINK("https://polkadot.subsquare.io/referenda/160", 160)</f>
        <v>160</v>
      </c>
      <c r="C386" s="1" t="s">
        <v>1015</v>
      </c>
      <c r="D386" s="69">
        <v>45192.0</v>
      </c>
      <c r="E386" s="69">
        <v>45231.0</v>
      </c>
      <c r="F386" s="1" t="s">
        <v>2832</v>
      </c>
      <c r="G386" s="112"/>
      <c r="H386" s="112"/>
      <c r="I386" s="112"/>
      <c r="J386" s="1"/>
    </row>
    <row r="387">
      <c r="A387" s="59">
        <f>HYPERLINK("https://polkadot.subsquare.io/treasury/proposals/448", 448)</f>
        <v>448</v>
      </c>
      <c r="B387" s="59">
        <f>HYPERLINK("https://polkadot.subsquare.io/referenda/184", 184)</f>
        <v>184</v>
      </c>
      <c r="C387" s="1" t="s">
        <v>1030</v>
      </c>
      <c r="D387" s="69">
        <v>45206.0</v>
      </c>
      <c r="E387" s="69">
        <v>45231.0</v>
      </c>
      <c r="F387" s="1" t="s">
        <v>2832</v>
      </c>
      <c r="G387" s="112"/>
      <c r="H387" s="112"/>
      <c r="I387" s="112"/>
      <c r="J387" s="1"/>
    </row>
    <row r="388">
      <c r="A388" s="59">
        <f>HYPERLINK("https://polkadot.subsquare.io/treasury/proposals/447", 447)</f>
        <v>447</v>
      </c>
      <c r="B388" s="59">
        <f>HYPERLINK("https://polkadot.subsquare.io/referenda/-1", -1)</f>
        <v>-1</v>
      </c>
      <c r="C388" s="1" t="s">
        <v>1033</v>
      </c>
      <c r="D388" s="69"/>
      <c r="E388" s="69">
        <v>45231.0</v>
      </c>
      <c r="F388" s="1" t="s">
        <v>2832</v>
      </c>
      <c r="G388" s="112"/>
      <c r="H388" s="112"/>
      <c r="I388" s="112"/>
      <c r="J388" s="1"/>
    </row>
    <row r="389">
      <c r="A389" s="59">
        <f>HYPERLINK("https://polkadot.subsquare.io/treasury/proposals/446", 446)</f>
        <v>446</v>
      </c>
      <c r="B389" s="59">
        <f>HYPERLINK("https://polkadot.subsquare.io/referenda/153", 153)</f>
        <v>153</v>
      </c>
      <c r="C389" s="1" t="s">
        <v>1011</v>
      </c>
      <c r="D389" s="69">
        <v>45185.0</v>
      </c>
      <c r="E389" s="69">
        <v>45231.0</v>
      </c>
      <c r="F389" s="1" t="s">
        <v>2832</v>
      </c>
      <c r="G389" s="112"/>
      <c r="H389" s="112"/>
      <c r="I389" s="112"/>
      <c r="J389" s="1"/>
    </row>
    <row r="390">
      <c r="A390" s="59">
        <f>HYPERLINK("https://polkadot.subsquare.io/treasury/proposals/445", 445)</f>
        <v>445</v>
      </c>
      <c r="B390" s="59">
        <f>HYPERLINK("https://polkadot.subsquare.io/referenda/156", 156)</f>
        <v>156</v>
      </c>
      <c r="C390" s="1" t="s">
        <v>1013</v>
      </c>
      <c r="D390" s="69">
        <v>45188.0</v>
      </c>
      <c r="E390" s="69">
        <v>45231.0</v>
      </c>
      <c r="F390" s="1" t="s">
        <v>2832</v>
      </c>
      <c r="G390" s="112"/>
      <c r="H390" s="112"/>
      <c r="I390" s="112"/>
      <c r="J390" s="1"/>
    </row>
    <row r="391">
      <c r="A391" s="59">
        <f>HYPERLINK("https://polkadot.subsquare.io/treasury/proposals/444", 444)</f>
        <v>444</v>
      </c>
      <c r="B391" s="59">
        <f t="shared" ref="B391:B409" si="5">HYPERLINK("https://polkadot.subsquare.io/referenda/-1", -1)</f>
        <v>-1</v>
      </c>
      <c r="C391" s="1" t="s">
        <v>1013</v>
      </c>
      <c r="D391" s="69"/>
      <c r="E391" s="69">
        <v>45231.0</v>
      </c>
      <c r="F391" s="1" t="s">
        <v>2832</v>
      </c>
      <c r="G391" s="112"/>
      <c r="H391" s="112"/>
      <c r="I391" s="112"/>
      <c r="J391" s="1"/>
    </row>
    <row r="392">
      <c r="A392" s="59">
        <f>HYPERLINK("https://polkadot.subsquare.io/treasury/proposals/443", 443)</f>
        <v>443</v>
      </c>
      <c r="B392" s="59">
        <f t="shared" si="5"/>
        <v>-1</v>
      </c>
      <c r="C392" s="1" t="s">
        <v>1013</v>
      </c>
      <c r="D392" s="69"/>
      <c r="E392" s="69">
        <v>45231.0</v>
      </c>
      <c r="F392" s="1" t="s">
        <v>2832</v>
      </c>
      <c r="G392" s="112"/>
      <c r="H392" s="112"/>
      <c r="I392" s="112"/>
      <c r="J392" s="1"/>
    </row>
    <row r="393">
      <c r="A393" s="59">
        <f>HYPERLINK("https://polkadot.subsquare.io/treasury/proposals/442", 442)</f>
        <v>442</v>
      </c>
      <c r="B393" s="59">
        <f t="shared" si="5"/>
        <v>-1</v>
      </c>
      <c r="C393" s="1" t="s">
        <v>1013</v>
      </c>
      <c r="D393" s="69"/>
      <c r="E393" s="69">
        <v>45231.0</v>
      </c>
      <c r="F393" s="1" t="s">
        <v>2832</v>
      </c>
      <c r="G393" s="112"/>
      <c r="H393" s="112"/>
      <c r="I393" s="112"/>
      <c r="J393" s="1"/>
    </row>
    <row r="394">
      <c r="A394" s="59">
        <f>HYPERLINK("https://polkadot.subsquare.io/treasury/proposals/441", 441)</f>
        <v>441</v>
      </c>
      <c r="B394" s="59">
        <f t="shared" si="5"/>
        <v>-1</v>
      </c>
      <c r="C394" s="1" t="s">
        <v>1013</v>
      </c>
      <c r="D394" s="69"/>
      <c r="E394" s="69">
        <v>45231.0</v>
      </c>
      <c r="F394" s="1" t="s">
        <v>2832</v>
      </c>
      <c r="G394" s="112"/>
      <c r="H394" s="112"/>
      <c r="I394" s="112"/>
      <c r="J394" s="1"/>
    </row>
    <row r="395">
      <c r="A395" s="59">
        <f>HYPERLINK("https://polkadot.subsquare.io/treasury/proposals/440", 440)</f>
        <v>440</v>
      </c>
      <c r="B395" s="59">
        <f t="shared" si="5"/>
        <v>-1</v>
      </c>
      <c r="C395" s="1" t="s">
        <v>1013</v>
      </c>
      <c r="D395" s="69"/>
      <c r="E395" s="69">
        <v>45231.0</v>
      </c>
      <c r="F395" s="1" t="s">
        <v>2832</v>
      </c>
      <c r="G395" s="112"/>
      <c r="H395" s="112"/>
      <c r="I395" s="112"/>
      <c r="J395" s="1"/>
    </row>
    <row r="396">
      <c r="A396" s="59">
        <f>HYPERLINK("https://polkadot.subsquare.io/treasury/proposals/439", 439)</f>
        <v>439</v>
      </c>
      <c r="B396" s="59">
        <f t="shared" si="5"/>
        <v>-1</v>
      </c>
      <c r="C396" s="1" t="s">
        <v>1013</v>
      </c>
      <c r="D396" s="69"/>
      <c r="E396" s="69">
        <v>45231.0</v>
      </c>
      <c r="F396" s="1" t="s">
        <v>2832</v>
      </c>
      <c r="G396" s="112"/>
      <c r="H396" s="112"/>
      <c r="I396" s="112"/>
      <c r="J396" s="1"/>
    </row>
    <row r="397">
      <c r="A397" s="59">
        <f>HYPERLINK("https://polkadot.subsquare.io/treasury/proposals/438", 438)</f>
        <v>438</v>
      </c>
      <c r="B397" s="59">
        <f t="shared" si="5"/>
        <v>-1</v>
      </c>
      <c r="C397" s="1" t="s">
        <v>1013</v>
      </c>
      <c r="D397" s="69"/>
      <c r="E397" s="69">
        <v>45231.0</v>
      </c>
      <c r="F397" s="1" t="s">
        <v>2832</v>
      </c>
      <c r="G397" s="112"/>
      <c r="H397" s="112"/>
      <c r="I397" s="112"/>
      <c r="J397" s="1"/>
    </row>
    <row r="398">
      <c r="A398" s="59">
        <f>HYPERLINK("https://polkadot.subsquare.io/treasury/proposals/437", 437)</f>
        <v>437</v>
      </c>
      <c r="B398" s="59">
        <f t="shared" si="5"/>
        <v>-1</v>
      </c>
      <c r="C398" s="1" t="s">
        <v>1013</v>
      </c>
      <c r="D398" s="69"/>
      <c r="E398" s="69">
        <v>45231.0</v>
      </c>
      <c r="F398" s="1" t="s">
        <v>2832</v>
      </c>
      <c r="G398" s="112"/>
      <c r="H398" s="112"/>
      <c r="I398" s="112"/>
      <c r="J398" s="1"/>
    </row>
    <row r="399">
      <c r="A399" s="59">
        <f>HYPERLINK("https://polkadot.subsquare.io/treasury/proposals/436", 436)</f>
        <v>436</v>
      </c>
      <c r="B399" s="59">
        <f t="shared" si="5"/>
        <v>-1</v>
      </c>
      <c r="C399" s="1" t="s">
        <v>1013</v>
      </c>
      <c r="D399" s="69"/>
      <c r="E399" s="69">
        <v>45231.0</v>
      </c>
      <c r="F399" s="1" t="s">
        <v>2832</v>
      </c>
      <c r="G399" s="112"/>
      <c r="H399" s="112"/>
      <c r="I399" s="112"/>
      <c r="J399" s="1"/>
    </row>
    <row r="400">
      <c r="A400" s="59">
        <f>HYPERLINK("https://polkadot.subsquare.io/treasury/proposals/435", 435)</f>
        <v>435</v>
      </c>
      <c r="B400" s="59">
        <f t="shared" si="5"/>
        <v>-1</v>
      </c>
      <c r="C400" s="1" t="s">
        <v>1013</v>
      </c>
      <c r="D400" s="69"/>
      <c r="E400" s="69">
        <v>45231.0</v>
      </c>
      <c r="F400" s="1" t="s">
        <v>2832</v>
      </c>
      <c r="G400" s="112"/>
      <c r="H400" s="112"/>
      <c r="I400" s="112"/>
      <c r="J400" s="1"/>
    </row>
    <row r="401">
      <c r="A401" s="59">
        <f>HYPERLINK("https://polkadot.subsquare.io/treasury/proposals/434", 434)</f>
        <v>434</v>
      </c>
      <c r="B401" s="59">
        <f t="shared" si="5"/>
        <v>-1</v>
      </c>
      <c r="C401" s="1" t="s">
        <v>1013</v>
      </c>
      <c r="D401" s="69"/>
      <c r="E401" s="69">
        <v>45231.0</v>
      </c>
      <c r="F401" s="1" t="s">
        <v>2832</v>
      </c>
      <c r="G401" s="112"/>
      <c r="H401" s="112"/>
      <c r="I401" s="112"/>
      <c r="J401" s="1"/>
    </row>
    <row r="402">
      <c r="A402" s="59">
        <f>HYPERLINK("https://polkadot.subsquare.io/treasury/proposals/433", 433)</f>
        <v>433</v>
      </c>
      <c r="B402" s="59">
        <f t="shared" si="5"/>
        <v>-1</v>
      </c>
      <c r="C402" s="1" t="s">
        <v>1013</v>
      </c>
      <c r="D402" s="69"/>
      <c r="E402" s="69">
        <v>45231.0</v>
      </c>
      <c r="F402" s="1" t="s">
        <v>2832</v>
      </c>
      <c r="G402" s="112"/>
      <c r="H402" s="112"/>
      <c r="I402" s="112"/>
      <c r="J402" s="1"/>
    </row>
    <row r="403">
      <c r="A403" s="59">
        <f>HYPERLINK("https://polkadot.subsquare.io/treasury/proposals/432", 432)</f>
        <v>432</v>
      </c>
      <c r="B403" s="59">
        <f t="shared" si="5"/>
        <v>-1</v>
      </c>
      <c r="C403" s="1" t="s">
        <v>1013</v>
      </c>
      <c r="D403" s="69"/>
      <c r="E403" s="69">
        <v>45231.0</v>
      </c>
      <c r="F403" s="1" t="s">
        <v>2832</v>
      </c>
      <c r="G403" s="112"/>
      <c r="H403" s="112"/>
      <c r="I403" s="112"/>
      <c r="J403" s="1"/>
    </row>
    <row r="404">
      <c r="A404" s="59">
        <f>HYPERLINK("https://polkadot.subsquare.io/treasury/proposals/431", 431)</f>
        <v>431</v>
      </c>
      <c r="B404" s="59">
        <f t="shared" si="5"/>
        <v>-1</v>
      </c>
      <c r="C404" s="1" t="s">
        <v>1013</v>
      </c>
      <c r="D404" s="69"/>
      <c r="E404" s="69">
        <v>45231.0</v>
      </c>
      <c r="F404" s="1" t="s">
        <v>2832</v>
      </c>
      <c r="G404" s="112"/>
      <c r="H404" s="112"/>
      <c r="I404" s="112"/>
      <c r="J404" s="1"/>
    </row>
    <row r="405">
      <c r="A405" s="59">
        <f>HYPERLINK("https://polkadot.subsquare.io/treasury/proposals/430", 430)</f>
        <v>430</v>
      </c>
      <c r="B405" s="59">
        <f t="shared" si="5"/>
        <v>-1</v>
      </c>
      <c r="C405" s="1" t="s">
        <v>1013</v>
      </c>
      <c r="D405" s="69"/>
      <c r="E405" s="69">
        <v>45231.0</v>
      </c>
      <c r="F405" s="1" t="s">
        <v>2832</v>
      </c>
      <c r="G405" s="112"/>
      <c r="H405" s="112"/>
      <c r="I405" s="112"/>
      <c r="J405" s="1"/>
    </row>
    <row r="406">
      <c r="A406" s="59">
        <f>HYPERLINK("https://polkadot.subsquare.io/treasury/proposals/429", 429)</f>
        <v>429</v>
      </c>
      <c r="B406" s="59">
        <f t="shared" si="5"/>
        <v>-1</v>
      </c>
      <c r="C406" s="1" t="s">
        <v>1013</v>
      </c>
      <c r="D406" s="69"/>
      <c r="E406" s="69">
        <v>45231.0</v>
      </c>
      <c r="F406" s="1" t="s">
        <v>2832</v>
      </c>
      <c r="G406" s="112"/>
      <c r="H406" s="112"/>
      <c r="I406" s="112"/>
      <c r="J406" s="1"/>
    </row>
    <row r="407">
      <c r="A407" s="59">
        <f>HYPERLINK("https://polkadot.subsquare.io/treasury/proposals/428", 428)</f>
        <v>428</v>
      </c>
      <c r="B407" s="59">
        <f t="shared" si="5"/>
        <v>-1</v>
      </c>
      <c r="C407" s="1" t="s">
        <v>1013</v>
      </c>
      <c r="D407" s="69"/>
      <c r="E407" s="69">
        <v>45231.0</v>
      </c>
      <c r="F407" s="1" t="s">
        <v>2832</v>
      </c>
      <c r="G407" s="112"/>
      <c r="H407" s="112"/>
      <c r="I407" s="112"/>
      <c r="J407" s="1"/>
    </row>
    <row r="408">
      <c r="A408" s="59">
        <f>HYPERLINK("https://polkadot.subsquare.io/treasury/proposals/427", 427)</f>
        <v>427</v>
      </c>
      <c r="B408" s="59">
        <f t="shared" si="5"/>
        <v>-1</v>
      </c>
      <c r="C408" s="1" t="s">
        <v>1013</v>
      </c>
      <c r="D408" s="69"/>
      <c r="E408" s="69">
        <v>45231.0</v>
      </c>
      <c r="F408" s="1" t="s">
        <v>2832</v>
      </c>
      <c r="G408" s="112"/>
      <c r="H408" s="112"/>
      <c r="I408" s="112"/>
      <c r="J408" s="1"/>
    </row>
    <row r="409">
      <c r="A409" s="59">
        <f>HYPERLINK("https://polkadot.subsquare.io/treasury/proposals/426", 426)</f>
        <v>426</v>
      </c>
      <c r="B409" s="59">
        <f t="shared" si="5"/>
        <v>-1</v>
      </c>
      <c r="C409" s="1" t="s">
        <v>1013</v>
      </c>
      <c r="D409" s="69"/>
      <c r="E409" s="69">
        <v>45231.0</v>
      </c>
      <c r="F409" s="1" t="s">
        <v>2832</v>
      </c>
      <c r="G409" s="112"/>
      <c r="H409" s="112"/>
      <c r="I409" s="112"/>
      <c r="J409" s="1"/>
    </row>
    <row r="410">
      <c r="A410" s="59">
        <f>HYPERLINK("https://polkadot.subsquare.io/treasury/proposals/425", 425)</f>
        <v>425</v>
      </c>
      <c r="B410" s="59">
        <f>HYPERLINK("https://polkadot.subsquare.io/referenda/158", 158)</f>
        <v>158</v>
      </c>
      <c r="C410" s="1" t="s">
        <v>1014</v>
      </c>
      <c r="D410" s="69">
        <v>45189.0</v>
      </c>
      <c r="E410" s="69">
        <v>45231.0</v>
      </c>
      <c r="F410" s="1" t="s">
        <v>2832</v>
      </c>
      <c r="G410" s="112"/>
      <c r="H410" s="112"/>
      <c r="I410" s="112"/>
      <c r="J410" s="1"/>
    </row>
    <row r="411">
      <c r="A411" s="59">
        <f>HYPERLINK("https://polkadot.subsquare.io/treasury/proposals/424", 424)</f>
        <v>424</v>
      </c>
      <c r="B411" s="59">
        <f>HYPERLINK("https://polkadot.subsquare.io/referenda/176", 176)</f>
        <v>176</v>
      </c>
      <c r="C411" s="1" t="s">
        <v>982</v>
      </c>
      <c r="D411" s="69">
        <v>45202.0</v>
      </c>
      <c r="E411" s="69">
        <v>45207.0</v>
      </c>
      <c r="F411" s="1" t="s">
        <v>2832</v>
      </c>
      <c r="G411" s="112"/>
      <c r="H411" s="112"/>
      <c r="I411" s="112"/>
      <c r="J411" s="1"/>
    </row>
    <row r="412">
      <c r="A412" s="59">
        <f>HYPERLINK("https://polkadot.subsquare.io/treasury/proposals/423", 423)</f>
        <v>423</v>
      </c>
      <c r="B412" s="59">
        <f>HYPERLINK("https://polkadot.subsquare.io/referenda/155", 155)</f>
        <v>155</v>
      </c>
      <c r="C412" s="1" t="s">
        <v>1012</v>
      </c>
      <c r="D412" s="69">
        <v>45187.0</v>
      </c>
      <c r="E412" s="69">
        <v>45207.0</v>
      </c>
      <c r="F412" s="1" t="s">
        <v>2832</v>
      </c>
      <c r="G412" s="112"/>
      <c r="H412" s="112"/>
      <c r="I412" s="112"/>
      <c r="J412" s="1"/>
    </row>
    <row r="413">
      <c r="A413" s="59">
        <f>HYPERLINK("https://polkadot.subsquare.io/treasury/proposals/422", 422)</f>
        <v>422</v>
      </c>
      <c r="B413" s="59">
        <f>HYPERLINK("https://polkadot.subsquare.io/referenda/141", 141)</f>
        <v>141</v>
      </c>
      <c r="C413" s="1" t="s">
        <v>1008</v>
      </c>
      <c r="D413" s="69">
        <v>45175.0</v>
      </c>
      <c r="E413" s="69">
        <v>45207.0</v>
      </c>
      <c r="F413" s="1" t="s">
        <v>2832</v>
      </c>
      <c r="G413" s="112"/>
      <c r="H413" s="112"/>
      <c r="I413" s="112"/>
      <c r="J413" s="1"/>
    </row>
    <row r="414">
      <c r="A414" s="59">
        <f>HYPERLINK("https://polkadot.subsquare.io/treasury/proposals/421", 421)</f>
        <v>421</v>
      </c>
      <c r="B414" s="59">
        <f>HYPERLINK("https://polkadot.subsquare.io/referenda/-1", -1)</f>
        <v>-1</v>
      </c>
      <c r="C414" s="1" t="s">
        <v>1022</v>
      </c>
      <c r="D414" s="69"/>
      <c r="E414" s="69">
        <v>45207.0</v>
      </c>
      <c r="F414" s="1" t="s">
        <v>2832</v>
      </c>
      <c r="G414" s="112"/>
      <c r="H414" s="112"/>
      <c r="I414" s="112"/>
      <c r="J414" s="1"/>
    </row>
    <row r="415">
      <c r="A415" s="59">
        <f>HYPERLINK("https://polkadot.subsquare.io/treasury/proposals/420", 420)</f>
        <v>420</v>
      </c>
      <c r="B415" s="59">
        <f>HYPERLINK("https://polkadot.subsquare.io/referenda/145", 145)</f>
        <v>145</v>
      </c>
      <c r="C415" s="1" t="s">
        <v>1009</v>
      </c>
      <c r="D415" s="69">
        <v>45177.0</v>
      </c>
      <c r="E415" s="69">
        <v>45207.0</v>
      </c>
      <c r="F415" s="1" t="s">
        <v>2832</v>
      </c>
      <c r="G415" s="112"/>
      <c r="H415" s="112"/>
      <c r="I415" s="112"/>
      <c r="J415" s="1"/>
    </row>
    <row r="416">
      <c r="A416" s="59">
        <f>HYPERLINK("https://polkadot.subsquare.io/treasury/proposals/419", 419)</f>
        <v>419</v>
      </c>
      <c r="B416" s="59">
        <f>HYPERLINK("https://polkadot.subsquare.io/referenda/164", 164)</f>
        <v>164</v>
      </c>
      <c r="C416" s="1" t="s">
        <v>982</v>
      </c>
      <c r="D416" s="69">
        <v>45196.0</v>
      </c>
      <c r="E416" s="69">
        <v>45207.0</v>
      </c>
      <c r="F416" s="1" t="s">
        <v>2832</v>
      </c>
      <c r="G416" s="112"/>
      <c r="H416" s="112"/>
      <c r="I416" s="112"/>
      <c r="J416" s="1"/>
    </row>
    <row r="417">
      <c r="A417" s="59">
        <f>HYPERLINK("https://polkadot.subsquare.io/treasury/proposals/418", 418)</f>
        <v>418</v>
      </c>
      <c r="B417" s="59">
        <f>HYPERLINK("https://polkadot.subsquare.io/referenda/140", 140)</f>
        <v>140</v>
      </c>
      <c r="C417" s="1" t="s">
        <v>1006</v>
      </c>
      <c r="D417" s="69">
        <v>45174.0</v>
      </c>
      <c r="E417" s="69">
        <v>45207.0</v>
      </c>
      <c r="F417" s="1" t="s">
        <v>2832</v>
      </c>
      <c r="G417" s="112"/>
      <c r="H417" s="112"/>
      <c r="I417" s="112"/>
      <c r="J417" s="1"/>
    </row>
    <row r="418">
      <c r="A418" s="59">
        <f>HYPERLINK("https://polkadot.subsquare.io/treasury/proposals/417", 417)</f>
        <v>417</v>
      </c>
      <c r="B418" s="59">
        <f>HYPERLINK("https://polkadot.subsquare.io/referenda/137", 137)</f>
        <v>137</v>
      </c>
      <c r="C418" s="1" t="s">
        <v>1005</v>
      </c>
      <c r="D418" s="69">
        <v>45169.0</v>
      </c>
      <c r="E418" s="69">
        <v>45207.0</v>
      </c>
      <c r="F418" s="1" t="s">
        <v>2832</v>
      </c>
      <c r="G418" s="112"/>
      <c r="H418" s="112"/>
      <c r="I418" s="112"/>
      <c r="J418" s="1"/>
    </row>
    <row r="419">
      <c r="A419" s="59">
        <f>HYPERLINK("https://polkadot.subsquare.io/treasury/proposals/416", 416)</f>
        <v>416</v>
      </c>
      <c r="B419" s="59">
        <f>HYPERLINK("https://polkadot.subsquare.io/referenda/152", 152)</f>
        <v>152</v>
      </c>
      <c r="C419" s="1" t="s">
        <v>1010</v>
      </c>
      <c r="D419" s="69">
        <v>45185.0</v>
      </c>
      <c r="E419" s="69">
        <v>45207.0</v>
      </c>
      <c r="F419" s="1" t="s">
        <v>2832</v>
      </c>
      <c r="G419" s="112"/>
      <c r="H419" s="112"/>
      <c r="I419" s="112"/>
      <c r="J419" s="1"/>
    </row>
    <row r="420">
      <c r="A420" s="59">
        <f>HYPERLINK("https://polkadot.subsquare.io/treasury/proposals/415", 415)</f>
        <v>415</v>
      </c>
      <c r="B420" s="59">
        <f>HYPERLINK("https://polkadot.subsquare.io/referenda/134", 134)</f>
        <v>134</v>
      </c>
      <c r="C420" s="1" t="s">
        <v>1003</v>
      </c>
      <c r="D420" s="69">
        <v>45163.0</v>
      </c>
      <c r="E420" s="69">
        <v>45207.0</v>
      </c>
      <c r="F420" s="1" t="s">
        <v>2832</v>
      </c>
      <c r="G420" s="112"/>
      <c r="H420" s="112"/>
      <c r="I420" s="112"/>
      <c r="J420" s="1"/>
    </row>
    <row r="421">
      <c r="A421" s="59">
        <f>HYPERLINK("https://polkadot.subsquare.io/treasury/proposals/414", 414)</f>
        <v>414</v>
      </c>
      <c r="B421" s="59">
        <f>HYPERLINK("https://polkadot.subsquare.io/referenda/124", 124)</f>
        <v>124</v>
      </c>
      <c r="C421" s="1" t="s">
        <v>1001</v>
      </c>
      <c r="D421" s="69">
        <v>45160.0</v>
      </c>
      <c r="E421" s="69">
        <v>45207.0</v>
      </c>
      <c r="F421" s="1" t="s">
        <v>2832</v>
      </c>
      <c r="G421" s="112"/>
      <c r="H421" s="112"/>
      <c r="I421" s="112"/>
      <c r="J421" s="1"/>
    </row>
    <row r="422">
      <c r="A422" s="59">
        <f>HYPERLINK("https://polkadot.subsquare.io/treasury/proposals/413", 413)</f>
        <v>413</v>
      </c>
      <c r="B422" s="59">
        <f>HYPERLINK("https://polkadot.subsquare.io/referenda/125", 125)</f>
        <v>125</v>
      </c>
      <c r="C422" s="1" t="s">
        <v>2843</v>
      </c>
      <c r="D422" s="69">
        <v>45160.0</v>
      </c>
      <c r="E422" s="69">
        <v>45207.0</v>
      </c>
      <c r="F422" s="1" t="s">
        <v>2832</v>
      </c>
      <c r="G422" s="112"/>
      <c r="H422" s="112"/>
      <c r="I422" s="112"/>
      <c r="J422" s="1"/>
    </row>
    <row r="423">
      <c r="A423" s="59">
        <f>HYPERLINK("https://polkadot.subsquare.io/treasury/proposals/412", 412)</f>
        <v>412</v>
      </c>
      <c r="B423" s="59">
        <f>HYPERLINK("https://polkadot.subsquare.io/referenda/119", 119)</f>
        <v>119</v>
      </c>
      <c r="C423" s="1" t="s">
        <v>998</v>
      </c>
      <c r="D423" s="69">
        <v>45155.0</v>
      </c>
      <c r="E423" s="69">
        <v>45207.0</v>
      </c>
      <c r="F423" s="1" t="s">
        <v>2832</v>
      </c>
      <c r="G423" s="112"/>
      <c r="H423" s="112"/>
      <c r="I423" s="112"/>
      <c r="J423" s="1"/>
    </row>
    <row r="424">
      <c r="A424" s="59">
        <f>HYPERLINK("https://polkadot.subsquare.io/treasury/proposals/411", 411)</f>
        <v>411</v>
      </c>
      <c r="B424" s="59">
        <f>HYPERLINK("https://polkadot.subsquare.io/referenda/120", 120)</f>
        <v>120</v>
      </c>
      <c r="C424" s="1" t="s">
        <v>999</v>
      </c>
      <c r="D424" s="69">
        <v>45156.0</v>
      </c>
      <c r="E424" s="69">
        <v>45183.0</v>
      </c>
      <c r="F424" s="1" t="s">
        <v>2832</v>
      </c>
      <c r="G424" s="112"/>
      <c r="H424" s="112"/>
      <c r="I424" s="112"/>
      <c r="J424" s="1"/>
    </row>
    <row r="425">
      <c r="A425" s="59">
        <f>HYPERLINK("https://polkadot.subsquare.io/treasury/proposals/410", 410)</f>
        <v>410</v>
      </c>
      <c r="B425" s="59">
        <f>HYPERLINK("https://polkadot.subsquare.io/referenda/118", 118)</f>
        <v>118</v>
      </c>
      <c r="C425" s="1" t="s">
        <v>997</v>
      </c>
      <c r="D425" s="69">
        <v>45155.0</v>
      </c>
      <c r="E425" s="69">
        <v>45183.0</v>
      </c>
      <c r="F425" s="1" t="s">
        <v>2832</v>
      </c>
      <c r="G425" s="112"/>
      <c r="H425" s="112"/>
      <c r="I425" s="112"/>
      <c r="J425" s="1"/>
    </row>
    <row r="426">
      <c r="A426" s="59">
        <f>HYPERLINK("https://polkadot.subsquare.io/treasury/proposals/409", 409)</f>
        <v>409</v>
      </c>
      <c r="B426" s="59">
        <f>HYPERLINK("https://polkadot.subsquare.io/referenda/103", 103)</f>
        <v>103</v>
      </c>
      <c r="C426" s="1" t="s">
        <v>991</v>
      </c>
      <c r="D426" s="69">
        <v>45146.0</v>
      </c>
      <c r="E426" s="69">
        <v>45183.0</v>
      </c>
      <c r="F426" s="1" t="s">
        <v>2832</v>
      </c>
      <c r="G426" s="112"/>
      <c r="H426" s="112"/>
      <c r="I426" s="112"/>
      <c r="J426" s="1"/>
    </row>
    <row r="427">
      <c r="A427" s="59">
        <f>HYPERLINK("https://polkadot.subsquare.io/treasury/proposals/408", 408)</f>
        <v>408</v>
      </c>
      <c r="B427" s="59">
        <f>HYPERLINK("https://polkadot.subsquare.io/referenda/136", 136)</f>
        <v>136</v>
      </c>
      <c r="C427" s="1" t="s">
        <v>1004</v>
      </c>
      <c r="D427" s="69">
        <v>45168.0</v>
      </c>
      <c r="E427" s="69">
        <v>45183.0</v>
      </c>
      <c r="F427" s="1" t="s">
        <v>2832</v>
      </c>
      <c r="G427" s="112"/>
      <c r="H427" s="112"/>
      <c r="I427" s="112"/>
      <c r="J427" s="1"/>
    </row>
    <row r="428">
      <c r="A428" s="59">
        <f>HYPERLINK("https://polkadot.subsquare.io/treasury/proposals/407", 407)</f>
        <v>407</v>
      </c>
      <c r="B428" s="59">
        <f>HYPERLINK("https://polkadot.subsquare.io/referenda/97", 97)</f>
        <v>97</v>
      </c>
      <c r="C428" s="1" t="s">
        <v>988</v>
      </c>
      <c r="D428" s="69">
        <v>45141.0</v>
      </c>
      <c r="E428" s="69">
        <v>45183.0</v>
      </c>
      <c r="F428" s="1" t="s">
        <v>2832</v>
      </c>
      <c r="G428" s="112"/>
      <c r="H428" s="112"/>
      <c r="I428" s="112"/>
      <c r="J428" s="1"/>
    </row>
    <row r="429">
      <c r="A429" s="59">
        <f>HYPERLINK("https://polkadot.subsquare.io/treasury/proposals/406", 406)</f>
        <v>406</v>
      </c>
      <c r="B429" s="59">
        <f>HYPERLINK("https://polkadot.subsquare.io/referenda/105", 105)</f>
        <v>105</v>
      </c>
      <c r="C429" s="1" t="s">
        <v>992</v>
      </c>
      <c r="D429" s="69">
        <v>45146.0</v>
      </c>
      <c r="E429" s="69">
        <v>45183.0</v>
      </c>
      <c r="F429" s="1" t="s">
        <v>2832</v>
      </c>
      <c r="G429" s="112"/>
      <c r="H429" s="112"/>
      <c r="I429" s="112"/>
      <c r="J429" s="1"/>
    </row>
    <row r="430">
      <c r="A430" s="59">
        <f>HYPERLINK("https://polkadot.subsquare.io/treasury/proposals/405", 405)</f>
        <v>405</v>
      </c>
      <c r="B430" s="59">
        <f>HYPERLINK("https://polkadot.subsquare.io/referenda/98", 98)</f>
        <v>98</v>
      </c>
      <c r="C430" s="1" t="s">
        <v>989</v>
      </c>
      <c r="D430" s="69">
        <v>45142.0</v>
      </c>
      <c r="E430" s="69">
        <v>45183.0</v>
      </c>
      <c r="F430" s="1" t="s">
        <v>2832</v>
      </c>
      <c r="G430" s="112"/>
      <c r="H430" s="112"/>
      <c r="I430" s="112"/>
      <c r="J430" s="1"/>
    </row>
    <row r="431">
      <c r="A431" s="59">
        <f>HYPERLINK("https://polkadot.subsquare.io/treasury/proposals/404", 404)</f>
        <v>404</v>
      </c>
      <c r="B431" s="59">
        <f>HYPERLINK("https://polkadot.subsquare.io/referenda/93", 93)</f>
        <v>93</v>
      </c>
      <c r="C431" s="1" t="s">
        <v>986</v>
      </c>
      <c r="D431" s="69">
        <v>45139.0</v>
      </c>
      <c r="E431" s="69">
        <v>45183.0</v>
      </c>
      <c r="F431" s="1" t="s">
        <v>2832</v>
      </c>
      <c r="G431" s="112"/>
      <c r="H431" s="112"/>
      <c r="I431" s="112"/>
      <c r="J431" s="1"/>
    </row>
    <row r="432">
      <c r="A432" s="59">
        <f>HYPERLINK("https://polkadot.subsquare.io/treasury/proposals/403", 403)</f>
        <v>403</v>
      </c>
      <c r="B432" s="59">
        <f>HYPERLINK("https://polkadot.subsquare.io/referenda/123", 123)</f>
        <v>123</v>
      </c>
      <c r="C432" s="1" t="s">
        <v>1000</v>
      </c>
      <c r="D432" s="69">
        <v>45160.0</v>
      </c>
      <c r="E432" s="69">
        <v>45183.0</v>
      </c>
      <c r="F432" s="1" t="s">
        <v>2832</v>
      </c>
      <c r="G432" s="112"/>
      <c r="H432" s="112"/>
      <c r="I432" s="112"/>
      <c r="J432" s="1"/>
    </row>
    <row r="433">
      <c r="A433" s="59">
        <f>HYPERLINK("https://polkadot.subsquare.io/treasury/proposals/402", 402)</f>
        <v>402</v>
      </c>
      <c r="B433" s="59">
        <f>HYPERLINK("https://polkadot.subsquare.io/referenda/90", 90)</f>
        <v>90</v>
      </c>
      <c r="C433" s="1" t="s">
        <v>985</v>
      </c>
      <c r="D433" s="69">
        <v>45138.0</v>
      </c>
      <c r="E433" s="69">
        <v>45183.0</v>
      </c>
      <c r="F433" s="1" t="s">
        <v>2832</v>
      </c>
      <c r="G433" s="112"/>
      <c r="H433" s="112"/>
      <c r="I433" s="112"/>
      <c r="J433" s="1"/>
    </row>
    <row r="434">
      <c r="A434" s="59">
        <f>HYPERLINK("https://polkadot.subsquare.io/treasury/proposals/401", 401)</f>
        <v>401</v>
      </c>
      <c r="B434" s="59">
        <f>HYPERLINK("https://polkadot.subsquare.io/referenda/115", 115)</f>
        <v>115</v>
      </c>
      <c r="C434" s="1" t="s">
        <v>996</v>
      </c>
      <c r="D434" s="69">
        <v>45154.0</v>
      </c>
      <c r="E434" s="69">
        <v>45183.0</v>
      </c>
      <c r="F434" s="1" t="s">
        <v>2832</v>
      </c>
      <c r="G434" s="112"/>
      <c r="H434" s="112"/>
      <c r="I434" s="112"/>
      <c r="J434" s="1"/>
    </row>
    <row r="435">
      <c r="A435" s="59">
        <f>HYPERLINK("https://polkadot.subsquare.io/treasury/proposals/400", 400)</f>
        <v>400</v>
      </c>
      <c r="B435" s="59">
        <f>HYPERLINK("https://polkadot.subsquare.io/referenda/114", 114)</f>
        <v>114</v>
      </c>
      <c r="C435" s="1" t="s">
        <v>995</v>
      </c>
      <c r="D435" s="69">
        <v>45154.0</v>
      </c>
      <c r="E435" s="69">
        <v>45158.0</v>
      </c>
      <c r="F435" s="1" t="s">
        <v>2832</v>
      </c>
      <c r="G435" s="112"/>
      <c r="H435" s="112"/>
      <c r="I435" s="112"/>
      <c r="J435" s="1"/>
    </row>
    <row r="436">
      <c r="A436" s="59">
        <f>HYPERLINK("https://polkadot.subsquare.io/treasury/proposals/399", 399)</f>
        <v>399</v>
      </c>
      <c r="B436" s="59">
        <f>HYPERLINK("https://polkadot.subsquare.io/referenda/108", 108)</f>
        <v>108</v>
      </c>
      <c r="C436" s="1" t="s">
        <v>982</v>
      </c>
      <c r="D436" s="69">
        <v>45152.0</v>
      </c>
      <c r="E436" s="69">
        <v>45158.0</v>
      </c>
      <c r="F436" s="1" t="s">
        <v>2832</v>
      </c>
      <c r="G436" s="112"/>
      <c r="H436" s="112"/>
      <c r="I436" s="112"/>
      <c r="J436" s="1"/>
    </row>
    <row r="437">
      <c r="A437" s="59">
        <f>HYPERLINK("https://polkadot.subsquare.io/treasury/proposals/398", 398)</f>
        <v>398</v>
      </c>
      <c r="B437" s="59">
        <f t="shared" ref="B437:B438" si="6">HYPERLINK("https://polkadot.subsquare.io/referenda/-1", -1)</f>
        <v>-1</v>
      </c>
      <c r="C437" s="1" t="s">
        <v>993</v>
      </c>
      <c r="D437" s="69"/>
      <c r="E437" s="69">
        <v>45158.0</v>
      </c>
      <c r="F437" s="1" t="s">
        <v>2832</v>
      </c>
      <c r="G437" s="112"/>
      <c r="H437" s="112"/>
      <c r="I437" s="112"/>
      <c r="J437" s="1"/>
    </row>
    <row r="438">
      <c r="A438" s="59">
        <f>HYPERLINK("https://polkadot.subsquare.io/treasury/proposals/397", 397)</f>
        <v>397</v>
      </c>
      <c r="B438" s="59">
        <f t="shared" si="6"/>
        <v>-1</v>
      </c>
      <c r="C438" s="1" t="s">
        <v>994</v>
      </c>
      <c r="D438" s="69"/>
      <c r="E438" s="69">
        <v>45158.0</v>
      </c>
      <c r="F438" s="1" t="s">
        <v>2832</v>
      </c>
      <c r="G438" s="112"/>
      <c r="H438" s="112"/>
      <c r="I438" s="112"/>
      <c r="J438" s="1"/>
    </row>
    <row r="439">
      <c r="A439" s="59">
        <f>HYPERLINK("https://polkadot.subsquare.io/treasury/proposals/396", 396)</f>
        <v>396</v>
      </c>
      <c r="B439" s="59">
        <f>HYPERLINK("https://polkadot.subsquare.io/referenda/85", 85)</f>
        <v>85</v>
      </c>
      <c r="C439" s="1" t="s">
        <v>984</v>
      </c>
      <c r="D439" s="69">
        <v>45127.0</v>
      </c>
      <c r="E439" s="69">
        <v>45158.0</v>
      </c>
      <c r="F439" s="1" t="s">
        <v>2832</v>
      </c>
      <c r="G439" s="112"/>
      <c r="H439" s="112"/>
      <c r="I439" s="112"/>
      <c r="J439" s="1"/>
    </row>
    <row r="440">
      <c r="A440" s="59">
        <f>HYPERLINK("https://polkadot.subsquare.io/treasury/proposals/395", 395)</f>
        <v>395</v>
      </c>
      <c r="B440" s="59">
        <f>HYPERLINK("https://polkadot.subsquare.io/referenda/77", 77)</f>
        <v>77</v>
      </c>
      <c r="C440" s="1" t="s">
        <v>981</v>
      </c>
      <c r="D440" s="69">
        <v>45124.0</v>
      </c>
      <c r="E440" s="69">
        <v>45158.0</v>
      </c>
      <c r="F440" s="1" t="s">
        <v>2832</v>
      </c>
      <c r="G440" s="112"/>
      <c r="H440" s="112"/>
      <c r="I440" s="112"/>
      <c r="J440" s="1"/>
    </row>
    <row r="441">
      <c r="A441" s="59">
        <f>HYPERLINK("https://polkadot.subsquare.io/treasury/proposals/394", 394)</f>
        <v>394</v>
      </c>
      <c r="B441" s="59">
        <f>HYPERLINK("https://polkadot.subsquare.io/referenda/-1", -1)</f>
        <v>-1</v>
      </c>
      <c r="C441" s="1" t="s">
        <v>990</v>
      </c>
      <c r="D441" s="69"/>
      <c r="E441" s="69">
        <v>45158.0</v>
      </c>
      <c r="F441" s="1" t="s">
        <v>2832</v>
      </c>
      <c r="G441" s="112"/>
      <c r="H441" s="112"/>
      <c r="I441" s="112"/>
      <c r="J441" s="1"/>
    </row>
    <row r="442">
      <c r="A442" s="59">
        <f>HYPERLINK("https://polkadot.subsquare.io/treasury/proposals/393", 393)</f>
        <v>393</v>
      </c>
      <c r="B442" s="59">
        <f>HYPERLINK("https://polkadot.subsquare.io/referenda/82", 82)</f>
        <v>82</v>
      </c>
      <c r="C442" s="1" t="s">
        <v>983</v>
      </c>
      <c r="D442" s="69">
        <v>45125.0</v>
      </c>
      <c r="E442" s="69">
        <v>45158.0</v>
      </c>
      <c r="F442" s="1" t="s">
        <v>2832</v>
      </c>
      <c r="G442" s="112"/>
      <c r="H442" s="112"/>
      <c r="I442" s="112"/>
      <c r="J442" s="1"/>
    </row>
    <row r="443">
      <c r="A443" s="59">
        <f>HYPERLINK("https://polkadot.subsquare.io/treasury/proposals/392", 392)</f>
        <v>392</v>
      </c>
      <c r="B443" s="59">
        <f>HYPERLINK("https://polkadot.subsquare.io/referenda/73", 73)</f>
        <v>73</v>
      </c>
      <c r="C443" s="1" t="s">
        <v>979</v>
      </c>
      <c r="D443" s="69">
        <v>45120.0</v>
      </c>
      <c r="E443" s="69">
        <v>45158.0</v>
      </c>
      <c r="F443" s="1" t="s">
        <v>2832</v>
      </c>
      <c r="G443" s="112"/>
      <c r="H443" s="112"/>
      <c r="I443" s="112"/>
      <c r="J443" s="1"/>
    </row>
    <row r="444">
      <c r="A444" s="59">
        <f>HYPERLINK("https://polkadot.subsquare.io/treasury/proposals/391", 391)</f>
        <v>391</v>
      </c>
      <c r="B444" s="59">
        <f t="shared" ref="B444:B476" si="7">HYPERLINK("https://polkadot.subsquare.io/referenda/-1", -1)</f>
        <v>-1</v>
      </c>
      <c r="C444" s="1" t="s">
        <v>979</v>
      </c>
      <c r="D444" s="69"/>
      <c r="E444" s="69">
        <v>45158.0</v>
      </c>
      <c r="F444" s="1" t="s">
        <v>2832</v>
      </c>
      <c r="G444" s="112"/>
      <c r="H444" s="112"/>
      <c r="I444" s="112"/>
      <c r="J444" s="1"/>
    </row>
    <row r="445">
      <c r="A445" s="59">
        <f>HYPERLINK("https://polkadot.subsquare.io/treasury/proposals/390", 390)</f>
        <v>390</v>
      </c>
      <c r="B445" s="59">
        <f t="shared" si="7"/>
        <v>-1</v>
      </c>
      <c r="C445" s="1" t="s">
        <v>979</v>
      </c>
      <c r="D445" s="69"/>
      <c r="E445" s="69">
        <v>45158.0</v>
      </c>
      <c r="F445" s="1" t="s">
        <v>2832</v>
      </c>
      <c r="G445" s="112"/>
      <c r="H445" s="112"/>
      <c r="I445" s="112"/>
      <c r="J445" s="1"/>
    </row>
    <row r="446">
      <c r="A446" s="59">
        <f>HYPERLINK("https://polkadot.subsquare.io/treasury/proposals/389", 389)</f>
        <v>389</v>
      </c>
      <c r="B446" s="59">
        <f t="shared" si="7"/>
        <v>-1</v>
      </c>
      <c r="C446" s="1" t="s">
        <v>979</v>
      </c>
      <c r="D446" s="69"/>
      <c r="E446" s="69">
        <v>45158.0</v>
      </c>
      <c r="F446" s="1" t="s">
        <v>2832</v>
      </c>
      <c r="G446" s="112"/>
      <c r="H446" s="112"/>
      <c r="I446" s="112"/>
      <c r="J446" s="1"/>
    </row>
    <row r="447">
      <c r="A447" s="59">
        <f>HYPERLINK("https://polkadot.subsquare.io/treasury/proposals/388", 388)</f>
        <v>388</v>
      </c>
      <c r="B447" s="59">
        <f t="shared" si="7"/>
        <v>-1</v>
      </c>
      <c r="C447" s="1" t="s">
        <v>979</v>
      </c>
      <c r="D447" s="69"/>
      <c r="E447" s="69">
        <v>45158.0</v>
      </c>
      <c r="F447" s="1" t="s">
        <v>2832</v>
      </c>
      <c r="G447" s="112"/>
      <c r="H447" s="112"/>
      <c r="I447" s="112"/>
      <c r="J447" s="1"/>
    </row>
    <row r="448">
      <c r="A448" s="59">
        <f>HYPERLINK("https://polkadot.subsquare.io/treasury/proposals/387", 387)</f>
        <v>387</v>
      </c>
      <c r="B448" s="59">
        <f t="shared" si="7"/>
        <v>-1</v>
      </c>
      <c r="C448" s="1" t="s">
        <v>979</v>
      </c>
      <c r="D448" s="69"/>
      <c r="E448" s="69">
        <v>45158.0</v>
      </c>
      <c r="F448" s="1" t="s">
        <v>2832</v>
      </c>
      <c r="G448" s="112"/>
      <c r="H448" s="112"/>
      <c r="I448" s="112"/>
      <c r="J448" s="1"/>
    </row>
    <row r="449">
      <c r="A449" s="59">
        <f>HYPERLINK("https://polkadot.subsquare.io/treasury/proposals/386", 386)</f>
        <v>386</v>
      </c>
      <c r="B449" s="59">
        <f t="shared" si="7"/>
        <v>-1</v>
      </c>
      <c r="C449" s="1" t="s">
        <v>979</v>
      </c>
      <c r="D449" s="69"/>
      <c r="E449" s="69">
        <v>45158.0</v>
      </c>
      <c r="F449" s="1" t="s">
        <v>2832</v>
      </c>
      <c r="G449" s="112"/>
      <c r="H449" s="112"/>
      <c r="I449" s="112"/>
      <c r="J449" s="1"/>
    </row>
    <row r="450">
      <c r="A450" s="59">
        <f>HYPERLINK("https://polkadot.subsquare.io/treasury/proposals/385", 385)</f>
        <v>385</v>
      </c>
      <c r="B450" s="59">
        <f t="shared" si="7"/>
        <v>-1</v>
      </c>
      <c r="C450" s="1" t="s">
        <v>979</v>
      </c>
      <c r="D450" s="69"/>
      <c r="E450" s="69">
        <v>45158.0</v>
      </c>
      <c r="F450" s="1" t="s">
        <v>2832</v>
      </c>
      <c r="G450" s="112"/>
      <c r="H450" s="112"/>
      <c r="I450" s="112"/>
      <c r="J450" s="1"/>
    </row>
    <row r="451">
      <c r="A451" s="59">
        <f>HYPERLINK("https://polkadot.subsquare.io/treasury/proposals/384", 384)</f>
        <v>384</v>
      </c>
      <c r="B451" s="59">
        <f t="shared" si="7"/>
        <v>-1</v>
      </c>
      <c r="C451" s="1" t="s">
        <v>979</v>
      </c>
      <c r="D451" s="69"/>
      <c r="E451" s="69">
        <v>45158.0</v>
      </c>
      <c r="F451" s="1" t="s">
        <v>2832</v>
      </c>
      <c r="G451" s="112"/>
      <c r="H451" s="112"/>
      <c r="I451" s="112"/>
      <c r="J451" s="1"/>
    </row>
    <row r="452">
      <c r="A452" s="59">
        <f>HYPERLINK("https://polkadot.subsquare.io/treasury/proposals/383", 383)</f>
        <v>383</v>
      </c>
      <c r="B452" s="59">
        <f t="shared" si="7"/>
        <v>-1</v>
      </c>
      <c r="C452" s="1" t="s">
        <v>979</v>
      </c>
      <c r="D452" s="69"/>
      <c r="E452" s="69">
        <v>45158.0</v>
      </c>
      <c r="F452" s="1" t="s">
        <v>2832</v>
      </c>
      <c r="G452" s="112"/>
      <c r="H452" s="112"/>
      <c r="I452" s="112"/>
      <c r="J452" s="1"/>
    </row>
    <row r="453">
      <c r="A453" s="59">
        <f>HYPERLINK("https://polkadot.subsquare.io/treasury/proposals/382", 382)</f>
        <v>382</v>
      </c>
      <c r="B453" s="59">
        <f t="shared" si="7"/>
        <v>-1</v>
      </c>
      <c r="C453" s="1" t="s">
        <v>979</v>
      </c>
      <c r="D453" s="69"/>
      <c r="E453" s="69">
        <v>45158.0</v>
      </c>
      <c r="F453" s="1" t="s">
        <v>2832</v>
      </c>
      <c r="G453" s="112"/>
      <c r="H453" s="112"/>
      <c r="I453" s="112"/>
      <c r="J453" s="1"/>
    </row>
    <row r="454">
      <c r="A454" s="59">
        <f>HYPERLINK("https://polkadot.subsquare.io/treasury/proposals/381", 381)</f>
        <v>381</v>
      </c>
      <c r="B454" s="59">
        <f t="shared" si="7"/>
        <v>-1</v>
      </c>
      <c r="C454" s="1" t="s">
        <v>979</v>
      </c>
      <c r="D454" s="69"/>
      <c r="E454" s="69">
        <v>45158.0</v>
      </c>
      <c r="F454" s="1" t="s">
        <v>2832</v>
      </c>
      <c r="G454" s="112"/>
      <c r="H454" s="112"/>
      <c r="I454" s="112"/>
      <c r="J454" s="1"/>
    </row>
    <row r="455">
      <c r="A455" s="59">
        <f>HYPERLINK("https://polkadot.subsquare.io/treasury/proposals/380", 380)</f>
        <v>380</v>
      </c>
      <c r="B455" s="59">
        <f t="shared" si="7"/>
        <v>-1</v>
      </c>
      <c r="C455" s="1" t="s">
        <v>979</v>
      </c>
      <c r="D455" s="69"/>
      <c r="E455" s="69">
        <v>45158.0</v>
      </c>
      <c r="F455" s="1" t="s">
        <v>2832</v>
      </c>
      <c r="G455" s="112"/>
      <c r="H455" s="112"/>
      <c r="I455" s="112"/>
      <c r="J455" s="1"/>
    </row>
    <row r="456">
      <c r="A456" s="59">
        <f>HYPERLINK("https://polkadot.subsquare.io/treasury/proposals/379", 379)</f>
        <v>379</v>
      </c>
      <c r="B456" s="59">
        <f t="shared" si="7"/>
        <v>-1</v>
      </c>
      <c r="C456" s="1" t="s">
        <v>979</v>
      </c>
      <c r="D456" s="69"/>
      <c r="E456" s="69">
        <v>45158.0</v>
      </c>
      <c r="F456" s="1" t="s">
        <v>2832</v>
      </c>
      <c r="G456" s="112"/>
      <c r="H456" s="112"/>
      <c r="I456" s="112"/>
      <c r="J456" s="1"/>
    </row>
    <row r="457">
      <c r="A457" s="59">
        <f>HYPERLINK("https://polkadot.subsquare.io/treasury/proposals/378", 378)</f>
        <v>378</v>
      </c>
      <c r="B457" s="59">
        <f t="shared" si="7"/>
        <v>-1</v>
      </c>
      <c r="C457" s="1" t="s">
        <v>979</v>
      </c>
      <c r="D457" s="69"/>
      <c r="E457" s="69">
        <v>45158.0</v>
      </c>
      <c r="F457" s="1" t="s">
        <v>2832</v>
      </c>
      <c r="G457" s="112"/>
      <c r="H457" s="112"/>
      <c r="I457" s="112"/>
      <c r="J457" s="1"/>
    </row>
    <row r="458">
      <c r="A458" s="59">
        <f>HYPERLINK("https://polkadot.subsquare.io/treasury/proposals/377", 377)</f>
        <v>377</v>
      </c>
      <c r="B458" s="59">
        <f t="shared" si="7"/>
        <v>-1</v>
      </c>
      <c r="C458" s="1" t="s">
        <v>979</v>
      </c>
      <c r="D458" s="69"/>
      <c r="E458" s="69">
        <v>45158.0</v>
      </c>
      <c r="F458" s="1" t="s">
        <v>2832</v>
      </c>
      <c r="G458" s="112"/>
      <c r="H458" s="112"/>
      <c r="I458" s="112"/>
      <c r="J458" s="1"/>
    </row>
    <row r="459">
      <c r="A459" s="59">
        <f>HYPERLINK("https://polkadot.subsquare.io/treasury/proposals/376", 376)</f>
        <v>376</v>
      </c>
      <c r="B459" s="59">
        <f t="shared" si="7"/>
        <v>-1</v>
      </c>
      <c r="C459" s="1" t="s">
        <v>979</v>
      </c>
      <c r="D459" s="69"/>
      <c r="E459" s="69">
        <v>45158.0</v>
      </c>
      <c r="F459" s="1" t="s">
        <v>2832</v>
      </c>
      <c r="G459" s="112"/>
      <c r="H459" s="112"/>
      <c r="I459" s="112"/>
      <c r="J459" s="1"/>
    </row>
    <row r="460">
      <c r="A460" s="59">
        <f>HYPERLINK("https://polkadot.subsquare.io/treasury/proposals/375", 375)</f>
        <v>375</v>
      </c>
      <c r="B460" s="59">
        <f t="shared" si="7"/>
        <v>-1</v>
      </c>
      <c r="C460" s="1" t="s">
        <v>979</v>
      </c>
      <c r="D460" s="69"/>
      <c r="E460" s="69">
        <v>45158.0</v>
      </c>
      <c r="F460" s="1" t="s">
        <v>2832</v>
      </c>
      <c r="G460" s="112"/>
      <c r="H460" s="112"/>
      <c r="I460" s="112"/>
      <c r="J460" s="1"/>
    </row>
    <row r="461">
      <c r="A461" s="59">
        <f>HYPERLINK("https://polkadot.subsquare.io/treasury/proposals/374", 374)</f>
        <v>374</v>
      </c>
      <c r="B461" s="59">
        <f t="shared" si="7"/>
        <v>-1</v>
      </c>
      <c r="C461" s="1" t="s">
        <v>979</v>
      </c>
      <c r="D461" s="69"/>
      <c r="E461" s="69">
        <v>45158.0</v>
      </c>
      <c r="F461" s="1" t="s">
        <v>2832</v>
      </c>
      <c r="G461" s="112"/>
      <c r="H461" s="112"/>
      <c r="I461" s="112"/>
      <c r="J461" s="1"/>
    </row>
    <row r="462">
      <c r="A462" s="59">
        <f>HYPERLINK("https://polkadot.subsquare.io/treasury/proposals/373", 373)</f>
        <v>373</v>
      </c>
      <c r="B462" s="59">
        <f t="shared" si="7"/>
        <v>-1</v>
      </c>
      <c r="C462" s="1" t="s">
        <v>979</v>
      </c>
      <c r="D462" s="69"/>
      <c r="E462" s="69">
        <v>45158.0</v>
      </c>
      <c r="F462" s="1" t="s">
        <v>2832</v>
      </c>
      <c r="G462" s="112"/>
      <c r="H462" s="112"/>
      <c r="I462" s="112"/>
      <c r="J462" s="1"/>
    </row>
    <row r="463">
      <c r="A463" s="59">
        <f>HYPERLINK("https://polkadot.subsquare.io/treasury/proposals/372", 372)</f>
        <v>372</v>
      </c>
      <c r="B463" s="59">
        <f t="shared" si="7"/>
        <v>-1</v>
      </c>
      <c r="C463" s="1" t="s">
        <v>979</v>
      </c>
      <c r="D463" s="69"/>
      <c r="E463" s="69">
        <v>45158.0</v>
      </c>
      <c r="F463" s="1" t="s">
        <v>2832</v>
      </c>
      <c r="G463" s="112"/>
      <c r="H463" s="112"/>
      <c r="I463" s="112"/>
      <c r="J463" s="1"/>
    </row>
    <row r="464">
      <c r="A464" s="59">
        <f>HYPERLINK("https://polkadot.subsquare.io/treasury/proposals/371", 371)</f>
        <v>371</v>
      </c>
      <c r="B464" s="59">
        <f t="shared" si="7"/>
        <v>-1</v>
      </c>
      <c r="C464" s="1" t="s">
        <v>979</v>
      </c>
      <c r="D464" s="69"/>
      <c r="E464" s="69">
        <v>45158.0</v>
      </c>
      <c r="F464" s="1" t="s">
        <v>2832</v>
      </c>
      <c r="G464" s="112"/>
      <c r="H464" s="112"/>
      <c r="I464" s="112"/>
      <c r="J464" s="1"/>
    </row>
    <row r="465">
      <c r="A465" s="59">
        <f>HYPERLINK("https://polkadot.subsquare.io/treasury/proposals/370", 370)</f>
        <v>370</v>
      </c>
      <c r="B465" s="59">
        <f t="shared" si="7"/>
        <v>-1</v>
      </c>
      <c r="C465" s="1" t="s">
        <v>979</v>
      </c>
      <c r="D465" s="69"/>
      <c r="E465" s="69">
        <v>45158.0</v>
      </c>
      <c r="F465" s="1" t="s">
        <v>2832</v>
      </c>
      <c r="G465" s="112"/>
      <c r="H465" s="112"/>
      <c r="I465" s="112"/>
      <c r="J465" s="1"/>
    </row>
    <row r="466">
      <c r="A466" s="59">
        <f>HYPERLINK("https://polkadot.subsquare.io/treasury/proposals/369", 369)</f>
        <v>369</v>
      </c>
      <c r="B466" s="59">
        <f t="shared" si="7"/>
        <v>-1</v>
      </c>
      <c r="C466" s="1" t="s">
        <v>979</v>
      </c>
      <c r="D466" s="69"/>
      <c r="E466" s="69">
        <v>45158.0</v>
      </c>
      <c r="F466" s="1" t="s">
        <v>2832</v>
      </c>
      <c r="G466" s="112"/>
      <c r="H466" s="112"/>
      <c r="I466" s="112"/>
      <c r="J466" s="1"/>
    </row>
    <row r="467">
      <c r="A467" s="59">
        <f>HYPERLINK("https://polkadot.subsquare.io/treasury/proposals/368", 368)</f>
        <v>368</v>
      </c>
      <c r="B467" s="59">
        <f t="shared" si="7"/>
        <v>-1</v>
      </c>
      <c r="C467" s="1" t="s">
        <v>979</v>
      </c>
      <c r="D467" s="69"/>
      <c r="E467" s="69">
        <v>45158.0</v>
      </c>
      <c r="F467" s="1" t="s">
        <v>2832</v>
      </c>
      <c r="G467" s="112"/>
      <c r="H467" s="112"/>
      <c r="I467" s="112"/>
      <c r="J467" s="1"/>
    </row>
    <row r="468">
      <c r="A468" s="59">
        <f>HYPERLINK("https://polkadot.subsquare.io/treasury/proposals/367", 367)</f>
        <v>367</v>
      </c>
      <c r="B468" s="59">
        <f t="shared" si="7"/>
        <v>-1</v>
      </c>
      <c r="C468" s="1" t="s">
        <v>979</v>
      </c>
      <c r="D468" s="69"/>
      <c r="E468" s="69">
        <v>45158.0</v>
      </c>
      <c r="F468" s="1" t="s">
        <v>2832</v>
      </c>
      <c r="G468" s="112"/>
      <c r="H468" s="112"/>
      <c r="I468" s="112"/>
      <c r="J468" s="1"/>
    </row>
    <row r="469">
      <c r="A469" s="59">
        <f>HYPERLINK("https://polkadot.subsquare.io/treasury/proposals/366", 366)</f>
        <v>366</v>
      </c>
      <c r="B469" s="59">
        <f t="shared" si="7"/>
        <v>-1</v>
      </c>
      <c r="C469" s="1" t="s">
        <v>979</v>
      </c>
      <c r="D469" s="69"/>
      <c r="E469" s="69">
        <v>45158.0</v>
      </c>
      <c r="F469" s="1" t="s">
        <v>2832</v>
      </c>
      <c r="G469" s="112"/>
      <c r="H469" s="112"/>
      <c r="I469" s="112"/>
      <c r="J469" s="1"/>
    </row>
    <row r="470">
      <c r="A470" s="59">
        <f>HYPERLINK("https://polkadot.subsquare.io/treasury/proposals/365", 365)</f>
        <v>365</v>
      </c>
      <c r="B470" s="59">
        <f t="shared" si="7"/>
        <v>-1</v>
      </c>
      <c r="C470" s="1" t="s">
        <v>979</v>
      </c>
      <c r="D470" s="69"/>
      <c r="E470" s="69">
        <v>45158.0</v>
      </c>
      <c r="F470" s="1" t="s">
        <v>2832</v>
      </c>
      <c r="G470" s="112"/>
      <c r="H470" s="112"/>
      <c r="I470" s="112"/>
      <c r="J470" s="1"/>
    </row>
    <row r="471">
      <c r="A471" s="59">
        <f>HYPERLINK("https://polkadot.subsquare.io/treasury/proposals/364", 364)</f>
        <v>364</v>
      </c>
      <c r="B471" s="59">
        <f t="shared" si="7"/>
        <v>-1</v>
      </c>
      <c r="C471" s="1" t="s">
        <v>979</v>
      </c>
      <c r="D471" s="69"/>
      <c r="E471" s="69">
        <v>45158.0</v>
      </c>
      <c r="F471" s="1" t="s">
        <v>2832</v>
      </c>
      <c r="G471" s="112"/>
      <c r="H471" s="112"/>
      <c r="I471" s="112"/>
      <c r="J471" s="1"/>
    </row>
    <row r="472">
      <c r="A472" s="59">
        <f>HYPERLINK("https://polkadot.subsquare.io/treasury/proposals/363", 363)</f>
        <v>363</v>
      </c>
      <c r="B472" s="59">
        <f t="shared" si="7"/>
        <v>-1</v>
      </c>
      <c r="C472" s="1" t="s">
        <v>979</v>
      </c>
      <c r="D472" s="69"/>
      <c r="E472" s="69">
        <v>45158.0</v>
      </c>
      <c r="F472" s="1" t="s">
        <v>2832</v>
      </c>
      <c r="G472" s="112"/>
      <c r="H472" s="112"/>
      <c r="I472" s="112"/>
      <c r="J472" s="1"/>
    </row>
    <row r="473">
      <c r="A473" s="59">
        <f>HYPERLINK("https://polkadot.subsquare.io/treasury/proposals/362", 362)</f>
        <v>362</v>
      </c>
      <c r="B473" s="59">
        <f t="shared" si="7"/>
        <v>-1</v>
      </c>
      <c r="C473" s="1" t="s">
        <v>979</v>
      </c>
      <c r="D473" s="69"/>
      <c r="E473" s="69">
        <v>45158.0</v>
      </c>
      <c r="F473" s="1" t="s">
        <v>2832</v>
      </c>
      <c r="G473" s="112"/>
      <c r="H473" s="112"/>
      <c r="I473" s="112"/>
      <c r="J473" s="1"/>
    </row>
    <row r="474">
      <c r="A474" s="59">
        <f>HYPERLINK("https://polkadot.subsquare.io/treasury/proposals/361", 361)</f>
        <v>361</v>
      </c>
      <c r="B474" s="59">
        <f t="shared" si="7"/>
        <v>-1</v>
      </c>
      <c r="C474" s="1" t="s">
        <v>979</v>
      </c>
      <c r="D474" s="69"/>
      <c r="E474" s="69">
        <v>45158.0</v>
      </c>
      <c r="F474" s="1" t="s">
        <v>2832</v>
      </c>
      <c r="G474" s="112"/>
      <c r="H474" s="112"/>
      <c r="I474" s="112"/>
      <c r="J474" s="1"/>
    </row>
    <row r="475">
      <c r="A475" s="59">
        <f>HYPERLINK("https://polkadot.subsquare.io/treasury/proposals/360", 360)</f>
        <v>360</v>
      </c>
      <c r="B475" s="59">
        <f t="shared" si="7"/>
        <v>-1</v>
      </c>
      <c r="C475" s="1" t="s">
        <v>979</v>
      </c>
      <c r="D475" s="69"/>
      <c r="E475" s="69">
        <v>45158.0</v>
      </c>
      <c r="F475" s="1" t="s">
        <v>2832</v>
      </c>
      <c r="G475" s="112"/>
      <c r="H475" s="112"/>
      <c r="I475" s="112"/>
      <c r="J475" s="1"/>
    </row>
    <row r="476">
      <c r="A476" s="59">
        <f>HYPERLINK("https://polkadot.subsquare.io/treasury/proposals/359", 359)</f>
        <v>359</v>
      </c>
      <c r="B476" s="59">
        <f t="shared" si="7"/>
        <v>-1</v>
      </c>
      <c r="C476" s="1" t="s">
        <v>1917</v>
      </c>
      <c r="D476" s="69"/>
      <c r="E476" s="69">
        <v>45146.0</v>
      </c>
      <c r="F476" s="1" t="s">
        <v>2826</v>
      </c>
      <c r="G476" s="112"/>
      <c r="H476" s="112"/>
      <c r="I476" s="112"/>
      <c r="J476" s="1"/>
    </row>
    <row r="477">
      <c r="A477" s="59">
        <f>HYPERLINK("https://polkadot.subsquare.io/treasury/proposals/358", 358)</f>
        <v>358</v>
      </c>
      <c r="B477" s="59">
        <f>HYPERLINK("https://polkadot.subsquare.io/referenda/94", 94)</f>
        <v>94</v>
      </c>
      <c r="C477" s="1" t="s">
        <v>982</v>
      </c>
      <c r="D477" s="69">
        <v>45140.0</v>
      </c>
      <c r="E477" s="69">
        <v>45158.0</v>
      </c>
      <c r="F477" s="1" t="s">
        <v>2832</v>
      </c>
      <c r="G477" s="112"/>
      <c r="H477" s="112"/>
      <c r="I477" s="112"/>
      <c r="J477" s="1"/>
    </row>
    <row r="478">
      <c r="A478" s="59">
        <f>HYPERLINK("https://polkadot.subsquare.io/treasury/proposals/357", 357)</f>
        <v>357</v>
      </c>
      <c r="B478" s="59">
        <f>HYPERLINK("https://polkadot.subsquare.io/referenda/-1", -1)</f>
        <v>-1</v>
      </c>
      <c r="C478" s="1" t="s">
        <v>987</v>
      </c>
      <c r="D478" s="69"/>
      <c r="E478" s="69">
        <v>45158.0</v>
      </c>
      <c r="F478" s="1" t="s">
        <v>2832</v>
      </c>
      <c r="G478" s="112"/>
      <c r="H478" s="112"/>
      <c r="I478" s="112"/>
      <c r="J478" s="1"/>
    </row>
    <row r="479">
      <c r="A479" s="59">
        <f>HYPERLINK("https://polkadot.subsquare.io/treasury/proposals/356", 356)</f>
        <v>356</v>
      </c>
      <c r="B479" s="59">
        <f>HYPERLINK("https://polkadot.subsquare.io/referenda/68", 68)</f>
        <v>68</v>
      </c>
      <c r="C479" s="1" t="s">
        <v>977</v>
      </c>
      <c r="D479" s="69">
        <v>45114.0</v>
      </c>
      <c r="E479" s="69">
        <v>45158.0</v>
      </c>
      <c r="F479" s="1" t="s">
        <v>2832</v>
      </c>
      <c r="G479" s="112"/>
      <c r="H479" s="112"/>
      <c r="I479" s="112"/>
      <c r="J479" s="1"/>
    </row>
    <row r="480">
      <c r="A480" s="59">
        <f>HYPERLINK("https://polkadot.subsquare.io/treasury/proposals/355", 355)</f>
        <v>355</v>
      </c>
      <c r="B480" s="59">
        <f>HYPERLINK("https://polkadot.subsquare.io/referenda/62", 62)</f>
        <v>62</v>
      </c>
      <c r="C480" s="1" t="s">
        <v>976</v>
      </c>
      <c r="D480" s="69">
        <v>45113.0</v>
      </c>
      <c r="E480" s="69">
        <v>45158.0</v>
      </c>
      <c r="F480" s="1" t="s">
        <v>2832</v>
      </c>
      <c r="G480" s="112"/>
      <c r="H480" s="112"/>
      <c r="I480" s="112"/>
      <c r="J480" s="1"/>
    </row>
    <row r="481">
      <c r="A481" s="59">
        <f>HYPERLINK("https://polkadot.subsquare.io/treasury/proposals/354", 354)</f>
        <v>354</v>
      </c>
      <c r="B481" s="59">
        <f>HYPERLINK("https://polkadot.subsquare.io/referenda/45", 45)</f>
        <v>45</v>
      </c>
      <c r="C481" s="1" t="s">
        <v>971</v>
      </c>
      <c r="D481" s="69">
        <v>45103.0</v>
      </c>
      <c r="E481" s="69">
        <v>45134.0</v>
      </c>
      <c r="F481" s="1" t="s">
        <v>2832</v>
      </c>
      <c r="G481" s="112"/>
      <c r="H481" s="112"/>
      <c r="I481" s="112"/>
      <c r="J481" s="1"/>
    </row>
    <row r="482">
      <c r="A482" s="59">
        <f>HYPERLINK("https://polkadot.subsquare.io/treasury/proposals/353", 353)</f>
        <v>353</v>
      </c>
      <c r="B482" s="59">
        <f>HYPERLINK("https://polkadot.subsquare.io/referenda/44", 44)</f>
        <v>44</v>
      </c>
      <c r="C482" s="1" t="s">
        <v>970</v>
      </c>
      <c r="D482" s="69">
        <v>45103.0</v>
      </c>
      <c r="E482" s="69">
        <v>45134.0</v>
      </c>
      <c r="F482" s="1" t="s">
        <v>2832</v>
      </c>
      <c r="G482" s="112"/>
      <c r="H482" s="112"/>
      <c r="I482" s="112"/>
      <c r="J482" s="1"/>
    </row>
    <row r="483">
      <c r="A483" s="59">
        <f>HYPERLINK("https://polkadot.subsquare.io/treasury/proposals/352", 352)</f>
        <v>352</v>
      </c>
      <c r="B483" s="59">
        <f>HYPERLINK("https://polkadot.subsquare.io/referenda/43", 43)</f>
        <v>43</v>
      </c>
      <c r="C483" s="1" t="s">
        <v>969</v>
      </c>
      <c r="D483" s="69">
        <v>45103.0</v>
      </c>
      <c r="E483" s="69">
        <v>45134.0</v>
      </c>
      <c r="F483" s="1" t="s">
        <v>2832</v>
      </c>
      <c r="G483" s="112"/>
      <c r="H483" s="112"/>
      <c r="I483" s="112"/>
      <c r="J483" s="1"/>
    </row>
    <row r="484">
      <c r="A484" s="59">
        <f>HYPERLINK("https://polkadot.subsquare.io/treasury/proposals/351", 351)</f>
        <v>351</v>
      </c>
      <c r="B484" s="59">
        <f>HYPERLINK("https://polkadot.subsquare.io/referenda/83", 83)</f>
        <v>83</v>
      </c>
      <c r="C484" s="1" t="s">
        <v>982</v>
      </c>
      <c r="D484" s="69">
        <v>45125.0</v>
      </c>
      <c r="E484" s="69">
        <v>45134.0</v>
      </c>
      <c r="F484" s="1" t="s">
        <v>2832</v>
      </c>
      <c r="G484" s="112"/>
      <c r="H484" s="112"/>
      <c r="I484" s="112"/>
      <c r="J484" s="1"/>
    </row>
    <row r="485">
      <c r="A485" s="59">
        <f>HYPERLINK("https://polkadot.subsquare.io/treasury/proposals/350", 350)</f>
        <v>350</v>
      </c>
      <c r="B485" s="59">
        <f>HYPERLINK("https://polkadot.subsquare.io/referenda/79", 79)</f>
        <v>79</v>
      </c>
      <c r="C485" s="1" t="s">
        <v>982</v>
      </c>
      <c r="D485" s="69">
        <v>45124.0</v>
      </c>
      <c r="E485" s="69">
        <v>45134.0</v>
      </c>
      <c r="F485" s="1" t="s">
        <v>2832</v>
      </c>
      <c r="G485" s="112"/>
      <c r="H485" s="112"/>
      <c r="I485" s="112"/>
      <c r="J485" s="1"/>
    </row>
    <row r="486">
      <c r="A486" s="59">
        <f>HYPERLINK("https://polkadot.subsquare.io/treasury/proposals/349", 349)</f>
        <v>349</v>
      </c>
      <c r="B486" s="59">
        <f>HYPERLINK("https://polkadot.subsquare.io/referenda/36", 36)</f>
        <v>36</v>
      </c>
      <c r="C486" s="1" t="s">
        <v>967</v>
      </c>
      <c r="D486" s="69">
        <v>45101.0</v>
      </c>
      <c r="E486" s="69">
        <v>45134.0</v>
      </c>
      <c r="F486" s="1" t="s">
        <v>2832</v>
      </c>
      <c r="G486" s="112"/>
      <c r="H486" s="112"/>
      <c r="I486" s="112"/>
      <c r="J486" s="1"/>
    </row>
    <row r="487">
      <c r="A487" s="59">
        <f>HYPERLINK("https://polkadot.subsquare.io/treasury/proposals/348", 348)</f>
        <v>348</v>
      </c>
      <c r="B487" s="59">
        <f>HYPERLINK("https://polkadot.subsquare.io/referenda/35", 35)</f>
        <v>35</v>
      </c>
      <c r="C487" s="1" t="s">
        <v>966</v>
      </c>
      <c r="D487" s="69">
        <v>45100.0</v>
      </c>
      <c r="E487" s="69">
        <v>45134.0</v>
      </c>
      <c r="F487" s="1" t="s">
        <v>2832</v>
      </c>
      <c r="G487" s="112"/>
      <c r="H487" s="112"/>
      <c r="I487" s="112"/>
      <c r="J487" s="1"/>
    </row>
    <row r="488">
      <c r="A488" s="59">
        <f>HYPERLINK("https://polkadot.subsquare.io/treasury/proposals/347", 347)</f>
        <v>347</v>
      </c>
      <c r="B488" s="59">
        <f>HYPERLINK("https://polkadot.subsquare.io/referenda/32", 32)</f>
        <v>32</v>
      </c>
      <c r="C488" s="1" t="s">
        <v>965</v>
      </c>
      <c r="D488" s="69">
        <v>45100.0</v>
      </c>
      <c r="E488" s="69">
        <v>45134.0</v>
      </c>
      <c r="F488" s="1" t="s">
        <v>2832</v>
      </c>
      <c r="G488" s="112"/>
      <c r="H488" s="112"/>
      <c r="I488" s="112"/>
      <c r="J488" s="1"/>
    </row>
    <row r="489">
      <c r="A489" s="59">
        <f>HYPERLINK("https://polkadot.subsquare.io/treasury/proposals/346", 346)</f>
        <v>346</v>
      </c>
      <c r="B489" s="59">
        <f>HYPERLINK("https://polkadot.subsquare.io/referenda/22", 22)</f>
        <v>22</v>
      </c>
      <c r="C489" s="1" t="s">
        <v>958</v>
      </c>
      <c r="D489" s="69">
        <v>45098.0</v>
      </c>
      <c r="E489" s="69">
        <v>45134.0</v>
      </c>
      <c r="F489" s="1" t="s">
        <v>2832</v>
      </c>
      <c r="G489" s="112"/>
      <c r="H489" s="112"/>
      <c r="I489" s="112"/>
      <c r="J489" s="1"/>
    </row>
    <row r="490">
      <c r="A490" s="59">
        <f>HYPERLINK("https://polkadot.subsquare.io/treasury/proposals/345", 345)</f>
        <v>345</v>
      </c>
      <c r="B490" s="59">
        <f>HYPERLINK("https://polkadot.subsquare.io/referenda/24", 24)</f>
        <v>24</v>
      </c>
      <c r="C490" s="1" t="s">
        <v>959</v>
      </c>
      <c r="D490" s="69">
        <v>45098.0</v>
      </c>
      <c r="E490" s="69">
        <v>45134.0</v>
      </c>
      <c r="F490" s="1" t="s">
        <v>2832</v>
      </c>
      <c r="G490" s="112"/>
      <c r="H490" s="112"/>
      <c r="I490" s="112"/>
      <c r="J490" s="1"/>
    </row>
    <row r="491">
      <c r="A491" s="59">
        <f>HYPERLINK("https://polkadot.subsquare.io/treasury/proposals/344", 344)</f>
        <v>344</v>
      </c>
      <c r="B491" s="59">
        <f>HYPERLINK("https://polkadot.subsquare.io/referenda/21", 21)</f>
        <v>21</v>
      </c>
      <c r="C491" s="1" t="s">
        <v>957</v>
      </c>
      <c r="D491" s="69">
        <v>45097.0</v>
      </c>
      <c r="E491" s="69">
        <v>45134.0</v>
      </c>
      <c r="F491" s="1" t="s">
        <v>2832</v>
      </c>
      <c r="G491" s="112"/>
      <c r="H491" s="112"/>
      <c r="I491" s="112"/>
      <c r="J491" s="1"/>
    </row>
    <row r="492">
      <c r="A492" s="59">
        <f>HYPERLINK("https://polkadot.subsquare.io/treasury/proposals/343", 343)</f>
        <v>343</v>
      </c>
      <c r="B492" s="59">
        <f>HYPERLINK("https://polkadot.subsquare.io/referenda/-1", -1)</f>
        <v>-1</v>
      </c>
      <c r="C492" s="1" t="s">
        <v>978</v>
      </c>
      <c r="D492" s="69"/>
      <c r="E492" s="69">
        <v>45134.0</v>
      </c>
      <c r="F492" s="1" t="s">
        <v>2832</v>
      </c>
      <c r="G492" s="112"/>
      <c r="H492" s="112"/>
      <c r="I492" s="112"/>
      <c r="J492" s="1"/>
    </row>
    <row r="493">
      <c r="A493" s="59">
        <f>HYPERLINK("https://polkadot.subsquare.io/treasury/proposals/342", 342)</f>
        <v>342</v>
      </c>
      <c r="B493" s="59">
        <f>HYPERLINK("https://polkadot.subsquare.io/referenda/20", 20)</f>
        <v>20</v>
      </c>
      <c r="C493" s="1" t="s">
        <v>956</v>
      </c>
      <c r="D493" s="69">
        <v>45097.0</v>
      </c>
      <c r="E493" s="69">
        <v>45134.0</v>
      </c>
      <c r="F493" s="1" t="s">
        <v>2832</v>
      </c>
      <c r="G493" s="112"/>
      <c r="H493" s="112"/>
      <c r="I493" s="112"/>
      <c r="J493" s="1"/>
    </row>
    <row r="494">
      <c r="A494" s="59">
        <f>HYPERLINK("https://polkadot.subsquare.io/treasury/proposals/341", 341)</f>
        <v>341</v>
      </c>
      <c r="B494" s="59">
        <f>HYPERLINK("https://polkadot.subsquare.io/referenda/14", 14)</f>
        <v>14</v>
      </c>
      <c r="C494" s="1" t="s">
        <v>953</v>
      </c>
      <c r="D494" s="69">
        <v>45095.0</v>
      </c>
      <c r="E494" s="69">
        <v>45134.0</v>
      </c>
      <c r="F494" s="1" t="s">
        <v>2832</v>
      </c>
      <c r="G494" s="112"/>
      <c r="H494" s="112"/>
      <c r="I494" s="112"/>
      <c r="J494" s="1"/>
    </row>
    <row r="495">
      <c r="A495" s="59">
        <f>HYPERLINK("https://polkadot.subsquare.io/treasury/proposals/340", 340)</f>
        <v>340</v>
      </c>
      <c r="B495" s="59">
        <f>HYPERLINK("https://polkadot.subsquare.io/referenda/15", 15)</f>
        <v>15</v>
      </c>
      <c r="C495" s="1" t="s">
        <v>954</v>
      </c>
      <c r="D495" s="69">
        <v>45096.0</v>
      </c>
      <c r="E495" s="69">
        <v>45134.0</v>
      </c>
      <c r="F495" s="1" t="s">
        <v>2832</v>
      </c>
      <c r="G495" s="112"/>
      <c r="H495" s="112"/>
      <c r="I495" s="112"/>
      <c r="J495" s="1"/>
    </row>
    <row r="496">
      <c r="A496" s="59">
        <f>HYPERLINK("https://polkadot.subsquare.io/treasury/proposals/339", 339)</f>
        <v>339</v>
      </c>
      <c r="B496" s="59">
        <f>HYPERLINK("https://polkadot.subsquare.io/referenda/8", 8)</f>
        <v>8</v>
      </c>
      <c r="C496" s="1" t="s">
        <v>951</v>
      </c>
      <c r="D496" s="69">
        <v>45093.0</v>
      </c>
      <c r="E496" s="69">
        <v>45134.0</v>
      </c>
      <c r="F496" s="1" t="s">
        <v>2832</v>
      </c>
      <c r="G496" s="112"/>
      <c r="H496" s="112"/>
      <c r="I496" s="112"/>
      <c r="J496" s="1"/>
    </row>
    <row r="497">
      <c r="A497" s="59">
        <f>HYPERLINK("https://polkadot.subsquare.io/treasury/proposals/338", 338)</f>
        <v>338</v>
      </c>
      <c r="B497" s="59">
        <f>HYPERLINK("https://polkadot.subsquare.io/referenda/6", 6)</f>
        <v>6</v>
      </c>
      <c r="C497" s="1" t="s">
        <v>950</v>
      </c>
      <c r="D497" s="69">
        <v>45092.0</v>
      </c>
      <c r="E497" s="69">
        <v>45134.0</v>
      </c>
      <c r="F497" s="1" t="s">
        <v>2832</v>
      </c>
      <c r="G497" s="112"/>
      <c r="H497" s="112"/>
      <c r="I497" s="112"/>
      <c r="J497" s="1"/>
    </row>
    <row r="498">
      <c r="A498" s="59">
        <f>HYPERLINK("https://polkadot.subsquare.io/treasury/proposals/337", 337)</f>
        <v>337</v>
      </c>
      <c r="B498" s="59">
        <f>HYPERLINK("https://polkadot.subsquare.io/referenda/4", 4)</f>
        <v>4</v>
      </c>
      <c r="C498" s="1" t="s">
        <v>948</v>
      </c>
      <c r="D498" s="69">
        <v>45092.0</v>
      </c>
      <c r="E498" s="69">
        <v>45134.0</v>
      </c>
      <c r="F498" s="1" t="s">
        <v>2832</v>
      </c>
      <c r="G498" s="112"/>
      <c r="H498" s="112"/>
      <c r="I498" s="112"/>
      <c r="J498" s="1"/>
    </row>
    <row r="499">
      <c r="A499" s="59">
        <f>HYPERLINK("https://polkadot.subsquare.io/treasury/proposals/336", 336)</f>
        <v>336</v>
      </c>
      <c r="B499" s="59">
        <f>HYPERLINK("https://polkadot.subsquare.io/referenda/13", 13)</f>
        <v>13</v>
      </c>
      <c r="C499" s="1" t="s">
        <v>952</v>
      </c>
      <c r="D499" s="69">
        <v>45095.0</v>
      </c>
      <c r="E499" s="69">
        <v>45134.0</v>
      </c>
      <c r="F499" s="1" t="s">
        <v>2832</v>
      </c>
      <c r="G499" s="112"/>
      <c r="H499" s="112"/>
      <c r="I499" s="112"/>
      <c r="J499" s="1"/>
    </row>
    <row r="500">
      <c r="A500" s="59">
        <f>HYPERLINK("https://polkadot.subsquare.io/treasury/proposals/335", 335)</f>
        <v>335</v>
      </c>
      <c r="B500" s="59">
        <f>HYPERLINK("https://polkadot.subsquare.io/referenda/7", 7)</f>
        <v>7</v>
      </c>
      <c r="C500" s="1" t="s">
        <v>1854</v>
      </c>
      <c r="D500" s="69">
        <v>45092.0</v>
      </c>
      <c r="E500" s="69">
        <v>45134.0</v>
      </c>
      <c r="F500" s="1" t="s">
        <v>2832</v>
      </c>
      <c r="G500" s="112"/>
      <c r="H500" s="112"/>
      <c r="I500" s="112"/>
      <c r="J500" s="1"/>
    </row>
    <row r="501">
      <c r="A501" s="59">
        <f>HYPERLINK("https://polkadot.subsquare.io/treasury/proposals/334", 334)</f>
        <v>334</v>
      </c>
      <c r="B501" s="59">
        <f t="shared" ref="B501:B522" si="8">HYPERLINK("https://polkadot.subsquare.io/referenda/-1", -1)</f>
        <v>-1</v>
      </c>
      <c r="C501" s="1" t="s">
        <v>1854</v>
      </c>
      <c r="D501" s="69"/>
      <c r="E501" s="69">
        <v>45134.0</v>
      </c>
      <c r="F501" s="1" t="s">
        <v>2832</v>
      </c>
      <c r="G501" s="112"/>
      <c r="H501" s="112"/>
      <c r="I501" s="112"/>
      <c r="J501" s="1"/>
    </row>
    <row r="502">
      <c r="A502" s="59">
        <f>HYPERLINK("https://polkadot.subsquare.io/treasury/proposals/333", 333)</f>
        <v>333</v>
      </c>
      <c r="B502" s="59">
        <f t="shared" si="8"/>
        <v>-1</v>
      </c>
      <c r="C502" s="1" t="s">
        <v>1854</v>
      </c>
      <c r="D502" s="69"/>
      <c r="E502" s="69">
        <v>45134.0</v>
      </c>
      <c r="F502" s="1" t="s">
        <v>2832</v>
      </c>
      <c r="G502" s="112"/>
      <c r="H502" s="112"/>
      <c r="I502" s="112"/>
      <c r="J502" s="1"/>
    </row>
    <row r="503">
      <c r="A503" s="59">
        <f>HYPERLINK("https://polkadot.subsquare.io/treasury/proposals/332", 332)</f>
        <v>332</v>
      </c>
      <c r="B503" s="59">
        <f t="shared" si="8"/>
        <v>-1</v>
      </c>
      <c r="C503" s="1" t="s">
        <v>1854</v>
      </c>
      <c r="D503" s="69"/>
      <c r="E503" s="69">
        <v>45134.0</v>
      </c>
      <c r="F503" s="1" t="s">
        <v>2832</v>
      </c>
      <c r="G503" s="112"/>
      <c r="H503" s="112"/>
      <c r="I503" s="112"/>
      <c r="J503" s="1"/>
    </row>
    <row r="504">
      <c r="A504" s="59">
        <f>HYPERLINK("https://polkadot.subsquare.io/treasury/proposals/331", 331)</f>
        <v>331</v>
      </c>
      <c r="B504" s="59">
        <f t="shared" si="8"/>
        <v>-1</v>
      </c>
      <c r="C504" s="1" t="s">
        <v>1854</v>
      </c>
      <c r="D504" s="69"/>
      <c r="E504" s="69">
        <v>45134.0</v>
      </c>
      <c r="F504" s="1" t="s">
        <v>2832</v>
      </c>
      <c r="G504" s="112"/>
      <c r="H504" s="112"/>
      <c r="I504" s="112"/>
      <c r="J504" s="1"/>
    </row>
    <row r="505">
      <c r="A505" s="59">
        <f>HYPERLINK("https://polkadot.subsquare.io/treasury/proposals/330", 330)</f>
        <v>330</v>
      </c>
      <c r="B505" s="59">
        <f t="shared" si="8"/>
        <v>-1</v>
      </c>
      <c r="C505" s="1" t="s">
        <v>1854</v>
      </c>
      <c r="D505" s="69"/>
      <c r="E505" s="69">
        <v>45134.0</v>
      </c>
      <c r="F505" s="1" t="s">
        <v>2832</v>
      </c>
      <c r="G505" s="112"/>
      <c r="H505" s="112"/>
      <c r="I505" s="112"/>
      <c r="J505" s="1"/>
    </row>
    <row r="506">
      <c r="A506" s="59">
        <f>HYPERLINK("https://polkadot.subsquare.io/treasury/proposals/329", 329)</f>
        <v>329</v>
      </c>
      <c r="B506" s="59">
        <f t="shared" si="8"/>
        <v>-1</v>
      </c>
      <c r="C506" s="1" t="s">
        <v>1854</v>
      </c>
      <c r="D506" s="69"/>
      <c r="E506" s="69">
        <v>45134.0</v>
      </c>
      <c r="F506" s="1" t="s">
        <v>2832</v>
      </c>
      <c r="G506" s="112"/>
      <c r="H506" s="112"/>
      <c r="I506" s="112"/>
      <c r="J506" s="1"/>
    </row>
    <row r="507">
      <c r="A507" s="59">
        <f>HYPERLINK("https://polkadot.subsquare.io/treasury/proposals/328", 328)</f>
        <v>328</v>
      </c>
      <c r="B507" s="59">
        <f t="shared" si="8"/>
        <v>-1</v>
      </c>
      <c r="C507" s="1" t="s">
        <v>1854</v>
      </c>
      <c r="D507" s="69"/>
      <c r="E507" s="69">
        <v>45134.0</v>
      </c>
      <c r="F507" s="1" t="s">
        <v>2832</v>
      </c>
      <c r="G507" s="112"/>
      <c r="H507" s="112"/>
      <c r="I507" s="112"/>
      <c r="J507" s="1"/>
    </row>
    <row r="508">
      <c r="A508" s="59">
        <f>HYPERLINK("https://polkadot.subsquare.io/treasury/proposals/327", 327)</f>
        <v>327</v>
      </c>
      <c r="B508" s="59">
        <f t="shared" si="8"/>
        <v>-1</v>
      </c>
      <c r="C508" s="1" t="s">
        <v>1854</v>
      </c>
      <c r="D508" s="69"/>
      <c r="E508" s="69">
        <v>45134.0</v>
      </c>
      <c r="F508" s="1" t="s">
        <v>2832</v>
      </c>
      <c r="G508" s="112"/>
      <c r="H508" s="112"/>
      <c r="I508" s="112"/>
      <c r="J508" s="1"/>
    </row>
    <row r="509">
      <c r="A509" s="59">
        <f>HYPERLINK("https://polkadot.subsquare.io/treasury/proposals/326", 326)</f>
        <v>326</v>
      </c>
      <c r="B509" s="59">
        <f t="shared" si="8"/>
        <v>-1</v>
      </c>
      <c r="C509" s="1" t="s">
        <v>1854</v>
      </c>
      <c r="D509" s="69"/>
      <c r="E509" s="69">
        <v>45134.0</v>
      </c>
      <c r="F509" s="1" t="s">
        <v>2832</v>
      </c>
      <c r="G509" s="112"/>
      <c r="H509" s="112"/>
      <c r="I509" s="112"/>
      <c r="J509" s="1"/>
    </row>
    <row r="510">
      <c r="A510" s="59">
        <f>HYPERLINK("https://polkadot.subsquare.io/treasury/proposals/325", 325)</f>
        <v>325</v>
      </c>
      <c r="B510" s="59">
        <f t="shared" si="8"/>
        <v>-1</v>
      </c>
      <c r="C510" s="1" t="s">
        <v>1854</v>
      </c>
      <c r="D510" s="69"/>
      <c r="E510" s="69">
        <v>45134.0</v>
      </c>
      <c r="F510" s="1" t="s">
        <v>2832</v>
      </c>
      <c r="G510" s="112"/>
      <c r="H510" s="112"/>
      <c r="I510" s="112"/>
      <c r="J510" s="1"/>
    </row>
    <row r="511">
      <c r="A511" s="59">
        <f>HYPERLINK("https://polkadot.subsquare.io/treasury/proposals/324", 324)</f>
        <v>324</v>
      </c>
      <c r="B511" s="59">
        <f t="shared" si="8"/>
        <v>-1</v>
      </c>
      <c r="C511" s="1" t="s">
        <v>1854</v>
      </c>
      <c r="D511" s="69"/>
      <c r="E511" s="69">
        <v>45134.0</v>
      </c>
      <c r="F511" s="1" t="s">
        <v>2832</v>
      </c>
      <c r="G511" s="112"/>
      <c r="H511" s="112"/>
      <c r="I511" s="112"/>
      <c r="J511" s="1"/>
    </row>
    <row r="512">
      <c r="A512" s="59">
        <f>HYPERLINK("https://polkadot.subsquare.io/treasury/proposals/323", 323)</f>
        <v>323</v>
      </c>
      <c r="B512" s="59">
        <f t="shared" si="8"/>
        <v>-1</v>
      </c>
      <c r="C512" s="1" t="s">
        <v>1854</v>
      </c>
      <c r="D512" s="69"/>
      <c r="E512" s="69">
        <v>45134.0</v>
      </c>
      <c r="F512" s="1" t="s">
        <v>2832</v>
      </c>
      <c r="G512" s="112"/>
      <c r="H512" s="112"/>
      <c r="I512" s="112"/>
      <c r="J512" s="1"/>
    </row>
    <row r="513">
      <c r="A513" s="59">
        <f>HYPERLINK("https://polkadot.subsquare.io/treasury/proposals/322", 322)</f>
        <v>322</v>
      </c>
      <c r="B513" s="59">
        <f t="shared" si="8"/>
        <v>-1</v>
      </c>
      <c r="C513" s="1" t="s">
        <v>1854</v>
      </c>
      <c r="D513" s="69"/>
      <c r="E513" s="69">
        <v>45134.0</v>
      </c>
      <c r="F513" s="1" t="s">
        <v>2832</v>
      </c>
      <c r="G513" s="112"/>
      <c r="H513" s="112"/>
      <c r="I513" s="112"/>
      <c r="J513" s="1"/>
    </row>
    <row r="514">
      <c r="A514" s="59">
        <f>HYPERLINK("https://polkadot.subsquare.io/treasury/proposals/321", 321)</f>
        <v>321</v>
      </c>
      <c r="B514" s="59">
        <f t="shared" si="8"/>
        <v>-1</v>
      </c>
      <c r="C514" s="1" t="s">
        <v>1854</v>
      </c>
      <c r="D514" s="69"/>
      <c r="E514" s="69">
        <v>45134.0</v>
      </c>
      <c r="F514" s="1" t="s">
        <v>2832</v>
      </c>
      <c r="G514" s="112"/>
      <c r="H514" s="112"/>
      <c r="I514" s="112"/>
      <c r="J514" s="1"/>
    </row>
    <row r="515">
      <c r="A515" s="59">
        <f>HYPERLINK("https://polkadot.subsquare.io/treasury/proposals/320", 320)</f>
        <v>320</v>
      </c>
      <c r="B515" s="59">
        <f t="shared" si="8"/>
        <v>-1</v>
      </c>
      <c r="C515" s="1" t="s">
        <v>1854</v>
      </c>
      <c r="D515" s="69"/>
      <c r="E515" s="69">
        <v>45134.0</v>
      </c>
      <c r="F515" s="1" t="s">
        <v>2832</v>
      </c>
      <c r="G515" s="112"/>
      <c r="H515" s="112"/>
      <c r="I515" s="112"/>
      <c r="J515" s="1"/>
    </row>
    <row r="516">
      <c r="A516" s="59">
        <f>HYPERLINK("https://polkadot.subsquare.io/treasury/proposals/319", 319)</f>
        <v>319</v>
      </c>
      <c r="B516" s="59">
        <f t="shared" si="8"/>
        <v>-1</v>
      </c>
      <c r="C516" s="1" t="s">
        <v>1854</v>
      </c>
      <c r="D516" s="69"/>
      <c r="E516" s="69">
        <v>45134.0</v>
      </c>
      <c r="F516" s="1" t="s">
        <v>2832</v>
      </c>
      <c r="G516" s="112"/>
      <c r="H516" s="112"/>
      <c r="I516" s="112"/>
      <c r="J516" s="1"/>
    </row>
    <row r="517">
      <c r="A517" s="59">
        <f>HYPERLINK("https://polkadot.subsquare.io/treasury/proposals/318", 318)</f>
        <v>318</v>
      </c>
      <c r="B517" s="59">
        <f t="shared" si="8"/>
        <v>-1</v>
      </c>
      <c r="C517" s="1" t="s">
        <v>1854</v>
      </c>
      <c r="D517" s="69"/>
      <c r="E517" s="69">
        <v>45134.0</v>
      </c>
      <c r="F517" s="1" t="s">
        <v>2832</v>
      </c>
      <c r="G517" s="112"/>
      <c r="H517" s="112"/>
      <c r="I517" s="112"/>
      <c r="J517" s="1"/>
    </row>
    <row r="518">
      <c r="A518" s="59">
        <f>HYPERLINK("https://polkadot.subsquare.io/treasury/proposals/317", 317)</f>
        <v>317</v>
      </c>
      <c r="B518" s="59">
        <f t="shared" si="8"/>
        <v>-1</v>
      </c>
      <c r="C518" s="1" t="s">
        <v>1854</v>
      </c>
      <c r="D518" s="69"/>
      <c r="E518" s="69">
        <v>45134.0</v>
      </c>
      <c r="F518" s="1" t="s">
        <v>2832</v>
      </c>
      <c r="G518" s="112"/>
      <c r="H518" s="112"/>
      <c r="I518" s="112"/>
      <c r="J518" s="1"/>
    </row>
    <row r="519">
      <c r="A519" s="59">
        <f>HYPERLINK("https://polkadot.subsquare.io/treasury/proposals/316", 316)</f>
        <v>316</v>
      </c>
      <c r="B519" s="59">
        <f t="shared" si="8"/>
        <v>-1</v>
      </c>
      <c r="C519" s="1" t="s">
        <v>1854</v>
      </c>
      <c r="D519" s="69"/>
      <c r="E519" s="69">
        <v>45134.0</v>
      </c>
      <c r="F519" s="1" t="s">
        <v>2832</v>
      </c>
      <c r="G519" s="112"/>
      <c r="H519" s="112"/>
      <c r="I519" s="112"/>
      <c r="J519" s="1"/>
    </row>
    <row r="520">
      <c r="A520" s="59">
        <f>HYPERLINK("https://polkadot.subsquare.io/treasury/proposals/315", 315)</f>
        <v>315</v>
      </c>
      <c r="B520" s="59">
        <f t="shared" si="8"/>
        <v>-1</v>
      </c>
      <c r="C520" s="1" t="s">
        <v>1854</v>
      </c>
      <c r="D520" s="69"/>
      <c r="E520" s="69">
        <v>45134.0</v>
      </c>
      <c r="F520" s="1" t="s">
        <v>2832</v>
      </c>
      <c r="G520" s="112"/>
      <c r="H520" s="112"/>
      <c r="I520" s="112"/>
      <c r="J520" s="1"/>
    </row>
    <row r="521">
      <c r="A521" s="59">
        <f>HYPERLINK("https://polkadot.subsquare.io/treasury/proposals/314", 314)</f>
        <v>314</v>
      </c>
      <c r="B521" s="59">
        <f t="shared" si="8"/>
        <v>-1</v>
      </c>
      <c r="C521" s="1" t="s">
        <v>1854</v>
      </c>
      <c r="D521" s="69"/>
      <c r="E521" s="69">
        <v>45134.0</v>
      </c>
      <c r="F521" s="1" t="s">
        <v>2832</v>
      </c>
      <c r="G521" s="112"/>
      <c r="H521" s="112"/>
      <c r="I521" s="112"/>
      <c r="J521" s="1"/>
    </row>
    <row r="522">
      <c r="A522" s="59">
        <f>HYPERLINK("https://polkadot.subsquare.io/treasury/proposals/313", 313)</f>
        <v>313</v>
      </c>
      <c r="B522" s="59">
        <f t="shared" si="8"/>
        <v>-1</v>
      </c>
      <c r="C522" s="1" t="s">
        <v>1854</v>
      </c>
      <c r="D522" s="69"/>
      <c r="E522" s="69">
        <v>45134.0</v>
      </c>
      <c r="F522" s="1" t="s">
        <v>2832</v>
      </c>
      <c r="G522" s="112"/>
      <c r="H522" s="112"/>
      <c r="I522" s="112"/>
      <c r="J522" s="1"/>
    </row>
    <row r="523">
      <c r="A523" s="59">
        <f>HYPERLINK("https://polkadot.subsquare.io/treasury/proposals/312", 312)</f>
        <v>312</v>
      </c>
      <c r="B523" s="59">
        <f>HYPERLINK("https://polkadot.subsquare.io/referenda/5", 5)</f>
        <v>5</v>
      </c>
      <c r="C523" s="1" t="s">
        <v>949</v>
      </c>
      <c r="D523" s="69">
        <v>45092.0</v>
      </c>
      <c r="E523" s="69">
        <v>45134.0</v>
      </c>
      <c r="F523" s="1" t="s">
        <v>2832</v>
      </c>
      <c r="G523" s="112"/>
      <c r="H523" s="112"/>
      <c r="I523" s="112"/>
      <c r="J523" s="1"/>
    </row>
    <row r="524">
      <c r="A524" s="59">
        <f>HYPERLINK("https://polkadot.subsquare.io/treasury/proposals/311", 311)</f>
        <v>311</v>
      </c>
      <c r="B524" s="59">
        <f t="shared" ref="B524:B526" si="9">HYPERLINK("https://polkadot.subsquare.io/referenda/-1", -1)</f>
        <v>-1</v>
      </c>
      <c r="C524" s="1" t="s">
        <v>975</v>
      </c>
      <c r="D524" s="69"/>
      <c r="E524" s="69">
        <v>45134.0</v>
      </c>
      <c r="F524" s="1" t="s">
        <v>2832</v>
      </c>
      <c r="G524" s="112"/>
      <c r="H524" s="112"/>
      <c r="I524" s="112"/>
      <c r="J524" s="1"/>
    </row>
    <row r="525">
      <c r="A525" s="59">
        <f>HYPERLINK("https://polkadot.subsquare.io/treasury/proposals/310", 310)</f>
        <v>310</v>
      </c>
      <c r="B525" s="59">
        <f t="shared" si="9"/>
        <v>-1</v>
      </c>
      <c r="C525" s="1" t="s">
        <v>974</v>
      </c>
      <c r="D525" s="69"/>
      <c r="E525" s="69">
        <v>45134.0</v>
      </c>
      <c r="F525" s="1" t="s">
        <v>2832</v>
      </c>
      <c r="G525" s="112"/>
      <c r="H525" s="112"/>
      <c r="I525" s="112"/>
      <c r="J525" s="1"/>
    </row>
    <row r="526">
      <c r="A526" s="59">
        <f>HYPERLINK("https://polkadot.subsquare.io/treasury/proposals/309", 309)</f>
        <v>309</v>
      </c>
      <c r="B526" s="59">
        <f t="shared" si="9"/>
        <v>-1</v>
      </c>
      <c r="C526" s="1" t="s">
        <v>2844</v>
      </c>
      <c r="D526" s="69"/>
      <c r="E526" s="69">
        <v>45114.0</v>
      </c>
      <c r="F526" s="1" t="s">
        <v>2826</v>
      </c>
      <c r="G526" s="112"/>
      <c r="H526" s="112"/>
      <c r="I526" s="112"/>
      <c r="J526" s="1"/>
    </row>
    <row r="527">
      <c r="A527" s="59">
        <f>HYPERLINK("https://polkadot.subsquare.io/treasury/proposals/308", 308)</f>
        <v>308</v>
      </c>
      <c r="B527" s="59">
        <f>HYPERLINK("https://polkadot.subsquare.io/referenda/49", 49)</f>
        <v>49</v>
      </c>
      <c r="C527" s="1" t="s">
        <v>973</v>
      </c>
      <c r="D527" s="69">
        <v>45105.0</v>
      </c>
      <c r="E527" s="69">
        <v>45134.0</v>
      </c>
      <c r="F527" s="1" t="s">
        <v>2832</v>
      </c>
      <c r="G527" s="112"/>
      <c r="H527" s="112"/>
      <c r="I527" s="112"/>
      <c r="J527" s="1"/>
    </row>
    <row r="528">
      <c r="A528" s="59">
        <f>HYPERLINK("https://polkadot.subsquare.io/treasury/proposals/307", 307)</f>
        <v>307</v>
      </c>
      <c r="B528" s="59">
        <f>HYPERLINK("https://polkadot.subsquare.io/referenda/-1", -1)</f>
        <v>-1</v>
      </c>
      <c r="C528" s="1" t="s">
        <v>972</v>
      </c>
      <c r="D528" s="69"/>
      <c r="E528" s="69">
        <v>45110.0</v>
      </c>
      <c r="F528" s="1" t="s">
        <v>2832</v>
      </c>
      <c r="G528" s="112"/>
      <c r="H528" s="112"/>
      <c r="I528" s="112"/>
      <c r="J528" s="1"/>
    </row>
    <row r="529">
      <c r="A529" s="59">
        <f>HYPERLINK("https://polkadot.subsquare.io/treasury/proposals/306", 306)</f>
        <v>306</v>
      </c>
      <c r="B529" s="59">
        <f>HYPERLINK("https://polkadot.subsquare.io/referenda/37", 37)</f>
        <v>37</v>
      </c>
      <c r="C529" s="1" t="s">
        <v>968</v>
      </c>
      <c r="D529" s="69">
        <v>45101.0</v>
      </c>
      <c r="E529" s="69">
        <v>45110.0</v>
      </c>
      <c r="F529" s="1" t="s">
        <v>2832</v>
      </c>
      <c r="G529" s="112"/>
      <c r="H529" s="112"/>
      <c r="I529" s="112"/>
      <c r="J529" s="1"/>
    </row>
    <row r="530">
      <c r="A530" s="59">
        <f>HYPERLINK("https://polkadot.subsquare.io/treasury/proposals/305", 305)</f>
        <v>305</v>
      </c>
      <c r="B530" s="59">
        <f>HYPERLINK("https://polkadot.subsquare.io/referenda/31", 31)</f>
        <v>31</v>
      </c>
      <c r="C530" s="1" t="s">
        <v>964</v>
      </c>
      <c r="D530" s="69">
        <v>45100.0</v>
      </c>
      <c r="E530" s="69">
        <v>45110.0</v>
      </c>
      <c r="F530" s="1" t="s">
        <v>2832</v>
      </c>
      <c r="G530" s="112"/>
      <c r="H530" s="112"/>
      <c r="I530" s="112"/>
      <c r="J530" s="1"/>
    </row>
    <row r="531">
      <c r="A531" s="59">
        <f>HYPERLINK("https://polkadot.subsquare.io/treasury/proposals/304", 304)</f>
        <v>304</v>
      </c>
      <c r="B531" s="59">
        <f>HYPERLINK("https://polkadot.subsquare.io/referenda/28", 28)</f>
        <v>28</v>
      </c>
      <c r="C531" s="1" t="s">
        <v>963</v>
      </c>
      <c r="D531" s="69">
        <v>45099.0</v>
      </c>
      <c r="E531" s="69">
        <v>45110.0</v>
      </c>
      <c r="F531" s="1" t="s">
        <v>2832</v>
      </c>
      <c r="G531" s="112"/>
      <c r="H531" s="112"/>
      <c r="I531" s="112"/>
      <c r="J531" s="1"/>
    </row>
    <row r="532">
      <c r="A532" s="59">
        <f>HYPERLINK("https://polkadot.subsquare.io/treasury/proposals/303", 303)</f>
        <v>303</v>
      </c>
      <c r="B532" s="59">
        <f>HYPERLINK("https://polkadot.subsquare.io/referenda/27", 27)</f>
        <v>27</v>
      </c>
      <c r="C532" s="1" t="s">
        <v>962</v>
      </c>
      <c r="D532" s="69">
        <v>45099.0</v>
      </c>
      <c r="E532" s="69">
        <v>45110.0</v>
      </c>
      <c r="F532" s="1" t="s">
        <v>2832</v>
      </c>
      <c r="G532" s="112"/>
      <c r="H532" s="112"/>
      <c r="I532" s="112"/>
      <c r="J532" s="1"/>
    </row>
    <row r="533">
      <c r="A533" s="59">
        <f>HYPERLINK("https://polkadot.subsquare.io/treasury/proposals/302", 302)</f>
        <v>302</v>
      </c>
      <c r="B533" s="59">
        <f>HYPERLINK("https://polkadot.subsquare.io/referenda/26", 26)</f>
        <v>26</v>
      </c>
      <c r="C533" s="1" t="s">
        <v>961</v>
      </c>
      <c r="D533" s="69">
        <v>45099.0</v>
      </c>
      <c r="E533" s="69">
        <v>45110.0</v>
      </c>
      <c r="F533" s="1" t="s">
        <v>2832</v>
      </c>
      <c r="G533" s="112"/>
      <c r="H533" s="112"/>
      <c r="I533" s="112"/>
      <c r="J533" s="1"/>
    </row>
    <row r="534">
      <c r="A534" s="59">
        <f>HYPERLINK("https://polkadot.subsquare.io/treasury/proposals/301", 301)</f>
        <v>301</v>
      </c>
      <c r="B534" s="59">
        <f>HYPERLINK("https://polkadot.subsquare.io/referenda/25", 25)</f>
        <v>25</v>
      </c>
      <c r="C534" s="1" t="s">
        <v>960</v>
      </c>
      <c r="D534" s="69">
        <v>45099.0</v>
      </c>
      <c r="E534" s="69">
        <v>45110.0</v>
      </c>
      <c r="F534" s="1" t="s">
        <v>2832</v>
      </c>
      <c r="G534" s="112"/>
      <c r="H534" s="112"/>
      <c r="I534" s="112"/>
      <c r="J534" s="1"/>
    </row>
    <row r="535">
      <c r="A535" s="59">
        <f>HYPERLINK("https://polkadot.subsquare.io/treasury/proposals/300", 300)</f>
        <v>300</v>
      </c>
      <c r="B535" s="59">
        <f t="shared" ref="B535:B835" si="10">HYPERLINK("https://polkadot.subsquare.io/referenda/-1", -1)</f>
        <v>-1</v>
      </c>
      <c r="C535" s="1" t="s">
        <v>965</v>
      </c>
      <c r="D535" s="69"/>
      <c r="E535" s="69">
        <v>45147.0</v>
      </c>
      <c r="F535" s="1" t="s">
        <v>1846</v>
      </c>
      <c r="G535" s="112"/>
      <c r="H535" s="112"/>
      <c r="I535" s="112"/>
      <c r="J535" s="1"/>
    </row>
    <row r="536">
      <c r="A536" s="59">
        <f>HYPERLINK("https://polkadot.subsquare.io/treasury/proposals/299", 299)</f>
        <v>299</v>
      </c>
      <c r="B536" s="59">
        <f t="shared" si="10"/>
        <v>-1</v>
      </c>
      <c r="C536" s="1" t="s">
        <v>2845</v>
      </c>
      <c r="D536" s="69"/>
      <c r="E536" s="69">
        <v>45147.0</v>
      </c>
      <c r="F536" s="1" t="s">
        <v>1846</v>
      </c>
      <c r="G536" s="112"/>
      <c r="H536" s="112"/>
      <c r="I536" s="112"/>
      <c r="J536" s="1"/>
    </row>
    <row r="537">
      <c r="A537" s="59">
        <f>HYPERLINK("https://polkadot.subsquare.io/treasury/proposals/298", 298)</f>
        <v>298</v>
      </c>
      <c r="B537" s="59">
        <f t="shared" si="10"/>
        <v>-1</v>
      </c>
      <c r="C537" s="1" t="s">
        <v>967</v>
      </c>
      <c r="D537" s="69"/>
      <c r="E537" s="69">
        <v>45147.0</v>
      </c>
      <c r="F537" s="1" t="s">
        <v>1846</v>
      </c>
      <c r="G537" s="112"/>
      <c r="H537" s="112"/>
      <c r="I537" s="112"/>
      <c r="J537" s="1"/>
    </row>
    <row r="538">
      <c r="A538" s="59">
        <f>HYPERLINK("https://polkadot.subsquare.io/treasury/proposals/297", 297)</f>
        <v>297</v>
      </c>
      <c r="B538" s="59">
        <f t="shared" si="10"/>
        <v>-1</v>
      </c>
      <c r="C538" s="1" t="s">
        <v>2846</v>
      </c>
      <c r="D538" s="69"/>
      <c r="E538" s="69">
        <v>45147.0</v>
      </c>
      <c r="F538" s="1" t="s">
        <v>1846</v>
      </c>
      <c r="G538" s="112"/>
      <c r="H538" s="112"/>
      <c r="I538" s="112"/>
      <c r="J538" s="1"/>
    </row>
    <row r="539">
      <c r="A539" s="59">
        <f>HYPERLINK("https://polkadot.subsquare.io/treasury/proposals/296", 296)</f>
        <v>296</v>
      </c>
      <c r="B539" s="59">
        <f t="shared" si="10"/>
        <v>-1</v>
      </c>
      <c r="C539" s="1" t="s">
        <v>2847</v>
      </c>
      <c r="D539" s="69"/>
      <c r="E539" s="69">
        <v>45147.0</v>
      </c>
      <c r="F539" s="1" t="s">
        <v>1846</v>
      </c>
      <c r="G539" s="112"/>
      <c r="H539" s="112"/>
      <c r="I539" s="112"/>
      <c r="J539" s="1"/>
    </row>
    <row r="540">
      <c r="A540" s="59">
        <f>HYPERLINK("https://polkadot.subsquare.io/treasury/proposals/295", 295)</f>
        <v>295</v>
      </c>
      <c r="B540" s="59">
        <f t="shared" si="10"/>
        <v>-1</v>
      </c>
      <c r="C540" s="1" t="s">
        <v>958</v>
      </c>
      <c r="D540" s="69"/>
      <c r="E540" s="69">
        <v>45147.0</v>
      </c>
      <c r="F540" s="1" t="s">
        <v>1846</v>
      </c>
      <c r="G540" s="112"/>
      <c r="H540" s="112"/>
      <c r="I540" s="112"/>
      <c r="J540" s="1"/>
    </row>
    <row r="541">
      <c r="A541" s="59">
        <f>HYPERLINK("https://polkadot.subsquare.io/treasury/proposals/294", 294)</f>
        <v>294</v>
      </c>
      <c r="B541" s="59">
        <f t="shared" si="10"/>
        <v>-1</v>
      </c>
      <c r="C541" s="1" t="s">
        <v>956</v>
      </c>
      <c r="D541" s="69"/>
      <c r="E541" s="69">
        <v>45147.0</v>
      </c>
      <c r="F541" s="1" t="s">
        <v>1846</v>
      </c>
      <c r="G541" s="112"/>
      <c r="H541" s="112"/>
      <c r="I541" s="112"/>
      <c r="J541" s="1"/>
    </row>
    <row r="542">
      <c r="A542" s="59">
        <f>HYPERLINK("https://polkadot.subsquare.io/treasury/proposals/293", 293)</f>
        <v>293</v>
      </c>
      <c r="B542" s="59">
        <f t="shared" si="10"/>
        <v>-1</v>
      </c>
      <c r="C542" s="1" t="s">
        <v>2848</v>
      </c>
      <c r="D542" s="69"/>
      <c r="E542" s="69">
        <v>45147.0</v>
      </c>
      <c r="F542" s="1" t="s">
        <v>1846</v>
      </c>
      <c r="G542" s="112"/>
      <c r="H542" s="112"/>
      <c r="I542" s="112"/>
      <c r="J542" s="1"/>
    </row>
    <row r="543">
      <c r="A543" s="59">
        <f>HYPERLINK("https://polkadot.subsquare.io/treasury/proposals/292", 292)</f>
        <v>292</v>
      </c>
      <c r="B543" s="59">
        <f t="shared" si="10"/>
        <v>-1</v>
      </c>
      <c r="C543" s="1" t="s">
        <v>2849</v>
      </c>
      <c r="D543" s="69"/>
      <c r="E543" s="69">
        <v>45110.0</v>
      </c>
      <c r="F543" s="1" t="s">
        <v>2832</v>
      </c>
      <c r="G543" s="112"/>
      <c r="H543" s="112"/>
      <c r="I543" s="112"/>
      <c r="J543" s="1"/>
    </row>
    <row r="544">
      <c r="A544" s="59">
        <f>HYPERLINK("https://polkadot.subsquare.io/treasury/proposals/291", 291)</f>
        <v>291</v>
      </c>
      <c r="B544" s="59">
        <f t="shared" si="10"/>
        <v>-1</v>
      </c>
      <c r="C544" s="1" t="s">
        <v>2850</v>
      </c>
      <c r="D544" s="69"/>
      <c r="E544" s="69">
        <v>45110.0</v>
      </c>
      <c r="F544" s="1" t="s">
        <v>2832</v>
      </c>
      <c r="G544" s="112"/>
      <c r="H544" s="112"/>
      <c r="I544" s="112"/>
      <c r="J544" s="1"/>
    </row>
    <row r="545">
      <c r="A545" s="59">
        <f>HYPERLINK("https://polkadot.subsquare.io/treasury/proposals/290", 290)</f>
        <v>290</v>
      </c>
      <c r="B545" s="59">
        <f t="shared" si="10"/>
        <v>-1</v>
      </c>
      <c r="C545" s="1" t="s">
        <v>2851</v>
      </c>
      <c r="D545" s="69"/>
      <c r="E545" s="69">
        <v>45086.0</v>
      </c>
      <c r="F545" s="1" t="s">
        <v>2832</v>
      </c>
      <c r="G545" s="112"/>
      <c r="H545" s="112"/>
      <c r="I545" s="112"/>
      <c r="J545" s="1"/>
    </row>
    <row r="546">
      <c r="A546" s="59">
        <f>HYPERLINK("https://polkadot.subsquare.io/treasury/proposals/289", 289)</f>
        <v>289</v>
      </c>
      <c r="B546" s="59">
        <f t="shared" si="10"/>
        <v>-1</v>
      </c>
      <c r="C546" s="1" t="s">
        <v>2852</v>
      </c>
      <c r="D546" s="69"/>
      <c r="E546" s="69">
        <v>45086.0</v>
      </c>
      <c r="F546" s="1" t="s">
        <v>2832</v>
      </c>
      <c r="G546" s="112"/>
      <c r="H546" s="112"/>
      <c r="I546" s="112"/>
      <c r="J546" s="1"/>
    </row>
    <row r="547">
      <c r="A547" s="59">
        <f>HYPERLINK("https://polkadot.subsquare.io/treasury/proposals/288", 288)</f>
        <v>288</v>
      </c>
      <c r="B547" s="59">
        <f t="shared" si="10"/>
        <v>-1</v>
      </c>
      <c r="C547" s="1" t="s">
        <v>2853</v>
      </c>
      <c r="D547" s="69"/>
      <c r="E547" s="69">
        <v>45147.0</v>
      </c>
      <c r="F547" s="1" t="s">
        <v>1846</v>
      </c>
      <c r="G547" s="112"/>
      <c r="H547" s="112"/>
      <c r="I547" s="112"/>
      <c r="J547" s="1"/>
    </row>
    <row r="548">
      <c r="A548" s="59">
        <f>HYPERLINK("https://polkadot.subsquare.io/treasury/proposals/287", 287)</f>
        <v>287</v>
      </c>
      <c r="B548" s="59">
        <f t="shared" si="10"/>
        <v>-1</v>
      </c>
      <c r="C548" s="1" t="s">
        <v>2854</v>
      </c>
      <c r="D548" s="69"/>
      <c r="E548" s="69">
        <v>45086.0</v>
      </c>
      <c r="F548" s="1" t="s">
        <v>2832</v>
      </c>
      <c r="G548" s="112"/>
      <c r="H548" s="112"/>
      <c r="I548" s="112"/>
      <c r="J548" s="1"/>
    </row>
    <row r="549">
      <c r="A549" s="59">
        <f>HYPERLINK("https://polkadot.subsquare.io/treasury/proposals/286", 286)</f>
        <v>286</v>
      </c>
      <c r="B549" s="59">
        <f t="shared" si="10"/>
        <v>-1</v>
      </c>
      <c r="C549" s="1" t="s">
        <v>2855</v>
      </c>
      <c r="D549" s="69"/>
      <c r="E549" s="69">
        <v>45147.0</v>
      </c>
      <c r="F549" s="1" t="s">
        <v>1846</v>
      </c>
      <c r="G549" s="112"/>
      <c r="H549" s="112"/>
      <c r="I549" s="112"/>
      <c r="J549" s="1"/>
    </row>
    <row r="550">
      <c r="A550" s="59">
        <f>HYPERLINK("https://polkadot.subsquare.io/treasury/proposals/285", 285)</f>
        <v>285</v>
      </c>
      <c r="B550" s="59">
        <f t="shared" si="10"/>
        <v>-1</v>
      </c>
      <c r="C550" s="1" t="s">
        <v>2856</v>
      </c>
      <c r="D550" s="69"/>
      <c r="E550" s="69">
        <v>45147.0</v>
      </c>
      <c r="F550" s="1" t="s">
        <v>1846</v>
      </c>
      <c r="G550" s="112"/>
      <c r="H550" s="112"/>
      <c r="I550" s="112"/>
      <c r="J550" s="1"/>
    </row>
    <row r="551">
      <c r="A551" s="59">
        <f>HYPERLINK("https://polkadot.subsquare.io/treasury/proposals/284", 284)</f>
        <v>284</v>
      </c>
      <c r="B551" s="59">
        <f t="shared" si="10"/>
        <v>-1</v>
      </c>
      <c r="C551" s="1" t="s">
        <v>1873</v>
      </c>
      <c r="D551" s="69"/>
      <c r="E551" s="69">
        <v>45147.0</v>
      </c>
      <c r="F551" s="1" t="s">
        <v>1846</v>
      </c>
      <c r="G551" s="112"/>
      <c r="H551" s="112"/>
      <c r="I551" s="112"/>
      <c r="J551" s="1"/>
    </row>
    <row r="552">
      <c r="A552" s="59">
        <f>HYPERLINK("https://polkadot.subsquare.io/treasury/proposals/283", 283)</f>
        <v>283</v>
      </c>
      <c r="B552" s="59">
        <f t="shared" si="10"/>
        <v>-1</v>
      </c>
      <c r="C552" s="1" t="s">
        <v>2857</v>
      </c>
      <c r="D552" s="69"/>
      <c r="E552" s="69">
        <v>45147.0</v>
      </c>
      <c r="F552" s="1" t="s">
        <v>1846</v>
      </c>
      <c r="G552" s="112"/>
      <c r="H552" s="112"/>
      <c r="I552" s="112"/>
      <c r="J552" s="1"/>
    </row>
    <row r="553">
      <c r="A553" s="59">
        <f>HYPERLINK("https://polkadot.subsquare.io/treasury/proposals/282", 282)</f>
        <v>282</v>
      </c>
      <c r="B553" s="59">
        <f t="shared" si="10"/>
        <v>-1</v>
      </c>
      <c r="C553" s="1" t="s">
        <v>2858</v>
      </c>
      <c r="D553" s="69"/>
      <c r="E553" s="69">
        <v>45147.0</v>
      </c>
      <c r="F553" s="1" t="s">
        <v>1846</v>
      </c>
      <c r="G553" s="112"/>
      <c r="H553" s="112"/>
      <c r="I553" s="112"/>
      <c r="J553" s="1"/>
    </row>
    <row r="554">
      <c r="A554" s="59">
        <f>HYPERLINK("https://polkadot.subsquare.io/treasury/proposals/281", 281)</f>
        <v>281</v>
      </c>
      <c r="B554" s="59">
        <f t="shared" si="10"/>
        <v>-1</v>
      </c>
      <c r="C554" s="1" t="s">
        <v>2859</v>
      </c>
      <c r="D554" s="69"/>
      <c r="E554" s="69">
        <v>45147.0</v>
      </c>
      <c r="F554" s="1" t="s">
        <v>1846</v>
      </c>
      <c r="G554" s="112"/>
      <c r="H554" s="112"/>
      <c r="I554" s="112"/>
      <c r="J554" s="1"/>
    </row>
    <row r="555">
      <c r="A555" s="59">
        <f>HYPERLINK("https://polkadot.subsquare.io/treasury/proposals/280", 280)</f>
        <v>280</v>
      </c>
      <c r="B555" s="59">
        <f t="shared" si="10"/>
        <v>-1</v>
      </c>
      <c r="C555" s="1" t="s">
        <v>2860</v>
      </c>
      <c r="D555" s="69"/>
      <c r="E555" s="69">
        <v>45147.0</v>
      </c>
      <c r="F555" s="1" t="s">
        <v>1846</v>
      </c>
      <c r="G555" s="112"/>
      <c r="H555" s="112"/>
      <c r="I555" s="112"/>
      <c r="J555" s="1"/>
    </row>
    <row r="556">
      <c r="A556" s="59">
        <f>HYPERLINK("https://polkadot.subsquare.io/treasury/proposals/279", 279)</f>
        <v>279</v>
      </c>
      <c r="B556" s="59">
        <f t="shared" si="10"/>
        <v>-1</v>
      </c>
      <c r="C556" s="1" t="s">
        <v>2861</v>
      </c>
      <c r="D556" s="69"/>
      <c r="E556" s="69">
        <v>45147.0</v>
      </c>
      <c r="F556" s="1" t="s">
        <v>1846</v>
      </c>
      <c r="G556" s="112"/>
      <c r="H556" s="112"/>
      <c r="I556" s="112"/>
      <c r="J556" s="1"/>
    </row>
    <row r="557">
      <c r="A557" s="59">
        <f>HYPERLINK("https://polkadot.subsquare.io/treasury/proposals/278", 278)</f>
        <v>278</v>
      </c>
      <c r="B557" s="59">
        <f t="shared" si="10"/>
        <v>-1</v>
      </c>
      <c r="C557" s="1" t="s">
        <v>2862</v>
      </c>
      <c r="D557" s="69"/>
      <c r="E557" s="69">
        <v>45062.0</v>
      </c>
      <c r="F557" s="1" t="s">
        <v>2832</v>
      </c>
      <c r="G557" s="112"/>
      <c r="H557" s="112"/>
      <c r="I557" s="112"/>
      <c r="J557" s="1"/>
    </row>
    <row r="558">
      <c r="A558" s="59">
        <f>HYPERLINK("https://polkadot.subsquare.io/treasury/proposals/277", 277)</f>
        <v>277</v>
      </c>
      <c r="B558" s="59">
        <f t="shared" si="10"/>
        <v>-1</v>
      </c>
      <c r="C558" s="1" t="s">
        <v>2863</v>
      </c>
      <c r="D558" s="69"/>
      <c r="E558" s="69">
        <v>45062.0</v>
      </c>
      <c r="F558" s="1" t="s">
        <v>2832</v>
      </c>
      <c r="G558" s="112"/>
      <c r="H558" s="112"/>
      <c r="I558" s="112"/>
      <c r="J558" s="1"/>
    </row>
    <row r="559">
      <c r="A559" s="59">
        <f>HYPERLINK("https://polkadot.subsquare.io/treasury/proposals/276", 276)</f>
        <v>276</v>
      </c>
      <c r="B559" s="59">
        <f t="shared" si="10"/>
        <v>-1</v>
      </c>
      <c r="C559" s="1" t="s">
        <v>2864</v>
      </c>
      <c r="D559" s="69"/>
      <c r="E559" s="69">
        <v>45062.0</v>
      </c>
      <c r="F559" s="1" t="s">
        <v>2832</v>
      </c>
      <c r="G559" s="112"/>
      <c r="H559" s="112"/>
      <c r="I559" s="112"/>
      <c r="J559" s="1"/>
    </row>
    <row r="560">
      <c r="A560" s="59">
        <f>HYPERLINK("https://polkadot.subsquare.io/treasury/proposals/275", 275)</f>
        <v>275</v>
      </c>
      <c r="B560" s="59">
        <f t="shared" si="10"/>
        <v>-1</v>
      </c>
      <c r="C560" s="1" t="s">
        <v>2865</v>
      </c>
      <c r="D560" s="69"/>
      <c r="E560" s="69">
        <v>45062.0</v>
      </c>
      <c r="F560" s="1" t="s">
        <v>2832</v>
      </c>
      <c r="G560" s="112"/>
      <c r="H560" s="112"/>
      <c r="I560" s="112"/>
      <c r="J560" s="1"/>
    </row>
    <row r="561">
      <c r="A561" s="59">
        <f>HYPERLINK("https://polkadot.subsquare.io/treasury/proposals/274", 274)</f>
        <v>274</v>
      </c>
      <c r="B561" s="59">
        <f t="shared" si="10"/>
        <v>-1</v>
      </c>
      <c r="C561" s="1" t="s">
        <v>2866</v>
      </c>
      <c r="D561" s="69"/>
      <c r="E561" s="69">
        <v>45147.0</v>
      </c>
      <c r="F561" s="1" t="s">
        <v>1846</v>
      </c>
      <c r="G561" s="112"/>
      <c r="H561" s="112"/>
      <c r="I561" s="112"/>
      <c r="J561" s="1"/>
    </row>
    <row r="562">
      <c r="A562" s="59">
        <f>HYPERLINK("https://polkadot.subsquare.io/treasury/proposals/273", 273)</f>
        <v>273</v>
      </c>
      <c r="B562" s="59">
        <f t="shared" si="10"/>
        <v>-1</v>
      </c>
      <c r="C562" s="1" t="s">
        <v>2867</v>
      </c>
      <c r="D562" s="69"/>
      <c r="E562" s="69">
        <v>45147.0</v>
      </c>
      <c r="F562" s="1" t="s">
        <v>1846</v>
      </c>
      <c r="G562" s="112"/>
      <c r="H562" s="112"/>
      <c r="I562" s="112"/>
      <c r="J562" s="1"/>
    </row>
    <row r="563">
      <c r="A563" s="59">
        <f>HYPERLINK("https://polkadot.subsquare.io/treasury/proposals/272", 272)</f>
        <v>272</v>
      </c>
      <c r="B563" s="59">
        <f t="shared" si="10"/>
        <v>-1</v>
      </c>
      <c r="C563" s="1" t="s">
        <v>2868</v>
      </c>
      <c r="D563" s="69"/>
      <c r="E563" s="69">
        <v>45062.0</v>
      </c>
      <c r="F563" s="1" t="s">
        <v>2832</v>
      </c>
      <c r="G563" s="112"/>
      <c r="H563" s="112"/>
      <c r="I563" s="112"/>
      <c r="J563" s="1"/>
    </row>
    <row r="564">
      <c r="A564" s="59">
        <f>HYPERLINK("https://polkadot.subsquare.io/treasury/proposals/271", 271)</f>
        <v>271</v>
      </c>
      <c r="B564" s="59">
        <f t="shared" si="10"/>
        <v>-1</v>
      </c>
      <c r="C564" s="1" t="s">
        <v>2869</v>
      </c>
      <c r="D564" s="69"/>
      <c r="E564" s="69">
        <v>45147.0</v>
      </c>
      <c r="F564" s="1" t="s">
        <v>1846</v>
      </c>
      <c r="G564" s="112"/>
      <c r="H564" s="112"/>
      <c r="I564" s="112"/>
      <c r="J564" s="1"/>
    </row>
    <row r="565">
      <c r="A565" s="59">
        <f>HYPERLINK("https://polkadot.subsquare.io/treasury/proposals/270", 270)</f>
        <v>270</v>
      </c>
      <c r="B565" s="59">
        <f t="shared" si="10"/>
        <v>-1</v>
      </c>
      <c r="C565" s="1" t="s">
        <v>2870</v>
      </c>
      <c r="D565" s="69"/>
      <c r="E565" s="69">
        <v>45147.0</v>
      </c>
      <c r="F565" s="1" t="s">
        <v>1846</v>
      </c>
      <c r="G565" s="112"/>
      <c r="H565" s="112"/>
      <c r="I565" s="112"/>
      <c r="J565" s="1"/>
    </row>
    <row r="566">
      <c r="A566" s="59">
        <f>HYPERLINK("https://polkadot.subsquare.io/treasury/proposals/269", 269)</f>
        <v>269</v>
      </c>
      <c r="B566" s="59">
        <f t="shared" si="10"/>
        <v>-1</v>
      </c>
      <c r="C566" s="1" t="s">
        <v>2871</v>
      </c>
      <c r="D566" s="69"/>
      <c r="E566" s="69">
        <v>45147.0</v>
      </c>
      <c r="F566" s="1" t="s">
        <v>1846</v>
      </c>
      <c r="G566" s="112"/>
      <c r="H566" s="112"/>
      <c r="I566" s="112"/>
      <c r="J566" s="1"/>
    </row>
    <row r="567">
      <c r="A567" s="59">
        <f>HYPERLINK("https://polkadot.subsquare.io/treasury/proposals/268", 268)</f>
        <v>268</v>
      </c>
      <c r="B567" s="59">
        <f t="shared" si="10"/>
        <v>-1</v>
      </c>
      <c r="C567" s="1" t="s">
        <v>2872</v>
      </c>
      <c r="D567" s="69"/>
      <c r="E567" s="69">
        <v>45038.0</v>
      </c>
      <c r="F567" s="1" t="s">
        <v>2832</v>
      </c>
      <c r="G567" s="112"/>
      <c r="H567" s="112"/>
      <c r="I567" s="112"/>
      <c r="J567" s="1"/>
    </row>
    <row r="568">
      <c r="A568" s="59">
        <f>HYPERLINK("https://polkadot.subsquare.io/treasury/proposals/267", 267)</f>
        <v>267</v>
      </c>
      <c r="B568" s="59">
        <f t="shared" si="10"/>
        <v>-1</v>
      </c>
      <c r="C568" s="1" t="s">
        <v>2873</v>
      </c>
      <c r="D568" s="69"/>
      <c r="E568" s="69">
        <v>45062.0</v>
      </c>
      <c r="F568" s="1" t="s">
        <v>2832</v>
      </c>
      <c r="G568" s="112"/>
      <c r="H568" s="112"/>
      <c r="I568" s="112"/>
      <c r="J568" s="1"/>
    </row>
    <row r="569">
      <c r="A569" s="59">
        <f>HYPERLINK("https://polkadot.subsquare.io/treasury/proposals/266", 266)</f>
        <v>266</v>
      </c>
      <c r="B569" s="59">
        <f t="shared" si="10"/>
        <v>-1</v>
      </c>
      <c r="C569" s="1" t="s">
        <v>2874</v>
      </c>
      <c r="D569" s="69"/>
      <c r="E569" s="69">
        <v>45062.0</v>
      </c>
      <c r="F569" s="1" t="s">
        <v>2832</v>
      </c>
      <c r="G569" s="112"/>
      <c r="H569" s="112"/>
      <c r="I569" s="112"/>
      <c r="J569" s="1"/>
    </row>
    <row r="570">
      <c r="A570" s="59">
        <f>HYPERLINK("https://polkadot.subsquare.io/treasury/proposals/265", 265)</f>
        <v>265</v>
      </c>
      <c r="B570" s="59">
        <f t="shared" si="10"/>
        <v>-1</v>
      </c>
      <c r="C570" s="1" t="s">
        <v>2875</v>
      </c>
      <c r="D570" s="69"/>
      <c r="E570" s="69">
        <v>45038.0</v>
      </c>
      <c r="F570" s="1" t="s">
        <v>2832</v>
      </c>
      <c r="G570" s="112"/>
      <c r="H570" s="112"/>
      <c r="I570" s="112"/>
      <c r="J570" s="1"/>
    </row>
    <row r="571">
      <c r="A571" s="59">
        <f>HYPERLINK("https://polkadot.subsquare.io/treasury/proposals/264", 264)</f>
        <v>264</v>
      </c>
      <c r="B571" s="59">
        <f t="shared" si="10"/>
        <v>-1</v>
      </c>
      <c r="C571" s="1" t="s">
        <v>2876</v>
      </c>
      <c r="D571" s="69"/>
      <c r="E571" s="69">
        <v>45038.0</v>
      </c>
      <c r="F571" s="1" t="s">
        <v>2832</v>
      </c>
      <c r="G571" s="112"/>
      <c r="H571" s="112"/>
      <c r="I571" s="112"/>
      <c r="J571" s="1"/>
    </row>
    <row r="572">
      <c r="A572" s="59">
        <f>HYPERLINK("https://polkadot.subsquare.io/treasury/proposals/263", 263)</f>
        <v>263</v>
      </c>
      <c r="B572" s="59">
        <f t="shared" si="10"/>
        <v>-1</v>
      </c>
      <c r="C572" s="1" t="s">
        <v>2877</v>
      </c>
      <c r="D572" s="69"/>
      <c r="E572" s="69">
        <v>45086.0</v>
      </c>
      <c r="F572" s="1" t="s">
        <v>2832</v>
      </c>
      <c r="G572" s="112"/>
      <c r="H572" s="112"/>
      <c r="I572" s="112"/>
      <c r="J572" s="1"/>
    </row>
    <row r="573">
      <c r="A573" s="59">
        <f>HYPERLINK("https://polkadot.subsquare.io/treasury/proposals/262", 262)</f>
        <v>262</v>
      </c>
      <c r="B573" s="59">
        <f t="shared" si="10"/>
        <v>-1</v>
      </c>
      <c r="C573" s="1" t="s">
        <v>2878</v>
      </c>
      <c r="D573" s="69"/>
      <c r="E573" s="69">
        <v>45038.0</v>
      </c>
      <c r="F573" s="1" t="s">
        <v>2832</v>
      </c>
      <c r="G573" s="112"/>
      <c r="H573" s="112"/>
      <c r="I573" s="112"/>
      <c r="J573" s="1"/>
    </row>
    <row r="574">
      <c r="A574" s="59">
        <f>HYPERLINK("https://polkadot.subsquare.io/treasury/proposals/261", 261)</f>
        <v>261</v>
      </c>
      <c r="B574" s="59">
        <f t="shared" si="10"/>
        <v>-1</v>
      </c>
      <c r="C574" s="1" t="s">
        <v>2879</v>
      </c>
      <c r="D574" s="69"/>
      <c r="E574" s="69">
        <v>45147.0</v>
      </c>
      <c r="F574" s="1" t="s">
        <v>1846</v>
      </c>
      <c r="G574" s="112"/>
      <c r="H574" s="112"/>
      <c r="I574" s="112"/>
      <c r="J574" s="1"/>
    </row>
    <row r="575">
      <c r="A575" s="59">
        <f>HYPERLINK("https://polkadot.subsquare.io/treasury/proposals/260", 260)</f>
        <v>260</v>
      </c>
      <c r="B575" s="59">
        <f t="shared" si="10"/>
        <v>-1</v>
      </c>
      <c r="C575" s="1" t="s">
        <v>1896</v>
      </c>
      <c r="D575" s="69"/>
      <c r="E575" s="69">
        <v>45147.0</v>
      </c>
      <c r="F575" s="1" t="s">
        <v>1846</v>
      </c>
      <c r="G575" s="112"/>
      <c r="H575" s="112"/>
      <c r="I575" s="112"/>
      <c r="J575" s="1"/>
    </row>
    <row r="576">
      <c r="A576" s="59">
        <f>HYPERLINK("https://polkadot.subsquare.io/treasury/proposals/259", 259)</f>
        <v>259</v>
      </c>
      <c r="B576" s="59">
        <f t="shared" si="10"/>
        <v>-1</v>
      </c>
      <c r="C576" s="1" t="s">
        <v>2880</v>
      </c>
      <c r="D576" s="69"/>
      <c r="E576" s="69">
        <v>45147.0</v>
      </c>
      <c r="F576" s="1" t="s">
        <v>1846</v>
      </c>
      <c r="G576" s="112"/>
      <c r="H576" s="112"/>
      <c r="I576" s="112"/>
      <c r="J576" s="1"/>
    </row>
    <row r="577">
      <c r="A577" s="59">
        <f>HYPERLINK("https://polkadot.subsquare.io/treasury/proposals/258", 258)</f>
        <v>258</v>
      </c>
      <c r="B577" s="59">
        <f t="shared" si="10"/>
        <v>-1</v>
      </c>
      <c r="C577" s="1" t="s">
        <v>2881</v>
      </c>
      <c r="D577" s="69"/>
      <c r="E577" s="69">
        <v>45086.0</v>
      </c>
      <c r="F577" s="1" t="s">
        <v>2832</v>
      </c>
      <c r="G577" s="112"/>
      <c r="H577" s="112"/>
      <c r="I577" s="112"/>
      <c r="J577" s="1"/>
    </row>
    <row r="578">
      <c r="A578" s="59">
        <f>HYPERLINK("https://polkadot.subsquare.io/treasury/proposals/257", 257)</f>
        <v>257</v>
      </c>
      <c r="B578" s="59">
        <f t="shared" si="10"/>
        <v>-1</v>
      </c>
      <c r="C578" s="1" t="s">
        <v>2882</v>
      </c>
      <c r="D578" s="69"/>
      <c r="E578" s="69">
        <v>45038.0</v>
      </c>
      <c r="F578" s="1" t="s">
        <v>2832</v>
      </c>
      <c r="G578" s="112"/>
      <c r="H578" s="112"/>
      <c r="I578" s="112"/>
      <c r="J578" s="1"/>
    </row>
    <row r="579">
      <c r="A579" s="59">
        <f>HYPERLINK("https://polkadot.subsquare.io/treasury/proposals/256", 256)</f>
        <v>256</v>
      </c>
      <c r="B579" s="59">
        <f t="shared" si="10"/>
        <v>-1</v>
      </c>
      <c r="C579" s="1" t="s">
        <v>2883</v>
      </c>
      <c r="D579" s="69"/>
      <c r="E579" s="69">
        <v>45147.0</v>
      </c>
      <c r="F579" s="1" t="s">
        <v>1846</v>
      </c>
      <c r="G579" s="112"/>
      <c r="H579" s="112"/>
      <c r="I579" s="112"/>
      <c r="J579" s="1"/>
    </row>
    <row r="580">
      <c r="A580" s="59">
        <f>HYPERLINK("https://polkadot.subsquare.io/treasury/proposals/255", 255)</f>
        <v>255</v>
      </c>
      <c r="B580" s="59">
        <f t="shared" si="10"/>
        <v>-1</v>
      </c>
      <c r="C580" s="1" t="s">
        <v>2884</v>
      </c>
      <c r="D580" s="69"/>
      <c r="E580" s="69">
        <v>45038.0</v>
      </c>
      <c r="F580" s="1" t="s">
        <v>2832</v>
      </c>
      <c r="G580" s="112"/>
      <c r="H580" s="112"/>
      <c r="I580" s="112"/>
      <c r="J580" s="1"/>
    </row>
    <row r="581">
      <c r="A581" s="59">
        <f>HYPERLINK("https://polkadot.subsquare.io/treasury/proposals/254", 254)</f>
        <v>254</v>
      </c>
      <c r="B581" s="59">
        <f t="shared" si="10"/>
        <v>-1</v>
      </c>
      <c r="C581" s="1" t="s">
        <v>2885</v>
      </c>
      <c r="D581" s="69"/>
      <c r="E581" s="69">
        <v>45147.0</v>
      </c>
      <c r="F581" s="1" t="s">
        <v>1846</v>
      </c>
      <c r="G581" s="112"/>
      <c r="H581" s="112"/>
      <c r="I581" s="112"/>
      <c r="J581" s="1"/>
    </row>
    <row r="582">
      <c r="A582" s="59">
        <f>HYPERLINK("https://polkadot.subsquare.io/treasury/proposals/253", 253)</f>
        <v>253</v>
      </c>
      <c r="B582" s="59">
        <f t="shared" si="10"/>
        <v>-1</v>
      </c>
      <c r="C582" s="1" t="s">
        <v>2886</v>
      </c>
      <c r="D582" s="69"/>
      <c r="E582" s="69">
        <v>45147.0</v>
      </c>
      <c r="F582" s="1" t="s">
        <v>1846</v>
      </c>
      <c r="G582" s="112"/>
      <c r="H582" s="112"/>
      <c r="I582" s="112"/>
      <c r="J582" s="1"/>
    </row>
    <row r="583">
      <c r="A583" s="59">
        <f>HYPERLINK("https://polkadot.subsquare.io/treasury/proposals/252", 252)</f>
        <v>252</v>
      </c>
      <c r="B583" s="59">
        <f t="shared" si="10"/>
        <v>-1</v>
      </c>
      <c r="C583" s="1" t="s">
        <v>2887</v>
      </c>
      <c r="D583" s="69"/>
      <c r="E583" s="69">
        <v>45038.0</v>
      </c>
      <c r="F583" s="1" t="s">
        <v>2832</v>
      </c>
      <c r="G583" s="112"/>
      <c r="H583" s="112"/>
      <c r="I583" s="112"/>
      <c r="J583" s="1"/>
    </row>
    <row r="584">
      <c r="A584" s="59">
        <f>HYPERLINK("https://polkadot.subsquare.io/treasury/proposals/251", 251)</f>
        <v>251</v>
      </c>
      <c r="B584" s="59">
        <f t="shared" si="10"/>
        <v>-1</v>
      </c>
      <c r="C584" s="1" t="s">
        <v>2888</v>
      </c>
      <c r="D584" s="69"/>
      <c r="E584" s="69">
        <v>45147.0</v>
      </c>
      <c r="F584" s="1" t="s">
        <v>1846</v>
      </c>
      <c r="G584" s="112"/>
      <c r="H584" s="112"/>
      <c r="I584" s="112"/>
      <c r="J584" s="1"/>
    </row>
    <row r="585">
      <c r="A585" s="59">
        <f>HYPERLINK("https://polkadot.subsquare.io/treasury/proposals/250", 250)</f>
        <v>250</v>
      </c>
      <c r="B585" s="59">
        <f t="shared" si="10"/>
        <v>-1</v>
      </c>
      <c r="C585" s="1" t="s">
        <v>2889</v>
      </c>
      <c r="D585" s="69"/>
      <c r="E585" s="69">
        <v>45086.0</v>
      </c>
      <c r="F585" s="1" t="s">
        <v>2832</v>
      </c>
      <c r="G585" s="112"/>
      <c r="H585" s="112"/>
      <c r="I585" s="112"/>
      <c r="J585" s="1"/>
    </row>
    <row r="586">
      <c r="A586" s="59">
        <f>HYPERLINK("https://polkadot.subsquare.io/treasury/proposals/249", 249)</f>
        <v>249</v>
      </c>
      <c r="B586" s="59">
        <f t="shared" si="10"/>
        <v>-1</v>
      </c>
      <c r="C586" s="1" t="s">
        <v>2890</v>
      </c>
      <c r="D586" s="69"/>
      <c r="E586" s="69">
        <v>45014.0</v>
      </c>
      <c r="F586" s="1" t="s">
        <v>2832</v>
      </c>
      <c r="G586" s="112"/>
      <c r="H586" s="112"/>
      <c r="I586" s="112"/>
      <c r="J586" s="1"/>
    </row>
    <row r="587">
      <c r="A587" s="59">
        <f>HYPERLINK("https://polkadot.subsquare.io/treasury/proposals/248", 248)</f>
        <v>248</v>
      </c>
      <c r="B587" s="59">
        <f t="shared" si="10"/>
        <v>-1</v>
      </c>
      <c r="C587" s="1" t="s">
        <v>2891</v>
      </c>
      <c r="D587" s="69"/>
      <c r="E587" s="69">
        <v>45147.0</v>
      </c>
      <c r="F587" s="1" t="s">
        <v>1846</v>
      </c>
      <c r="G587" s="112"/>
      <c r="H587" s="112"/>
      <c r="I587" s="112"/>
      <c r="J587" s="1"/>
    </row>
    <row r="588">
      <c r="A588" s="59">
        <f>HYPERLINK("https://polkadot.subsquare.io/treasury/proposals/247", 247)</f>
        <v>247</v>
      </c>
      <c r="B588" s="59">
        <f t="shared" si="10"/>
        <v>-1</v>
      </c>
      <c r="C588" s="1" t="s">
        <v>2891</v>
      </c>
      <c r="D588" s="69"/>
      <c r="E588" s="69">
        <v>45147.0</v>
      </c>
      <c r="F588" s="1" t="s">
        <v>1846</v>
      </c>
      <c r="G588" s="112"/>
      <c r="H588" s="112"/>
      <c r="I588" s="112"/>
      <c r="J588" s="1"/>
    </row>
    <row r="589">
      <c r="A589" s="59">
        <f>HYPERLINK("https://polkadot.subsquare.io/treasury/proposals/246", 246)</f>
        <v>246</v>
      </c>
      <c r="B589" s="59">
        <f t="shared" si="10"/>
        <v>-1</v>
      </c>
      <c r="C589" s="1" t="s">
        <v>1876</v>
      </c>
      <c r="D589" s="69"/>
      <c r="E589" s="69">
        <v>45147.0</v>
      </c>
      <c r="F589" s="1" t="s">
        <v>1846</v>
      </c>
      <c r="G589" s="112"/>
      <c r="H589" s="112"/>
      <c r="I589" s="112"/>
      <c r="J589" s="1"/>
    </row>
    <row r="590">
      <c r="A590" s="59">
        <f>HYPERLINK("https://polkadot.subsquare.io/treasury/proposals/245", 245)</f>
        <v>245</v>
      </c>
      <c r="B590" s="59">
        <f t="shared" si="10"/>
        <v>-1</v>
      </c>
      <c r="C590" s="1" t="s">
        <v>2892</v>
      </c>
      <c r="D590" s="69"/>
      <c r="E590" s="69">
        <v>45147.0</v>
      </c>
      <c r="F590" s="1" t="s">
        <v>1846</v>
      </c>
      <c r="G590" s="112"/>
      <c r="H590" s="112"/>
      <c r="I590" s="112"/>
      <c r="J590" s="1"/>
    </row>
    <row r="591">
      <c r="A591" s="59">
        <f>HYPERLINK("https://polkadot.subsquare.io/treasury/proposals/244", 244)</f>
        <v>244</v>
      </c>
      <c r="B591" s="59">
        <f t="shared" si="10"/>
        <v>-1</v>
      </c>
      <c r="C591" s="1" t="s">
        <v>2893</v>
      </c>
      <c r="D591" s="69"/>
      <c r="E591" s="69">
        <v>45147.0</v>
      </c>
      <c r="F591" s="1" t="s">
        <v>1846</v>
      </c>
      <c r="G591" s="112"/>
      <c r="H591" s="112"/>
      <c r="I591" s="112"/>
      <c r="J591" s="1"/>
    </row>
    <row r="592">
      <c r="A592" s="59">
        <f>HYPERLINK("https://polkadot.subsquare.io/treasury/proposals/243", 243)</f>
        <v>243</v>
      </c>
      <c r="B592" s="59">
        <f t="shared" si="10"/>
        <v>-1</v>
      </c>
      <c r="C592" s="1" t="s">
        <v>2894</v>
      </c>
      <c r="D592" s="69"/>
      <c r="E592" s="69">
        <v>45147.0</v>
      </c>
      <c r="F592" s="1" t="s">
        <v>1846</v>
      </c>
      <c r="G592" s="112"/>
      <c r="H592" s="112"/>
      <c r="I592" s="112"/>
      <c r="J592" s="1"/>
    </row>
    <row r="593">
      <c r="A593" s="59">
        <f>HYPERLINK("https://polkadot.subsquare.io/treasury/proposals/242", 242)</f>
        <v>242</v>
      </c>
      <c r="B593" s="59">
        <f t="shared" si="10"/>
        <v>-1</v>
      </c>
      <c r="C593" s="1" t="s">
        <v>2895</v>
      </c>
      <c r="D593" s="69"/>
      <c r="E593" s="69">
        <v>45014.0</v>
      </c>
      <c r="F593" s="1" t="s">
        <v>2832</v>
      </c>
      <c r="G593" s="112"/>
      <c r="H593" s="112"/>
      <c r="I593" s="112"/>
      <c r="J593" s="1"/>
    </row>
    <row r="594">
      <c r="A594" s="59">
        <f>HYPERLINK("https://polkadot.subsquare.io/treasury/proposals/241", 241)</f>
        <v>241</v>
      </c>
      <c r="B594" s="59">
        <f t="shared" si="10"/>
        <v>-1</v>
      </c>
      <c r="C594" s="1" t="s">
        <v>2896</v>
      </c>
      <c r="D594" s="69"/>
      <c r="E594" s="69">
        <v>45014.0</v>
      </c>
      <c r="F594" s="1" t="s">
        <v>2832</v>
      </c>
      <c r="G594" s="112"/>
      <c r="H594" s="112"/>
      <c r="I594" s="112"/>
      <c r="J594" s="1"/>
    </row>
    <row r="595">
      <c r="A595" s="59">
        <f>HYPERLINK("https://polkadot.subsquare.io/treasury/proposals/240", 240)</f>
        <v>240</v>
      </c>
      <c r="B595" s="59">
        <f t="shared" si="10"/>
        <v>-1</v>
      </c>
      <c r="C595" s="1" t="s">
        <v>2897</v>
      </c>
      <c r="D595" s="69"/>
      <c r="E595" s="69">
        <v>45014.0</v>
      </c>
      <c r="F595" s="1" t="s">
        <v>2832</v>
      </c>
      <c r="G595" s="112"/>
      <c r="H595" s="112"/>
      <c r="I595" s="112"/>
      <c r="J595" s="1"/>
    </row>
    <row r="596">
      <c r="A596" s="59">
        <f>HYPERLINK("https://polkadot.subsquare.io/treasury/proposals/239", 239)</f>
        <v>239</v>
      </c>
      <c r="B596" s="59">
        <f t="shared" si="10"/>
        <v>-1</v>
      </c>
      <c r="C596" s="1" t="s">
        <v>2898</v>
      </c>
      <c r="D596" s="69"/>
      <c r="E596" s="69">
        <v>45062.0</v>
      </c>
      <c r="F596" s="1" t="s">
        <v>2832</v>
      </c>
      <c r="G596" s="112"/>
      <c r="H596" s="112"/>
      <c r="I596" s="112"/>
      <c r="J596" s="1"/>
    </row>
    <row r="597">
      <c r="A597" s="59">
        <f>HYPERLINK("https://polkadot.subsquare.io/treasury/proposals/238", 238)</f>
        <v>238</v>
      </c>
      <c r="B597" s="59">
        <f t="shared" si="10"/>
        <v>-1</v>
      </c>
      <c r="C597" s="1" t="s">
        <v>2899</v>
      </c>
      <c r="D597" s="69"/>
      <c r="E597" s="69">
        <v>45147.0</v>
      </c>
      <c r="F597" s="1" t="s">
        <v>1846</v>
      </c>
      <c r="G597" s="112"/>
      <c r="H597" s="112"/>
      <c r="I597" s="112"/>
      <c r="J597" s="1"/>
    </row>
    <row r="598">
      <c r="A598" s="59">
        <f>HYPERLINK("https://polkadot.subsquare.io/treasury/proposals/237", 237)</f>
        <v>237</v>
      </c>
      <c r="B598" s="59">
        <f t="shared" si="10"/>
        <v>-1</v>
      </c>
      <c r="C598" s="1" t="s">
        <v>2900</v>
      </c>
      <c r="D598" s="69"/>
      <c r="E598" s="69">
        <v>45014.0</v>
      </c>
      <c r="F598" s="1" t="s">
        <v>2832</v>
      </c>
      <c r="G598" s="112"/>
      <c r="H598" s="112"/>
      <c r="I598" s="112"/>
      <c r="J598" s="1"/>
    </row>
    <row r="599">
      <c r="A599" s="59">
        <f>HYPERLINK("https://polkadot.subsquare.io/treasury/proposals/236", 236)</f>
        <v>236</v>
      </c>
      <c r="B599" s="59">
        <f t="shared" si="10"/>
        <v>-1</v>
      </c>
      <c r="C599" s="1" t="s">
        <v>2901</v>
      </c>
      <c r="D599" s="69"/>
      <c r="E599" s="69">
        <v>44990.0</v>
      </c>
      <c r="F599" s="1" t="s">
        <v>2832</v>
      </c>
      <c r="G599" s="112"/>
      <c r="H599" s="112"/>
      <c r="I599" s="112"/>
      <c r="J599" s="1"/>
    </row>
    <row r="600">
      <c r="A600" s="59">
        <f>HYPERLINK("https://polkadot.subsquare.io/treasury/proposals/235", 235)</f>
        <v>235</v>
      </c>
      <c r="B600" s="59">
        <f t="shared" si="10"/>
        <v>-1</v>
      </c>
      <c r="C600" s="1" t="s">
        <v>2902</v>
      </c>
      <c r="D600" s="69"/>
      <c r="E600" s="69">
        <v>45014.0</v>
      </c>
      <c r="F600" s="1" t="s">
        <v>2832</v>
      </c>
      <c r="G600" s="112"/>
      <c r="H600" s="112"/>
      <c r="I600" s="112"/>
      <c r="J600" s="1"/>
    </row>
    <row r="601">
      <c r="A601" s="59">
        <f>HYPERLINK("https://polkadot.subsquare.io/treasury/proposals/234", 234)</f>
        <v>234</v>
      </c>
      <c r="B601" s="59">
        <f t="shared" si="10"/>
        <v>-1</v>
      </c>
      <c r="C601" s="1"/>
      <c r="D601" s="69"/>
      <c r="E601" s="69">
        <v>44990.0</v>
      </c>
      <c r="F601" s="1" t="s">
        <v>2832</v>
      </c>
      <c r="G601" s="112"/>
      <c r="H601" s="112"/>
      <c r="I601" s="112"/>
      <c r="J601" s="1"/>
    </row>
    <row r="602">
      <c r="A602" s="59">
        <f>HYPERLINK("https://polkadot.subsquare.io/treasury/proposals/233", 233)</f>
        <v>233</v>
      </c>
      <c r="B602" s="59">
        <f t="shared" si="10"/>
        <v>-1</v>
      </c>
      <c r="C602" s="1" t="s">
        <v>2903</v>
      </c>
      <c r="D602" s="69"/>
      <c r="E602" s="69">
        <v>45147.0</v>
      </c>
      <c r="F602" s="1" t="s">
        <v>1846</v>
      </c>
      <c r="G602" s="112"/>
      <c r="H602" s="112"/>
      <c r="I602" s="112"/>
      <c r="J602" s="1"/>
    </row>
    <row r="603">
      <c r="A603" s="59">
        <f>HYPERLINK("https://polkadot.subsquare.io/treasury/proposals/232", 232)</f>
        <v>232</v>
      </c>
      <c r="B603" s="59">
        <f t="shared" si="10"/>
        <v>-1</v>
      </c>
      <c r="C603" s="1" t="s">
        <v>2904</v>
      </c>
      <c r="D603" s="69"/>
      <c r="E603" s="69">
        <v>44990.0</v>
      </c>
      <c r="F603" s="1" t="s">
        <v>2832</v>
      </c>
      <c r="G603" s="112"/>
      <c r="H603" s="112"/>
      <c r="I603" s="112"/>
      <c r="J603" s="1"/>
    </row>
    <row r="604">
      <c r="A604" s="59">
        <f>HYPERLINK("https://polkadot.subsquare.io/treasury/proposals/231", 231)</f>
        <v>231</v>
      </c>
      <c r="B604" s="59">
        <f t="shared" si="10"/>
        <v>-1</v>
      </c>
      <c r="C604" s="1" t="s">
        <v>2905</v>
      </c>
      <c r="D604" s="69"/>
      <c r="E604" s="69">
        <v>44990.0</v>
      </c>
      <c r="F604" s="1" t="s">
        <v>2832</v>
      </c>
      <c r="G604" s="112"/>
      <c r="H604" s="112"/>
      <c r="I604" s="112"/>
      <c r="J604" s="1"/>
    </row>
    <row r="605">
      <c r="A605" s="59">
        <f>HYPERLINK("https://polkadot.subsquare.io/treasury/proposals/230", 230)</f>
        <v>230</v>
      </c>
      <c r="B605" s="59">
        <f t="shared" si="10"/>
        <v>-1</v>
      </c>
      <c r="C605" s="1" t="s">
        <v>2906</v>
      </c>
      <c r="D605" s="69"/>
      <c r="E605" s="69">
        <v>45147.0</v>
      </c>
      <c r="F605" s="1" t="s">
        <v>1846</v>
      </c>
      <c r="G605" s="112"/>
      <c r="H605" s="112"/>
      <c r="I605" s="112"/>
      <c r="J605" s="1"/>
    </row>
    <row r="606">
      <c r="A606" s="59">
        <f>HYPERLINK("https://polkadot.subsquare.io/treasury/proposals/229", 229)</f>
        <v>229</v>
      </c>
      <c r="B606" s="59">
        <f t="shared" si="10"/>
        <v>-1</v>
      </c>
      <c r="C606" s="1" t="s">
        <v>2907</v>
      </c>
      <c r="D606" s="69"/>
      <c r="E606" s="69">
        <v>44990.0</v>
      </c>
      <c r="F606" s="1" t="s">
        <v>2832</v>
      </c>
      <c r="G606" s="112"/>
      <c r="H606" s="112"/>
      <c r="I606" s="112"/>
      <c r="J606" s="1"/>
    </row>
    <row r="607">
      <c r="A607" s="59">
        <f>HYPERLINK("https://polkadot.subsquare.io/treasury/proposals/228", 228)</f>
        <v>228</v>
      </c>
      <c r="B607" s="59">
        <f t="shared" si="10"/>
        <v>-1</v>
      </c>
      <c r="C607" s="1" t="s">
        <v>2908</v>
      </c>
      <c r="D607" s="69"/>
      <c r="E607" s="69">
        <v>45147.0</v>
      </c>
      <c r="F607" s="1" t="s">
        <v>1846</v>
      </c>
      <c r="G607" s="112"/>
      <c r="H607" s="112"/>
      <c r="I607" s="112"/>
      <c r="J607" s="1"/>
    </row>
    <row r="608">
      <c r="A608" s="59">
        <f>HYPERLINK("https://polkadot.subsquare.io/treasury/proposals/227", 227)</f>
        <v>227</v>
      </c>
      <c r="B608" s="59">
        <f t="shared" si="10"/>
        <v>-1</v>
      </c>
      <c r="C608" s="1" t="s">
        <v>2909</v>
      </c>
      <c r="D608" s="69"/>
      <c r="E608" s="69">
        <v>45014.0</v>
      </c>
      <c r="F608" s="1" t="s">
        <v>2832</v>
      </c>
      <c r="G608" s="112"/>
      <c r="H608" s="112"/>
      <c r="I608" s="112"/>
      <c r="J608" s="1"/>
    </row>
    <row r="609">
      <c r="A609" s="59">
        <f>HYPERLINK("https://polkadot.subsquare.io/treasury/proposals/226", 226)</f>
        <v>226</v>
      </c>
      <c r="B609" s="59">
        <f t="shared" si="10"/>
        <v>-1</v>
      </c>
      <c r="C609" s="1" t="s">
        <v>2910</v>
      </c>
      <c r="D609" s="69"/>
      <c r="E609" s="69">
        <v>44990.0</v>
      </c>
      <c r="F609" s="1" t="s">
        <v>2832</v>
      </c>
      <c r="G609" s="112"/>
      <c r="H609" s="112"/>
      <c r="I609" s="112"/>
      <c r="J609" s="1"/>
    </row>
    <row r="610">
      <c r="A610" s="59">
        <f>HYPERLINK("https://polkadot.subsquare.io/treasury/proposals/225", 225)</f>
        <v>225</v>
      </c>
      <c r="B610" s="59">
        <f t="shared" si="10"/>
        <v>-1</v>
      </c>
      <c r="C610" s="1"/>
      <c r="D610" s="69"/>
      <c r="E610" s="69">
        <v>44990.0</v>
      </c>
      <c r="F610" s="1" t="s">
        <v>2832</v>
      </c>
      <c r="G610" s="112"/>
      <c r="H610" s="112"/>
      <c r="I610" s="112"/>
      <c r="J610" s="1"/>
    </row>
    <row r="611">
      <c r="A611" s="59">
        <f>HYPERLINK("https://polkadot.subsquare.io/treasury/proposals/224", 224)</f>
        <v>224</v>
      </c>
      <c r="B611" s="59">
        <f t="shared" si="10"/>
        <v>-1</v>
      </c>
      <c r="C611" s="1" t="s">
        <v>2911</v>
      </c>
      <c r="D611" s="69"/>
      <c r="E611" s="69">
        <v>44990.0</v>
      </c>
      <c r="F611" s="1" t="s">
        <v>2832</v>
      </c>
      <c r="G611" s="112"/>
      <c r="H611" s="112"/>
      <c r="I611" s="112"/>
      <c r="J611" s="1"/>
    </row>
    <row r="612">
      <c r="A612" s="59">
        <f>HYPERLINK("https://polkadot.subsquare.io/treasury/proposals/223", 223)</f>
        <v>223</v>
      </c>
      <c r="B612" s="59">
        <f t="shared" si="10"/>
        <v>-1</v>
      </c>
      <c r="C612" s="1" t="s">
        <v>2912</v>
      </c>
      <c r="D612" s="69"/>
      <c r="E612" s="69">
        <v>44990.0</v>
      </c>
      <c r="F612" s="1" t="s">
        <v>2832</v>
      </c>
      <c r="G612" s="112"/>
      <c r="H612" s="112"/>
      <c r="I612" s="112"/>
      <c r="J612" s="1"/>
    </row>
    <row r="613">
      <c r="A613" s="59">
        <f>HYPERLINK("https://polkadot.subsquare.io/treasury/proposals/222", 222)</f>
        <v>222</v>
      </c>
      <c r="B613" s="59">
        <f t="shared" si="10"/>
        <v>-1</v>
      </c>
      <c r="C613" s="1" t="s">
        <v>2913</v>
      </c>
      <c r="D613" s="69"/>
      <c r="E613" s="69">
        <v>45147.0</v>
      </c>
      <c r="F613" s="1" t="s">
        <v>1846</v>
      </c>
      <c r="G613" s="112"/>
      <c r="H613" s="112"/>
      <c r="I613" s="112"/>
      <c r="J613" s="1"/>
    </row>
    <row r="614">
      <c r="A614" s="59">
        <f>HYPERLINK("https://polkadot.subsquare.io/treasury/proposals/221", 221)</f>
        <v>221</v>
      </c>
      <c r="B614" s="59">
        <f t="shared" si="10"/>
        <v>-1</v>
      </c>
      <c r="C614" s="1" t="s">
        <v>2914</v>
      </c>
      <c r="D614" s="69"/>
      <c r="E614" s="69">
        <v>44990.0</v>
      </c>
      <c r="F614" s="1" t="s">
        <v>2832</v>
      </c>
      <c r="G614" s="112"/>
      <c r="H614" s="112"/>
      <c r="I614" s="112"/>
      <c r="J614" s="1"/>
    </row>
    <row r="615">
      <c r="A615" s="59">
        <f>HYPERLINK("https://polkadot.subsquare.io/treasury/proposals/220", 220)</f>
        <v>220</v>
      </c>
      <c r="B615" s="59">
        <f t="shared" si="10"/>
        <v>-1</v>
      </c>
      <c r="C615" s="1"/>
      <c r="D615" s="69"/>
      <c r="E615" s="69">
        <v>44966.0</v>
      </c>
      <c r="F615" s="1" t="s">
        <v>2832</v>
      </c>
      <c r="G615" s="112"/>
      <c r="H615" s="112"/>
      <c r="I615" s="112"/>
      <c r="J615" s="1"/>
    </row>
    <row r="616">
      <c r="A616" s="59">
        <f>HYPERLINK("https://polkadot.subsquare.io/treasury/proposals/219", 219)</f>
        <v>219</v>
      </c>
      <c r="B616" s="59">
        <f t="shared" si="10"/>
        <v>-1</v>
      </c>
      <c r="C616" s="1" t="s">
        <v>2915</v>
      </c>
      <c r="D616" s="69"/>
      <c r="E616" s="69">
        <v>45147.0</v>
      </c>
      <c r="F616" s="1" t="s">
        <v>1846</v>
      </c>
      <c r="G616" s="112"/>
      <c r="H616" s="112"/>
      <c r="I616" s="112"/>
      <c r="J616" s="1"/>
    </row>
    <row r="617">
      <c r="A617" s="59">
        <f>HYPERLINK("https://polkadot.subsquare.io/treasury/proposals/218", 218)</f>
        <v>218</v>
      </c>
      <c r="B617" s="59">
        <f t="shared" si="10"/>
        <v>-1</v>
      </c>
      <c r="C617" s="1" t="s">
        <v>2916</v>
      </c>
      <c r="D617" s="69"/>
      <c r="E617" s="69">
        <v>44966.0</v>
      </c>
      <c r="F617" s="1" t="s">
        <v>2832</v>
      </c>
      <c r="G617" s="112"/>
      <c r="H617" s="112"/>
      <c r="I617" s="112"/>
      <c r="J617" s="1"/>
    </row>
    <row r="618">
      <c r="A618" s="59">
        <f>HYPERLINK("https://polkadot.subsquare.io/treasury/proposals/217", 217)</f>
        <v>217</v>
      </c>
      <c r="B618" s="59">
        <f t="shared" si="10"/>
        <v>-1</v>
      </c>
      <c r="C618" s="1" t="s">
        <v>2917</v>
      </c>
      <c r="D618" s="69"/>
      <c r="E618" s="69">
        <v>45038.0</v>
      </c>
      <c r="F618" s="1" t="s">
        <v>2832</v>
      </c>
      <c r="G618" s="112"/>
      <c r="H618" s="112"/>
      <c r="I618" s="112"/>
      <c r="J618" s="1"/>
    </row>
    <row r="619">
      <c r="A619" s="59">
        <f>HYPERLINK("https://polkadot.subsquare.io/treasury/proposals/216", 216)</f>
        <v>216</v>
      </c>
      <c r="B619" s="59">
        <f t="shared" si="10"/>
        <v>-1</v>
      </c>
      <c r="C619" s="1" t="s">
        <v>2918</v>
      </c>
      <c r="D619" s="69"/>
      <c r="E619" s="69">
        <v>44966.0</v>
      </c>
      <c r="F619" s="1" t="s">
        <v>2832</v>
      </c>
      <c r="G619" s="112"/>
      <c r="H619" s="112"/>
      <c r="I619" s="112"/>
      <c r="J619" s="1"/>
    </row>
    <row r="620">
      <c r="A620" s="59">
        <f>HYPERLINK("https://polkadot.subsquare.io/treasury/proposals/215", 215)</f>
        <v>215</v>
      </c>
      <c r="B620" s="59">
        <f t="shared" si="10"/>
        <v>-1</v>
      </c>
      <c r="C620" s="1" t="s">
        <v>2919</v>
      </c>
      <c r="D620" s="69"/>
      <c r="E620" s="69">
        <v>44966.0</v>
      </c>
      <c r="F620" s="1" t="s">
        <v>2832</v>
      </c>
      <c r="G620" s="112"/>
      <c r="H620" s="112"/>
      <c r="I620" s="112"/>
      <c r="J620" s="1"/>
    </row>
    <row r="621">
      <c r="A621" s="59">
        <f>HYPERLINK("https://polkadot.subsquare.io/treasury/proposals/214", 214)</f>
        <v>214</v>
      </c>
      <c r="B621" s="59">
        <f t="shared" si="10"/>
        <v>-1</v>
      </c>
      <c r="C621" s="1" t="s">
        <v>1202</v>
      </c>
      <c r="D621" s="69"/>
      <c r="E621" s="69">
        <v>44966.0</v>
      </c>
      <c r="F621" s="1" t="s">
        <v>2832</v>
      </c>
      <c r="G621" s="112"/>
      <c r="H621" s="112"/>
      <c r="I621" s="112"/>
      <c r="J621" s="1"/>
    </row>
    <row r="622">
      <c r="A622" s="59">
        <f>HYPERLINK("https://polkadot.subsquare.io/treasury/proposals/213", 213)</f>
        <v>213</v>
      </c>
      <c r="B622" s="59">
        <f t="shared" si="10"/>
        <v>-1</v>
      </c>
      <c r="C622" s="1" t="s">
        <v>2920</v>
      </c>
      <c r="D622" s="69"/>
      <c r="E622" s="69">
        <v>44966.0</v>
      </c>
      <c r="F622" s="1" t="s">
        <v>2832</v>
      </c>
      <c r="G622" s="112"/>
      <c r="H622" s="112"/>
      <c r="I622" s="112"/>
      <c r="J622" s="1"/>
    </row>
    <row r="623">
      <c r="A623" s="59">
        <f>HYPERLINK("https://polkadot.subsquare.io/treasury/proposals/212", 212)</f>
        <v>212</v>
      </c>
      <c r="B623" s="59">
        <f t="shared" si="10"/>
        <v>-1</v>
      </c>
      <c r="C623" s="1" t="s">
        <v>2921</v>
      </c>
      <c r="D623" s="69"/>
      <c r="E623" s="69">
        <v>44966.0</v>
      </c>
      <c r="F623" s="1" t="s">
        <v>2832</v>
      </c>
      <c r="G623" s="112"/>
      <c r="H623" s="112"/>
      <c r="I623" s="112"/>
      <c r="J623" s="1"/>
    </row>
    <row r="624">
      <c r="A624" s="59">
        <f>HYPERLINK("https://polkadot.subsquare.io/treasury/proposals/211", 211)</f>
        <v>211</v>
      </c>
      <c r="B624" s="59">
        <f t="shared" si="10"/>
        <v>-1</v>
      </c>
      <c r="C624" s="1" t="s">
        <v>2922</v>
      </c>
      <c r="D624" s="69"/>
      <c r="E624" s="69">
        <v>44966.0</v>
      </c>
      <c r="F624" s="1" t="s">
        <v>2832</v>
      </c>
      <c r="G624" s="112"/>
      <c r="H624" s="112"/>
      <c r="I624" s="112"/>
      <c r="J624" s="1"/>
    </row>
    <row r="625">
      <c r="A625" s="59">
        <f>HYPERLINK("https://polkadot.subsquare.io/treasury/proposals/210", 210)</f>
        <v>210</v>
      </c>
      <c r="B625" s="59">
        <f t="shared" si="10"/>
        <v>-1</v>
      </c>
      <c r="C625" s="1" t="s">
        <v>2923</v>
      </c>
      <c r="D625" s="69"/>
      <c r="E625" s="69">
        <v>44990.0</v>
      </c>
      <c r="F625" s="1" t="s">
        <v>2832</v>
      </c>
      <c r="G625" s="112"/>
      <c r="H625" s="112"/>
      <c r="I625" s="112"/>
      <c r="J625" s="1"/>
    </row>
    <row r="626">
      <c r="A626" s="59">
        <f>HYPERLINK("https://polkadot.subsquare.io/treasury/proposals/209", 209)</f>
        <v>209</v>
      </c>
      <c r="B626" s="59">
        <f t="shared" si="10"/>
        <v>-1</v>
      </c>
      <c r="C626" s="1" t="s">
        <v>2924</v>
      </c>
      <c r="D626" s="69"/>
      <c r="E626" s="69">
        <v>44966.0</v>
      </c>
      <c r="F626" s="1" t="s">
        <v>2832</v>
      </c>
      <c r="G626" s="112"/>
      <c r="H626" s="112"/>
      <c r="I626" s="112"/>
      <c r="J626" s="1"/>
    </row>
    <row r="627">
      <c r="A627" s="59">
        <f>HYPERLINK("https://polkadot.subsquare.io/treasury/proposals/208", 208)</f>
        <v>208</v>
      </c>
      <c r="B627" s="59">
        <f t="shared" si="10"/>
        <v>-1</v>
      </c>
      <c r="C627" s="1" t="s">
        <v>2925</v>
      </c>
      <c r="D627" s="69"/>
      <c r="E627" s="69">
        <v>44966.0</v>
      </c>
      <c r="F627" s="1" t="s">
        <v>2832</v>
      </c>
      <c r="G627" s="112"/>
      <c r="H627" s="112"/>
      <c r="I627" s="112"/>
      <c r="J627" s="1"/>
    </row>
    <row r="628">
      <c r="A628" s="59">
        <f>HYPERLINK("https://polkadot.subsquare.io/treasury/proposals/207", 207)</f>
        <v>207</v>
      </c>
      <c r="B628" s="59">
        <f t="shared" si="10"/>
        <v>-1</v>
      </c>
      <c r="C628" s="1" t="s">
        <v>2926</v>
      </c>
      <c r="D628" s="69"/>
      <c r="E628" s="69">
        <v>45147.0</v>
      </c>
      <c r="F628" s="1" t="s">
        <v>1846</v>
      </c>
      <c r="G628" s="112"/>
      <c r="H628" s="112"/>
      <c r="I628" s="112"/>
      <c r="J628" s="1"/>
    </row>
    <row r="629">
      <c r="A629" s="59">
        <f>HYPERLINK("https://polkadot.subsquare.io/treasury/proposals/206", 206)</f>
        <v>206</v>
      </c>
      <c r="B629" s="59">
        <f t="shared" si="10"/>
        <v>-1</v>
      </c>
      <c r="C629" s="1" t="s">
        <v>2927</v>
      </c>
      <c r="D629" s="69"/>
      <c r="E629" s="69">
        <v>44942.0</v>
      </c>
      <c r="F629" s="1" t="s">
        <v>2832</v>
      </c>
      <c r="G629" s="112"/>
      <c r="H629" s="112"/>
      <c r="I629" s="112"/>
      <c r="J629" s="1"/>
    </row>
    <row r="630">
      <c r="A630" s="59">
        <f>HYPERLINK("https://polkadot.subsquare.io/treasury/proposals/205", 205)</f>
        <v>205</v>
      </c>
      <c r="B630" s="59">
        <f t="shared" si="10"/>
        <v>-1</v>
      </c>
      <c r="C630" s="1" t="s">
        <v>2877</v>
      </c>
      <c r="D630" s="69"/>
      <c r="E630" s="69">
        <v>44942.0</v>
      </c>
      <c r="F630" s="1" t="s">
        <v>2832</v>
      </c>
      <c r="G630" s="112"/>
      <c r="H630" s="112"/>
      <c r="I630" s="112"/>
      <c r="J630" s="1"/>
    </row>
    <row r="631">
      <c r="A631" s="59">
        <f>HYPERLINK("https://polkadot.subsquare.io/treasury/proposals/204", 204)</f>
        <v>204</v>
      </c>
      <c r="B631" s="59">
        <f t="shared" si="10"/>
        <v>-1</v>
      </c>
      <c r="C631" s="1" t="s">
        <v>2928</v>
      </c>
      <c r="D631" s="69"/>
      <c r="E631" s="69">
        <v>44942.0</v>
      </c>
      <c r="F631" s="1" t="s">
        <v>2832</v>
      </c>
      <c r="G631" s="112"/>
      <c r="H631" s="112"/>
      <c r="I631" s="112"/>
      <c r="J631" s="1"/>
    </row>
    <row r="632">
      <c r="A632" s="59">
        <f>HYPERLINK("https://polkadot.subsquare.io/treasury/proposals/203", 203)</f>
        <v>203</v>
      </c>
      <c r="B632" s="59">
        <f t="shared" si="10"/>
        <v>-1</v>
      </c>
      <c r="C632" s="1" t="s">
        <v>2929</v>
      </c>
      <c r="D632" s="69"/>
      <c r="E632" s="69">
        <v>44966.0</v>
      </c>
      <c r="F632" s="1" t="s">
        <v>2832</v>
      </c>
      <c r="G632" s="112"/>
      <c r="H632" s="112"/>
      <c r="I632" s="112"/>
      <c r="J632" s="1"/>
    </row>
    <row r="633">
      <c r="A633" s="59">
        <f>HYPERLINK("https://polkadot.subsquare.io/treasury/proposals/202", 202)</f>
        <v>202</v>
      </c>
      <c r="B633" s="59">
        <f t="shared" si="10"/>
        <v>-1</v>
      </c>
      <c r="C633" s="1" t="s">
        <v>2930</v>
      </c>
      <c r="D633" s="69"/>
      <c r="E633" s="69">
        <v>44942.0</v>
      </c>
      <c r="F633" s="1" t="s">
        <v>2832</v>
      </c>
      <c r="G633" s="112"/>
      <c r="H633" s="112"/>
      <c r="I633" s="112"/>
      <c r="J633" s="1"/>
    </row>
    <row r="634">
      <c r="A634" s="59">
        <f>HYPERLINK("https://polkadot.subsquare.io/treasury/proposals/201", 201)</f>
        <v>201</v>
      </c>
      <c r="B634" s="59">
        <f t="shared" si="10"/>
        <v>-1</v>
      </c>
      <c r="C634" s="1" t="s">
        <v>2931</v>
      </c>
      <c r="D634" s="69"/>
      <c r="E634" s="69">
        <v>44942.0</v>
      </c>
      <c r="F634" s="1" t="s">
        <v>2832</v>
      </c>
      <c r="G634" s="112"/>
      <c r="H634" s="112"/>
      <c r="I634" s="112"/>
      <c r="J634" s="1"/>
    </row>
    <row r="635">
      <c r="A635" s="59">
        <f>HYPERLINK("https://polkadot.subsquare.io/treasury/proposals/200", 200)</f>
        <v>200</v>
      </c>
      <c r="B635" s="59">
        <f t="shared" si="10"/>
        <v>-1</v>
      </c>
      <c r="C635" s="1" t="s">
        <v>2931</v>
      </c>
      <c r="D635" s="69"/>
      <c r="E635" s="69">
        <v>44922.0</v>
      </c>
      <c r="F635" s="1" t="s">
        <v>1846</v>
      </c>
      <c r="G635" s="112"/>
      <c r="H635" s="112"/>
      <c r="I635" s="112"/>
      <c r="J635" s="1"/>
    </row>
    <row r="636">
      <c r="A636" s="59">
        <f>HYPERLINK("https://polkadot.subsquare.io/treasury/proposals/199", 199)</f>
        <v>199</v>
      </c>
      <c r="B636" s="59">
        <f t="shared" si="10"/>
        <v>-1</v>
      </c>
      <c r="C636" s="1" t="s">
        <v>2932</v>
      </c>
      <c r="D636" s="69"/>
      <c r="E636" s="69">
        <v>44918.0</v>
      </c>
      <c r="F636" s="1" t="s">
        <v>2832</v>
      </c>
      <c r="G636" s="112"/>
      <c r="H636" s="112"/>
      <c r="I636" s="112"/>
      <c r="J636" s="1"/>
    </row>
    <row r="637">
      <c r="A637" s="59">
        <f>HYPERLINK("https://polkadot.subsquare.io/treasury/proposals/198", 198)</f>
        <v>198</v>
      </c>
      <c r="B637" s="59">
        <f t="shared" si="10"/>
        <v>-1</v>
      </c>
      <c r="C637" s="1" t="s">
        <v>2933</v>
      </c>
      <c r="D637" s="69"/>
      <c r="E637" s="69">
        <v>44918.0</v>
      </c>
      <c r="F637" s="1" t="s">
        <v>2832</v>
      </c>
      <c r="G637" s="112"/>
      <c r="H637" s="112"/>
      <c r="I637" s="112"/>
      <c r="J637" s="1"/>
    </row>
    <row r="638">
      <c r="A638" s="59">
        <f>HYPERLINK("https://polkadot.subsquare.io/treasury/proposals/197", 197)</f>
        <v>197</v>
      </c>
      <c r="B638" s="59">
        <f t="shared" si="10"/>
        <v>-1</v>
      </c>
      <c r="C638" s="1" t="s">
        <v>2934</v>
      </c>
      <c r="D638" s="69"/>
      <c r="E638" s="69">
        <v>44918.0</v>
      </c>
      <c r="F638" s="1" t="s">
        <v>2832</v>
      </c>
      <c r="G638" s="112"/>
      <c r="H638" s="112"/>
      <c r="I638" s="112"/>
      <c r="J638" s="1"/>
    </row>
    <row r="639">
      <c r="A639" s="59">
        <f>HYPERLINK("https://polkadot.subsquare.io/treasury/proposals/196", 196)</f>
        <v>196</v>
      </c>
      <c r="B639" s="59">
        <f t="shared" si="10"/>
        <v>-1</v>
      </c>
      <c r="C639" s="1" t="s">
        <v>2935</v>
      </c>
      <c r="D639" s="69"/>
      <c r="E639" s="69">
        <v>44918.0</v>
      </c>
      <c r="F639" s="1" t="s">
        <v>2832</v>
      </c>
      <c r="G639" s="112"/>
      <c r="H639" s="112"/>
      <c r="I639" s="112"/>
      <c r="J639" s="1"/>
    </row>
    <row r="640">
      <c r="A640" s="59">
        <f>HYPERLINK("https://polkadot.subsquare.io/treasury/proposals/195", 195)</f>
        <v>195</v>
      </c>
      <c r="B640" s="59">
        <f t="shared" si="10"/>
        <v>-1</v>
      </c>
      <c r="C640" s="1" t="s">
        <v>2936</v>
      </c>
      <c r="D640" s="69"/>
      <c r="E640" s="69">
        <v>44918.0</v>
      </c>
      <c r="F640" s="1" t="s">
        <v>2832</v>
      </c>
      <c r="G640" s="112"/>
      <c r="H640" s="112"/>
      <c r="I640" s="112"/>
      <c r="J640" s="1"/>
    </row>
    <row r="641">
      <c r="A641" s="59">
        <f>HYPERLINK("https://polkadot.subsquare.io/treasury/proposals/194", 194)</f>
        <v>194</v>
      </c>
      <c r="B641" s="59">
        <f t="shared" si="10"/>
        <v>-1</v>
      </c>
      <c r="C641" s="1" t="s">
        <v>2937</v>
      </c>
      <c r="D641" s="69"/>
      <c r="E641" s="69">
        <v>44918.0</v>
      </c>
      <c r="F641" s="1" t="s">
        <v>2832</v>
      </c>
      <c r="G641" s="112"/>
      <c r="H641" s="112"/>
      <c r="I641" s="112"/>
      <c r="J641" s="1"/>
    </row>
    <row r="642">
      <c r="A642" s="59">
        <f>HYPERLINK("https://polkadot.subsquare.io/treasury/proposals/193", 193)</f>
        <v>193</v>
      </c>
      <c r="B642" s="59">
        <f t="shared" si="10"/>
        <v>-1</v>
      </c>
      <c r="C642" s="1" t="s">
        <v>2938</v>
      </c>
      <c r="D642" s="69"/>
      <c r="E642" s="69">
        <v>44918.0</v>
      </c>
      <c r="F642" s="1" t="s">
        <v>2832</v>
      </c>
      <c r="G642" s="112"/>
      <c r="H642" s="112"/>
      <c r="I642" s="112"/>
      <c r="J642" s="1"/>
    </row>
    <row r="643">
      <c r="A643" s="59">
        <f>HYPERLINK("https://polkadot.subsquare.io/treasury/proposals/192", 192)</f>
        <v>192</v>
      </c>
      <c r="B643" s="59">
        <f t="shared" si="10"/>
        <v>-1</v>
      </c>
      <c r="C643" s="1" t="s">
        <v>2939</v>
      </c>
      <c r="D643" s="69"/>
      <c r="E643" s="69">
        <v>44966.0</v>
      </c>
      <c r="F643" s="1" t="s">
        <v>2832</v>
      </c>
      <c r="G643" s="112"/>
      <c r="H643" s="112"/>
      <c r="I643" s="112"/>
      <c r="J643" s="1"/>
    </row>
    <row r="644">
      <c r="A644" s="59">
        <f>HYPERLINK("https://polkadot.subsquare.io/treasury/proposals/191", 191)</f>
        <v>191</v>
      </c>
      <c r="B644" s="59">
        <f t="shared" si="10"/>
        <v>-1</v>
      </c>
      <c r="C644" s="1" t="s">
        <v>2940</v>
      </c>
      <c r="D644" s="69"/>
      <c r="E644" s="69">
        <v>44894.0</v>
      </c>
      <c r="F644" s="1" t="s">
        <v>2832</v>
      </c>
      <c r="G644" s="112"/>
      <c r="H644" s="112"/>
      <c r="I644" s="112"/>
      <c r="J644" s="1"/>
    </row>
    <row r="645">
      <c r="A645" s="59">
        <f>HYPERLINK("https://polkadot.subsquare.io/treasury/proposals/190", 190)</f>
        <v>190</v>
      </c>
      <c r="B645" s="59">
        <f t="shared" si="10"/>
        <v>-1</v>
      </c>
      <c r="C645" s="1" t="s">
        <v>2941</v>
      </c>
      <c r="D645" s="69"/>
      <c r="E645" s="69">
        <v>44894.0</v>
      </c>
      <c r="F645" s="1" t="s">
        <v>2832</v>
      </c>
      <c r="G645" s="112"/>
      <c r="H645" s="112"/>
      <c r="I645" s="112"/>
      <c r="J645" s="1"/>
    </row>
    <row r="646">
      <c r="A646" s="59">
        <f>HYPERLINK("https://polkadot.subsquare.io/treasury/proposals/189", 189)</f>
        <v>189</v>
      </c>
      <c r="B646" s="59">
        <f t="shared" si="10"/>
        <v>-1</v>
      </c>
      <c r="C646" s="1" t="s">
        <v>2942</v>
      </c>
      <c r="D646" s="69"/>
      <c r="E646" s="69">
        <v>44918.0</v>
      </c>
      <c r="F646" s="1" t="s">
        <v>2832</v>
      </c>
      <c r="G646" s="112"/>
      <c r="H646" s="112"/>
      <c r="I646" s="112"/>
      <c r="J646" s="1"/>
    </row>
    <row r="647">
      <c r="A647" s="59">
        <f>HYPERLINK("https://polkadot.subsquare.io/treasury/proposals/188", 188)</f>
        <v>188</v>
      </c>
      <c r="B647" s="59">
        <f t="shared" si="10"/>
        <v>-1</v>
      </c>
      <c r="C647" s="1" t="s">
        <v>2943</v>
      </c>
      <c r="D647" s="69"/>
      <c r="E647" s="69">
        <v>44894.0</v>
      </c>
      <c r="F647" s="1" t="s">
        <v>2832</v>
      </c>
      <c r="G647" s="112"/>
      <c r="H647" s="112"/>
      <c r="I647" s="112"/>
      <c r="J647" s="1"/>
    </row>
    <row r="648">
      <c r="A648" s="59">
        <f>HYPERLINK("https://polkadot.subsquare.io/treasury/proposals/187", 187)</f>
        <v>187</v>
      </c>
      <c r="B648" s="59">
        <f t="shared" si="10"/>
        <v>-1</v>
      </c>
      <c r="C648" s="1" t="s">
        <v>2944</v>
      </c>
      <c r="D648" s="69"/>
      <c r="E648" s="69">
        <v>44894.0</v>
      </c>
      <c r="F648" s="1" t="s">
        <v>2832</v>
      </c>
      <c r="G648" s="112"/>
      <c r="H648" s="112"/>
      <c r="I648" s="112"/>
      <c r="J648" s="1"/>
    </row>
    <row r="649">
      <c r="A649" s="59">
        <f>HYPERLINK("https://polkadot.subsquare.io/treasury/proposals/186", 186)</f>
        <v>186</v>
      </c>
      <c r="B649" s="59">
        <f t="shared" si="10"/>
        <v>-1</v>
      </c>
      <c r="C649" s="1" t="s">
        <v>2945</v>
      </c>
      <c r="D649" s="69"/>
      <c r="E649" s="69">
        <v>44966.0</v>
      </c>
      <c r="F649" s="1" t="s">
        <v>2832</v>
      </c>
      <c r="G649" s="112"/>
      <c r="H649" s="112"/>
      <c r="I649" s="112"/>
      <c r="J649" s="1"/>
    </row>
    <row r="650">
      <c r="A650" s="59">
        <f>HYPERLINK("https://polkadot.subsquare.io/treasury/proposals/185", 185)</f>
        <v>185</v>
      </c>
      <c r="B650" s="59">
        <f t="shared" si="10"/>
        <v>-1</v>
      </c>
      <c r="C650" s="1" t="s">
        <v>2946</v>
      </c>
      <c r="D650" s="69"/>
      <c r="E650" s="69">
        <v>44964.0</v>
      </c>
      <c r="F650" s="1" t="s">
        <v>1846</v>
      </c>
      <c r="G650" s="112"/>
      <c r="H650" s="112"/>
      <c r="I650" s="112"/>
      <c r="J650" s="1"/>
    </row>
    <row r="651">
      <c r="A651" s="59">
        <f>HYPERLINK("https://polkadot.subsquare.io/treasury/proposals/184", 184)</f>
        <v>184</v>
      </c>
      <c r="B651" s="59">
        <f t="shared" si="10"/>
        <v>-1</v>
      </c>
      <c r="C651" s="1" t="s">
        <v>2947</v>
      </c>
      <c r="D651" s="69"/>
      <c r="E651" s="69">
        <v>44894.0</v>
      </c>
      <c r="F651" s="1" t="s">
        <v>2832</v>
      </c>
      <c r="G651" s="112"/>
      <c r="H651" s="112"/>
      <c r="I651" s="112"/>
      <c r="J651" s="1"/>
    </row>
    <row r="652">
      <c r="A652" s="59">
        <f>HYPERLINK("https://polkadot.subsquare.io/treasury/proposals/183", 183)</f>
        <v>183</v>
      </c>
      <c r="B652" s="59">
        <f t="shared" si="10"/>
        <v>-1</v>
      </c>
      <c r="C652" s="1" t="s">
        <v>2948</v>
      </c>
      <c r="D652" s="69"/>
      <c r="E652" s="69">
        <v>44894.0</v>
      </c>
      <c r="F652" s="1" t="s">
        <v>2832</v>
      </c>
      <c r="G652" s="112"/>
      <c r="H652" s="112"/>
      <c r="I652" s="112"/>
      <c r="J652" s="1"/>
    </row>
    <row r="653">
      <c r="A653" s="59">
        <f>HYPERLINK("https://polkadot.subsquare.io/treasury/proposals/182", 182)</f>
        <v>182</v>
      </c>
      <c r="B653" s="59">
        <f t="shared" si="10"/>
        <v>-1</v>
      </c>
      <c r="C653" s="1" t="s">
        <v>2949</v>
      </c>
      <c r="D653" s="69"/>
      <c r="E653" s="69">
        <v>45147.0</v>
      </c>
      <c r="F653" s="1" t="s">
        <v>1846</v>
      </c>
      <c r="G653" s="112"/>
      <c r="H653" s="112"/>
      <c r="I653" s="112"/>
      <c r="J653" s="1"/>
    </row>
    <row r="654">
      <c r="A654" s="59">
        <f>HYPERLINK("https://polkadot.subsquare.io/treasury/proposals/181", 181)</f>
        <v>181</v>
      </c>
      <c r="B654" s="59">
        <f t="shared" si="10"/>
        <v>-1</v>
      </c>
      <c r="C654" s="1" t="s">
        <v>2950</v>
      </c>
      <c r="D654" s="69"/>
      <c r="E654" s="69">
        <v>44894.0</v>
      </c>
      <c r="F654" s="1" t="s">
        <v>2832</v>
      </c>
      <c r="G654" s="112"/>
      <c r="H654" s="112"/>
      <c r="I654" s="112"/>
      <c r="J654" s="1"/>
    </row>
    <row r="655">
      <c r="A655" s="59">
        <f>HYPERLINK("https://polkadot.subsquare.io/treasury/proposals/180", 180)</f>
        <v>180</v>
      </c>
      <c r="B655" s="59">
        <f t="shared" si="10"/>
        <v>-1</v>
      </c>
      <c r="C655" s="1" t="s">
        <v>2951</v>
      </c>
      <c r="D655" s="69"/>
      <c r="E655" s="69">
        <v>44870.0</v>
      </c>
      <c r="F655" s="1" t="s">
        <v>2832</v>
      </c>
      <c r="G655" s="112"/>
      <c r="H655" s="112"/>
      <c r="I655" s="112"/>
      <c r="J655" s="1"/>
    </row>
    <row r="656">
      <c r="A656" s="59">
        <f>HYPERLINK("https://polkadot.subsquare.io/treasury/proposals/179", 179)</f>
        <v>179</v>
      </c>
      <c r="B656" s="59">
        <f t="shared" si="10"/>
        <v>-1</v>
      </c>
      <c r="C656" s="1" t="s">
        <v>2952</v>
      </c>
      <c r="D656" s="69"/>
      <c r="E656" s="69">
        <v>44870.0</v>
      </c>
      <c r="F656" s="1" t="s">
        <v>2832</v>
      </c>
      <c r="G656" s="112"/>
      <c r="H656" s="112"/>
      <c r="I656" s="112"/>
      <c r="J656" s="1"/>
    </row>
    <row r="657">
      <c r="A657" s="59">
        <f>HYPERLINK("https://polkadot.subsquare.io/treasury/proposals/178", 178)</f>
        <v>178</v>
      </c>
      <c r="B657" s="59">
        <f t="shared" si="10"/>
        <v>-1</v>
      </c>
      <c r="C657" s="1" t="s">
        <v>2953</v>
      </c>
      <c r="D657" s="69"/>
      <c r="E657" s="69">
        <v>45147.0</v>
      </c>
      <c r="F657" s="1" t="s">
        <v>1846</v>
      </c>
      <c r="G657" s="112"/>
      <c r="H657" s="112"/>
      <c r="I657" s="112"/>
      <c r="J657" s="1"/>
    </row>
    <row r="658">
      <c r="A658" s="59">
        <f>HYPERLINK("https://polkadot.subsquare.io/treasury/proposals/177", 177)</f>
        <v>177</v>
      </c>
      <c r="B658" s="59">
        <f t="shared" si="10"/>
        <v>-1</v>
      </c>
      <c r="C658" s="1" t="s">
        <v>2954</v>
      </c>
      <c r="D658" s="69"/>
      <c r="E658" s="69">
        <v>44870.0</v>
      </c>
      <c r="F658" s="1" t="s">
        <v>2832</v>
      </c>
      <c r="G658" s="112"/>
      <c r="H658" s="112"/>
      <c r="I658" s="112"/>
      <c r="J658" s="1"/>
    </row>
    <row r="659">
      <c r="A659" s="59">
        <f>HYPERLINK("https://polkadot.subsquare.io/treasury/proposals/176", 176)</f>
        <v>176</v>
      </c>
      <c r="B659" s="59">
        <f t="shared" si="10"/>
        <v>-1</v>
      </c>
      <c r="C659" s="1" t="s">
        <v>2955</v>
      </c>
      <c r="D659" s="69"/>
      <c r="E659" s="69">
        <v>44870.0</v>
      </c>
      <c r="F659" s="1" t="s">
        <v>2832</v>
      </c>
      <c r="G659" s="112"/>
      <c r="H659" s="112"/>
      <c r="I659" s="112"/>
      <c r="J659" s="1"/>
    </row>
    <row r="660">
      <c r="A660" s="59">
        <f>HYPERLINK("https://polkadot.subsquare.io/treasury/proposals/175", 175)</f>
        <v>175</v>
      </c>
      <c r="B660" s="59">
        <f t="shared" si="10"/>
        <v>-1</v>
      </c>
      <c r="C660" s="1" t="s">
        <v>2956</v>
      </c>
      <c r="D660" s="69"/>
      <c r="E660" s="69">
        <v>44870.0</v>
      </c>
      <c r="F660" s="1" t="s">
        <v>2832</v>
      </c>
      <c r="G660" s="112"/>
      <c r="H660" s="112"/>
      <c r="I660" s="112"/>
      <c r="J660" s="1"/>
    </row>
    <row r="661">
      <c r="A661" s="59">
        <f>HYPERLINK("https://polkadot.subsquare.io/treasury/proposals/174", 174)</f>
        <v>174</v>
      </c>
      <c r="B661" s="59">
        <f t="shared" si="10"/>
        <v>-1</v>
      </c>
      <c r="C661" s="1" t="s">
        <v>2957</v>
      </c>
      <c r="D661" s="69"/>
      <c r="E661" s="69">
        <v>44870.0</v>
      </c>
      <c r="F661" s="1" t="s">
        <v>2832</v>
      </c>
      <c r="G661" s="112"/>
      <c r="H661" s="112"/>
      <c r="I661" s="112"/>
      <c r="J661" s="1"/>
    </row>
    <row r="662">
      <c r="A662" s="59">
        <f>HYPERLINK("https://polkadot.subsquare.io/treasury/proposals/173", 173)</f>
        <v>173</v>
      </c>
      <c r="B662" s="59">
        <f t="shared" si="10"/>
        <v>-1</v>
      </c>
      <c r="C662" s="1" t="s">
        <v>2958</v>
      </c>
      <c r="D662" s="69"/>
      <c r="E662" s="69">
        <v>44846.0</v>
      </c>
      <c r="F662" s="1" t="s">
        <v>2832</v>
      </c>
      <c r="G662" s="112"/>
      <c r="H662" s="112"/>
      <c r="I662" s="112"/>
      <c r="J662" s="1"/>
    </row>
    <row r="663">
      <c r="A663" s="59">
        <f>HYPERLINK("https://polkadot.subsquare.io/treasury/proposals/172", 172)</f>
        <v>172</v>
      </c>
      <c r="B663" s="59">
        <f t="shared" si="10"/>
        <v>-1</v>
      </c>
      <c r="C663" s="1" t="s">
        <v>2959</v>
      </c>
      <c r="D663" s="69"/>
      <c r="E663" s="69">
        <v>44846.0</v>
      </c>
      <c r="F663" s="1" t="s">
        <v>2832</v>
      </c>
      <c r="G663" s="112"/>
      <c r="H663" s="112"/>
      <c r="I663" s="112"/>
      <c r="J663" s="1"/>
    </row>
    <row r="664">
      <c r="A664" s="59">
        <f>HYPERLINK("https://polkadot.subsquare.io/treasury/proposals/171", 171)</f>
        <v>171</v>
      </c>
      <c r="B664" s="59">
        <f t="shared" si="10"/>
        <v>-1</v>
      </c>
      <c r="C664" s="1" t="s">
        <v>2960</v>
      </c>
      <c r="D664" s="69"/>
      <c r="E664" s="69">
        <v>45147.0</v>
      </c>
      <c r="F664" s="1" t="s">
        <v>1846</v>
      </c>
      <c r="G664" s="112"/>
      <c r="H664" s="112"/>
      <c r="I664" s="112"/>
      <c r="J664" s="1"/>
    </row>
    <row r="665">
      <c r="A665" s="59">
        <f>HYPERLINK("https://polkadot.subsquare.io/treasury/proposals/170", 170)</f>
        <v>170</v>
      </c>
      <c r="B665" s="59">
        <f t="shared" si="10"/>
        <v>-1</v>
      </c>
      <c r="C665" s="1" t="s">
        <v>2961</v>
      </c>
      <c r="D665" s="69"/>
      <c r="E665" s="69">
        <v>45147.0</v>
      </c>
      <c r="F665" s="1" t="s">
        <v>1846</v>
      </c>
      <c r="G665" s="112"/>
      <c r="H665" s="112"/>
      <c r="I665" s="112"/>
      <c r="J665" s="1"/>
    </row>
    <row r="666">
      <c r="A666" s="59">
        <f>HYPERLINK("https://polkadot.subsquare.io/treasury/proposals/169", 169)</f>
        <v>169</v>
      </c>
      <c r="B666" s="59">
        <f t="shared" si="10"/>
        <v>-1</v>
      </c>
      <c r="C666" s="1" t="s">
        <v>2877</v>
      </c>
      <c r="D666" s="69"/>
      <c r="E666" s="69">
        <v>44870.0</v>
      </c>
      <c r="F666" s="1" t="s">
        <v>2832</v>
      </c>
      <c r="G666" s="112"/>
      <c r="H666" s="112"/>
      <c r="I666" s="112"/>
      <c r="J666" s="1"/>
    </row>
    <row r="667">
      <c r="A667" s="59">
        <f>HYPERLINK("https://polkadot.subsquare.io/treasury/proposals/168", 168)</f>
        <v>168</v>
      </c>
      <c r="B667" s="59">
        <f t="shared" si="10"/>
        <v>-1</v>
      </c>
      <c r="C667" s="1" t="s">
        <v>2962</v>
      </c>
      <c r="D667" s="69"/>
      <c r="E667" s="69">
        <v>44918.0</v>
      </c>
      <c r="F667" s="1" t="s">
        <v>2832</v>
      </c>
      <c r="G667" s="112"/>
      <c r="H667" s="112"/>
      <c r="I667" s="112"/>
      <c r="J667" s="1"/>
    </row>
    <row r="668">
      <c r="A668" s="59">
        <f>HYPERLINK("https://polkadot.subsquare.io/treasury/proposals/167", 167)</f>
        <v>167</v>
      </c>
      <c r="B668" s="59">
        <f t="shared" si="10"/>
        <v>-1</v>
      </c>
      <c r="C668" s="1" t="s">
        <v>2963</v>
      </c>
      <c r="D668" s="69"/>
      <c r="E668" s="69">
        <v>44846.0</v>
      </c>
      <c r="F668" s="1" t="s">
        <v>2832</v>
      </c>
      <c r="G668" s="112"/>
      <c r="H668" s="112"/>
      <c r="I668" s="112"/>
      <c r="J668" s="1"/>
    </row>
    <row r="669">
      <c r="A669" s="59">
        <f>HYPERLINK("https://polkadot.subsquare.io/treasury/proposals/166", 166)</f>
        <v>166</v>
      </c>
      <c r="B669" s="59">
        <f t="shared" si="10"/>
        <v>-1</v>
      </c>
      <c r="C669" s="1" t="s">
        <v>2964</v>
      </c>
      <c r="D669" s="69"/>
      <c r="E669" s="69">
        <v>44822.0</v>
      </c>
      <c r="F669" s="1" t="s">
        <v>2832</v>
      </c>
      <c r="G669" s="112"/>
      <c r="H669" s="112"/>
      <c r="I669" s="112"/>
      <c r="J669" s="1"/>
    </row>
    <row r="670">
      <c r="A670" s="59">
        <f>HYPERLINK("https://polkadot.subsquare.io/treasury/proposals/165", 165)</f>
        <v>165</v>
      </c>
      <c r="B670" s="59">
        <f t="shared" si="10"/>
        <v>-1</v>
      </c>
      <c r="C670" s="1" t="s">
        <v>2965</v>
      </c>
      <c r="D670" s="69"/>
      <c r="E670" s="69">
        <v>44846.0</v>
      </c>
      <c r="F670" s="1" t="s">
        <v>2832</v>
      </c>
      <c r="G670" s="112"/>
      <c r="H670" s="112"/>
      <c r="I670" s="112"/>
      <c r="J670" s="1"/>
    </row>
    <row r="671">
      <c r="A671" s="59">
        <f>HYPERLINK("https://polkadot.subsquare.io/treasury/proposals/164", 164)</f>
        <v>164</v>
      </c>
      <c r="B671" s="59">
        <f t="shared" si="10"/>
        <v>-1</v>
      </c>
      <c r="C671" s="1" t="s">
        <v>2966</v>
      </c>
      <c r="D671" s="69"/>
      <c r="E671" s="69">
        <v>44822.0</v>
      </c>
      <c r="F671" s="1" t="s">
        <v>2832</v>
      </c>
      <c r="G671" s="112"/>
      <c r="H671" s="112"/>
      <c r="I671" s="112"/>
      <c r="J671" s="1"/>
    </row>
    <row r="672">
      <c r="A672" s="59">
        <f>HYPERLINK("https://polkadot.subsquare.io/treasury/proposals/163", 163)</f>
        <v>163</v>
      </c>
      <c r="B672" s="59">
        <f t="shared" si="10"/>
        <v>-1</v>
      </c>
      <c r="C672" s="1" t="s">
        <v>2967</v>
      </c>
      <c r="D672" s="69"/>
      <c r="E672" s="69">
        <v>44822.0</v>
      </c>
      <c r="F672" s="1" t="s">
        <v>2832</v>
      </c>
      <c r="G672" s="112"/>
      <c r="H672" s="112"/>
      <c r="I672" s="112"/>
      <c r="J672" s="1"/>
    </row>
    <row r="673">
      <c r="A673" s="59">
        <f>HYPERLINK("https://polkadot.subsquare.io/treasury/proposals/162", 162)</f>
        <v>162</v>
      </c>
      <c r="B673" s="59">
        <f t="shared" si="10"/>
        <v>-1</v>
      </c>
      <c r="C673" s="1" t="s">
        <v>2968</v>
      </c>
      <c r="D673" s="69"/>
      <c r="E673" s="69">
        <v>44822.0</v>
      </c>
      <c r="F673" s="1" t="s">
        <v>2832</v>
      </c>
      <c r="G673" s="112"/>
      <c r="H673" s="112"/>
      <c r="I673" s="112"/>
      <c r="J673" s="1"/>
    </row>
    <row r="674">
      <c r="A674" s="59">
        <f>HYPERLINK("https://polkadot.subsquare.io/treasury/proposals/161", 161)</f>
        <v>161</v>
      </c>
      <c r="B674" s="59">
        <f t="shared" si="10"/>
        <v>-1</v>
      </c>
      <c r="C674" s="1" t="s">
        <v>2969</v>
      </c>
      <c r="D674" s="69"/>
      <c r="E674" s="69">
        <v>45147.0</v>
      </c>
      <c r="F674" s="1" t="s">
        <v>1846</v>
      </c>
      <c r="G674" s="112"/>
      <c r="H674" s="112"/>
      <c r="I674" s="112"/>
      <c r="J674" s="1"/>
    </row>
    <row r="675">
      <c r="A675" s="59">
        <f>HYPERLINK("https://polkadot.subsquare.io/treasury/proposals/160", 160)</f>
        <v>160</v>
      </c>
      <c r="B675" s="59">
        <f t="shared" si="10"/>
        <v>-1</v>
      </c>
      <c r="C675" s="1" t="s">
        <v>2970</v>
      </c>
      <c r="D675" s="69"/>
      <c r="E675" s="69">
        <v>44822.0</v>
      </c>
      <c r="F675" s="1" t="s">
        <v>2832</v>
      </c>
      <c r="G675" s="112"/>
      <c r="H675" s="112"/>
      <c r="I675" s="112"/>
      <c r="J675" s="1"/>
    </row>
    <row r="676">
      <c r="A676" s="59">
        <f>HYPERLINK("https://polkadot.subsquare.io/treasury/proposals/159", 159)</f>
        <v>159</v>
      </c>
      <c r="B676" s="59">
        <f t="shared" si="10"/>
        <v>-1</v>
      </c>
      <c r="C676" s="1" t="s">
        <v>2971</v>
      </c>
      <c r="D676" s="69"/>
      <c r="E676" s="69">
        <v>44822.0</v>
      </c>
      <c r="F676" s="1" t="s">
        <v>2832</v>
      </c>
      <c r="G676" s="112"/>
      <c r="H676" s="112"/>
      <c r="I676" s="112"/>
      <c r="J676" s="1"/>
    </row>
    <row r="677">
      <c r="A677" s="59">
        <f>HYPERLINK("https://polkadot.subsquare.io/treasury/proposals/158", 158)</f>
        <v>158</v>
      </c>
      <c r="B677" s="59">
        <f t="shared" si="10"/>
        <v>-1</v>
      </c>
      <c r="C677" s="1" t="s">
        <v>2972</v>
      </c>
      <c r="D677" s="69"/>
      <c r="E677" s="69">
        <v>44846.0</v>
      </c>
      <c r="F677" s="1" t="s">
        <v>2832</v>
      </c>
      <c r="G677" s="112"/>
      <c r="H677" s="112"/>
      <c r="I677" s="112"/>
      <c r="J677" s="1"/>
    </row>
    <row r="678">
      <c r="A678" s="59">
        <f>HYPERLINK("https://polkadot.subsquare.io/treasury/proposals/157", 157)</f>
        <v>157</v>
      </c>
      <c r="B678" s="59">
        <f t="shared" si="10"/>
        <v>-1</v>
      </c>
      <c r="C678" s="1" t="s">
        <v>2973</v>
      </c>
      <c r="D678" s="69"/>
      <c r="E678" s="69">
        <v>44797.0</v>
      </c>
      <c r="F678" s="1" t="s">
        <v>2832</v>
      </c>
      <c r="G678" s="112"/>
      <c r="H678" s="112"/>
      <c r="I678" s="112"/>
      <c r="J678" s="1"/>
    </row>
    <row r="679">
      <c r="A679" s="59">
        <f>HYPERLINK("https://polkadot.subsquare.io/treasury/proposals/156", 156)</f>
        <v>156</v>
      </c>
      <c r="B679" s="59">
        <f t="shared" si="10"/>
        <v>-1</v>
      </c>
      <c r="C679" s="1" t="s">
        <v>2925</v>
      </c>
      <c r="D679" s="69"/>
      <c r="E679" s="69">
        <v>44797.0</v>
      </c>
      <c r="F679" s="1" t="s">
        <v>2832</v>
      </c>
      <c r="G679" s="112"/>
      <c r="H679" s="112"/>
      <c r="I679" s="112"/>
      <c r="J679" s="1"/>
    </row>
    <row r="680">
      <c r="A680" s="59">
        <f>HYPERLINK("https://polkadot.subsquare.io/treasury/proposals/155", 155)</f>
        <v>155</v>
      </c>
      <c r="B680" s="59">
        <f t="shared" si="10"/>
        <v>-1</v>
      </c>
      <c r="C680" s="1" t="s">
        <v>2974</v>
      </c>
      <c r="D680" s="69"/>
      <c r="E680" s="69">
        <v>44797.0</v>
      </c>
      <c r="F680" s="1" t="s">
        <v>2832</v>
      </c>
      <c r="G680" s="112"/>
      <c r="H680" s="112"/>
      <c r="I680" s="112"/>
      <c r="J680" s="1"/>
    </row>
    <row r="681">
      <c r="A681" s="59">
        <f>HYPERLINK("https://polkadot.subsquare.io/treasury/proposals/154", 154)</f>
        <v>154</v>
      </c>
      <c r="B681" s="59">
        <f t="shared" si="10"/>
        <v>-1</v>
      </c>
      <c r="C681" s="1" t="s">
        <v>2975</v>
      </c>
      <c r="D681" s="69"/>
      <c r="E681" s="69">
        <v>44797.0</v>
      </c>
      <c r="F681" s="1" t="s">
        <v>2832</v>
      </c>
      <c r="G681" s="112"/>
      <c r="H681" s="112"/>
      <c r="I681" s="112"/>
      <c r="J681" s="1"/>
    </row>
    <row r="682">
      <c r="A682" s="59">
        <f>HYPERLINK("https://polkadot.subsquare.io/treasury/proposals/153", 153)</f>
        <v>153</v>
      </c>
      <c r="B682" s="59">
        <f t="shared" si="10"/>
        <v>-1</v>
      </c>
      <c r="C682" s="1" t="s">
        <v>2976</v>
      </c>
      <c r="D682" s="69"/>
      <c r="E682" s="69">
        <v>44797.0</v>
      </c>
      <c r="F682" s="1" t="s">
        <v>2832</v>
      </c>
      <c r="G682" s="112"/>
      <c r="H682" s="112"/>
      <c r="I682" s="112"/>
      <c r="J682" s="1"/>
    </row>
    <row r="683">
      <c r="A683" s="59">
        <f>HYPERLINK("https://polkadot.subsquare.io/treasury/proposals/152", 152)</f>
        <v>152</v>
      </c>
      <c r="B683" s="59">
        <f t="shared" si="10"/>
        <v>-1</v>
      </c>
      <c r="C683" s="1" t="s">
        <v>2977</v>
      </c>
      <c r="D683" s="69"/>
      <c r="E683" s="69">
        <v>44797.0</v>
      </c>
      <c r="F683" s="1" t="s">
        <v>2832</v>
      </c>
      <c r="G683" s="112"/>
      <c r="H683" s="112"/>
      <c r="I683" s="112"/>
      <c r="J683" s="1"/>
    </row>
    <row r="684">
      <c r="A684" s="59">
        <f>HYPERLINK("https://polkadot.subsquare.io/treasury/proposals/151", 151)</f>
        <v>151</v>
      </c>
      <c r="B684" s="59">
        <f t="shared" si="10"/>
        <v>-1</v>
      </c>
      <c r="C684" s="1" t="s">
        <v>2978</v>
      </c>
      <c r="D684" s="69"/>
      <c r="E684" s="69">
        <v>44797.0</v>
      </c>
      <c r="F684" s="1" t="s">
        <v>2832</v>
      </c>
      <c r="G684" s="112"/>
      <c r="H684" s="112"/>
      <c r="I684" s="112"/>
      <c r="J684" s="1"/>
    </row>
    <row r="685">
      <c r="A685" s="59">
        <f>HYPERLINK("https://polkadot.subsquare.io/treasury/proposals/150", 150)</f>
        <v>150</v>
      </c>
      <c r="B685" s="59">
        <f t="shared" si="10"/>
        <v>-1</v>
      </c>
      <c r="C685" s="1" t="s">
        <v>2979</v>
      </c>
      <c r="D685" s="69"/>
      <c r="E685" s="69">
        <v>44773.0</v>
      </c>
      <c r="F685" s="1" t="s">
        <v>2832</v>
      </c>
      <c r="G685" s="112"/>
      <c r="H685" s="112"/>
      <c r="I685" s="112"/>
      <c r="J685" s="1"/>
    </row>
    <row r="686">
      <c r="A686" s="59">
        <f>HYPERLINK("https://polkadot.subsquare.io/treasury/proposals/149", 149)</f>
        <v>149</v>
      </c>
      <c r="B686" s="59">
        <f t="shared" si="10"/>
        <v>-1</v>
      </c>
      <c r="C686" s="1" t="s">
        <v>2980</v>
      </c>
      <c r="D686" s="69"/>
      <c r="E686" s="69">
        <v>44797.0</v>
      </c>
      <c r="F686" s="1" t="s">
        <v>2832</v>
      </c>
      <c r="G686" s="112"/>
      <c r="H686" s="112"/>
      <c r="I686" s="112"/>
      <c r="J686" s="1"/>
    </row>
    <row r="687">
      <c r="A687" s="59">
        <f>HYPERLINK("https://polkadot.subsquare.io/treasury/proposals/148", 148)</f>
        <v>148</v>
      </c>
      <c r="B687" s="59">
        <f t="shared" si="10"/>
        <v>-1</v>
      </c>
      <c r="C687" s="1" t="s">
        <v>2981</v>
      </c>
      <c r="D687" s="69"/>
      <c r="E687" s="69">
        <v>44773.0</v>
      </c>
      <c r="F687" s="1" t="s">
        <v>2832</v>
      </c>
      <c r="G687" s="112"/>
      <c r="H687" s="112"/>
      <c r="I687" s="112"/>
      <c r="J687" s="1"/>
    </row>
    <row r="688">
      <c r="A688" s="59">
        <f>HYPERLINK("https://polkadot.subsquare.io/treasury/proposals/147", 147)</f>
        <v>147</v>
      </c>
      <c r="B688" s="59">
        <f t="shared" si="10"/>
        <v>-1</v>
      </c>
      <c r="C688" s="1" t="s">
        <v>2982</v>
      </c>
      <c r="D688" s="69"/>
      <c r="E688" s="69">
        <v>44797.0</v>
      </c>
      <c r="F688" s="1" t="s">
        <v>2832</v>
      </c>
      <c r="G688" s="112"/>
      <c r="H688" s="112"/>
      <c r="I688" s="112"/>
      <c r="J688" s="1"/>
    </row>
    <row r="689">
      <c r="A689" s="59">
        <f>HYPERLINK("https://polkadot.subsquare.io/treasury/proposals/146", 146)</f>
        <v>146</v>
      </c>
      <c r="B689" s="59">
        <f t="shared" si="10"/>
        <v>-1</v>
      </c>
      <c r="C689" s="1" t="s">
        <v>2983</v>
      </c>
      <c r="D689" s="69"/>
      <c r="E689" s="69">
        <v>44773.0</v>
      </c>
      <c r="F689" s="1" t="s">
        <v>2832</v>
      </c>
      <c r="G689" s="112"/>
      <c r="H689" s="112"/>
      <c r="I689" s="112"/>
      <c r="J689" s="1"/>
    </row>
    <row r="690">
      <c r="A690" s="59">
        <f>HYPERLINK("https://polkadot.subsquare.io/treasury/proposals/145", 145)</f>
        <v>145</v>
      </c>
      <c r="B690" s="59">
        <f t="shared" si="10"/>
        <v>-1</v>
      </c>
      <c r="C690" s="1" t="s">
        <v>2984</v>
      </c>
      <c r="D690" s="69"/>
      <c r="E690" s="69">
        <v>44773.0</v>
      </c>
      <c r="F690" s="1" t="s">
        <v>2832</v>
      </c>
      <c r="G690" s="112"/>
      <c r="H690" s="112"/>
      <c r="I690" s="112"/>
      <c r="J690" s="1"/>
    </row>
    <row r="691">
      <c r="A691" s="59">
        <f>HYPERLINK("https://polkadot.subsquare.io/treasury/proposals/144", 144)</f>
        <v>144</v>
      </c>
      <c r="B691" s="59">
        <f t="shared" si="10"/>
        <v>-1</v>
      </c>
      <c r="C691" s="1" t="s">
        <v>2985</v>
      </c>
      <c r="D691" s="69"/>
      <c r="E691" s="69">
        <v>45147.0</v>
      </c>
      <c r="F691" s="1" t="s">
        <v>1846</v>
      </c>
      <c r="G691" s="112"/>
      <c r="H691" s="112"/>
      <c r="I691" s="112"/>
      <c r="J691" s="1"/>
    </row>
    <row r="692">
      <c r="A692" s="59">
        <f>HYPERLINK("https://polkadot.subsquare.io/treasury/proposals/143", 143)</f>
        <v>143</v>
      </c>
      <c r="B692" s="59">
        <f t="shared" si="10"/>
        <v>-1</v>
      </c>
      <c r="C692" s="1" t="s">
        <v>2986</v>
      </c>
      <c r="D692" s="69"/>
      <c r="E692" s="69">
        <v>45147.0</v>
      </c>
      <c r="F692" s="1" t="s">
        <v>1846</v>
      </c>
      <c r="G692" s="112"/>
      <c r="H692" s="112"/>
      <c r="I692" s="112"/>
      <c r="J692" s="1"/>
    </row>
    <row r="693">
      <c r="A693" s="59">
        <f>HYPERLINK("https://polkadot.subsquare.io/treasury/proposals/142", 142)</f>
        <v>142</v>
      </c>
      <c r="B693" s="59">
        <f t="shared" si="10"/>
        <v>-1</v>
      </c>
      <c r="C693" s="1" t="s">
        <v>2987</v>
      </c>
      <c r="D693" s="69"/>
      <c r="E693" s="69">
        <v>44749.0</v>
      </c>
      <c r="F693" s="1" t="s">
        <v>2832</v>
      </c>
      <c r="G693" s="112"/>
      <c r="H693" s="112"/>
      <c r="I693" s="112"/>
      <c r="J693" s="1"/>
    </row>
    <row r="694">
      <c r="A694" s="59">
        <f>HYPERLINK("https://polkadot.subsquare.io/treasury/proposals/141", 141)</f>
        <v>141</v>
      </c>
      <c r="B694" s="59">
        <f t="shared" si="10"/>
        <v>-1</v>
      </c>
      <c r="C694" s="1" t="s">
        <v>2988</v>
      </c>
      <c r="D694" s="69"/>
      <c r="E694" s="69">
        <v>44749.0</v>
      </c>
      <c r="F694" s="1" t="s">
        <v>2832</v>
      </c>
      <c r="G694" s="112"/>
      <c r="H694" s="112"/>
      <c r="I694" s="112"/>
      <c r="J694" s="1"/>
    </row>
    <row r="695">
      <c r="A695" s="59">
        <f>HYPERLINK("https://polkadot.subsquare.io/treasury/proposals/140", 140)</f>
        <v>140</v>
      </c>
      <c r="B695" s="59">
        <f t="shared" si="10"/>
        <v>-1</v>
      </c>
      <c r="C695" s="1" t="s">
        <v>2877</v>
      </c>
      <c r="D695" s="69"/>
      <c r="E695" s="69">
        <v>44773.0</v>
      </c>
      <c r="F695" s="1" t="s">
        <v>2832</v>
      </c>
      <c r="G695" s="112"/>
      <c r="H695" s="112"/>
      <c r="I695" s="112"/>
      <c r="J695" s="1"/>
    </row>
    <row r="696">
      <c r="A696" s="59">
        <f>HYPERLINK("https://polkadot.subsquare.io/treasury/proposals/139", 139)</f>
        <v>139</v>
      </c>
      <c r="B696" s="59">
        <f t="shared" si="10"/>
        <v>-1</v>
      </c>
      <c r="C696" s="1" t="s">
        <v>2989</v>
      </c>
      <c r="D696" s="69"/>
      <c r="E696" s="69">
        <v>44773.0</v>
      </c>
      <c r="F696" s="1" t="s">
        <v>2832</v>
      </c>
      <c r="G696" s="112"/>
      <c r="H696" s="112"/>
      <c r="I696" s="112"/>
      <c r="J696" s="1"/>
    </row>
    <row r="697">
      <c r="A697" s="59">
        <f>HYPERLINK("https://polkadot.subsquare.io/treasury/proposals/138", 138)</f>
        <v>138</v>
      </c>
      <c r="B697" s="59">
        <f t="shared" si="10"/>
        <v>-1</v>
      </c>
      <c r="C697" s="1" t="s">
        <v>2990</v>
      </c>
      <c r="D697" s="69"/>
      <c r="E697" s="69">
        <v>44749.0</v>
      </c>
      <c r="F697" s="1" t="s">
        <v>2832</v>
      </c>
      <c r="G697" s="112"/>
      <c r="H697" s="112"/>
      <c r="I697" s="112"/>
      <c r="J697" s="1"/>
    </row>
    <row r="698">
      <c r="A698" s="59">
        <f>HYPERLINK("https://polkadot.subsquare.io/treasury/proposals/137", 137)</f>
        <v>137</v>
      </c>
      <c r="B698" s="59">
        <f t="shared" si="10"/>
        <v>-1</v>
      </c>
      <c r="C698" s="1" t="s">
        <v>2991</v>
      </c>
      <c r="D698" s="69"/>
      <c r="E698" s="69">
        <v>44749.0</v>
      </c>
      <c r="F698" s="1" t="s">
        <v>2832</v>
      </c>
      <c r="G698" s="112"/>
      <c r="H698" s="112"/>
      <c r="I698" s="112"/>
      <c r="J698" s="1"/>
    </row>
    <row r="699">
      <c r="A699" s="59">
        <f>HYPERLINK("https://polkadot.subsquare.io/treasury/proposals/136", 136)</f>
        <v>136</v>
      </c>
      <c r="B699" s="59">
        <f t="shared" si="10"/>
        <v>-1</v>
      </c>
      <c r="C699" s="1" t="s">
        <v>2992</v>
      </c>
      <c r="D699" s="69"/>
      <c r="E699" s="69">
        <v>44749.0</v>
      </c>
      <c r="F699" s="1" t="s">
        <v>2832</v>
      </c>
      <c r="G699" s="112"/>
      <c r="H699" s="112"/>
      <c r="I699" s="112"/>
      <c r="J699" s="1"/>
    </row>
    <row r="700">
      <c r="A700" s="59">
        <f>HYPERLINK("https://polkadot.subsquare.io/treasury/proposals/135", 135)</f>
        <v>135</v>
      </c>
      <c r="B700" s="59">
        <f t="shared" si="10"/>
        <v>-1</v>
      </c>
      <c r="C700" s="1" t="s">
        <v>2993</v>
      </c>
      <c r="D700" s="69"/>
      <c r="E700" s="69">
        <v>44749.0</v>
      </c>
      <c r="F700" s="1" t="s">
        <v>2832</v>
      </c>
      <c r="G700" s="112"/>
      <c r="H700" s="112"/>
      <c r="I700" s="112"/>
      <c r="J700" s="1"/>
    </row>
    <row r="701">
      <c r="A701" s="59">
        <f>HYPERLINK("https://polkadot.subsquare.io/treasury/proposals/134", 134)</f>
        <v>134</v>
      </c>
      <c r="B701" s="59">
        <f t="shared" si="10"/>
        <v>-1</v>
      </c>
      <c r="C701" s="1" t="s">
        <v>2994</v>
      </c>
      <c r="D701" s="69"/>
      <c r="E701" s="69">
        <v>44749.0</v>
      </c>
      <c r="F701" s="1" t="s">
        <v>2832</v>
      </c>
      <c r="G701" s="112"/>
      <c r="H701" s="112"/>
      <c r="I701" s="112"/>
      <c r="J701" s="1"/>
    </row>
    <row r="702">
      <c r="A702" s="59">
        <f>HYPERLINK("https://polkadot.subsquare.io/treasury/proposals/133", 133)</f>
        <v>133</v>
      </c>
      <c r="B702" s="59">
        <f t="shared" si="10"/>
        <v>-1</v>
      </c>
      <c r="C702" s="1" t="s">
        <v>2995</v>
      </c>
      <c r="D702" s="69"/>
      <c r="E702" s="69">
        <v>44749.0</v>
      </c>
      <c r="F702" s="1" t="s">
        <v>2832</v>
      </c>
      <c r="G702" s="112"/>
      <c r="H702" s="112"/>
      <c r="I702" s="112"/>
      <c r="J702" s="1"/>
    </row>
    <row r="703">
      <c r="A703" s="59">
        <f>HYPERLINK("https://polkadot.subsquare.io/treasury/proposals/132", 132)</f>
        <v>132</v>
      </c>
      <c r="B703" s="59">
        <f t="shared" si="10"/>
        <v>-1</v>
      </c>
      <c r="C703" s="1" t="s">
        <v>2996</v>
      </c>
      <c r="D703" s="69"/>
      <c r="E703" s="69">
        <v>44724.0</v>
      </c>
      <c r="F703" s="1" t="s">
        <v>2832</v>
      </c>
      <c r="G703" s="112"/>
      <c r="H703" s="112"/>
      <c r="I703" s="112"/>
      <c r="J703" s="1"/>
    </row>
    <row r="704">
      <c r="A704" s="59">
        <f>HYPERLINK("https://polkadot.subsquare.io/treasury/proposals/131", 131)</f>
        <v>131</v>
      </c>
      <c r="B704" s="59">
        <f t="shared" si="10"/>
        <v>-1</v>
      </c>
      <c r="C704" s="1" t="s">
        <v>2997</v>
      </c>
      <c r="D704" s="69"/>
      <c r="E704" s="69">
        <v>45147.0</v>
      </c>
      <c r="F704" s="1" t="s">
        <v>1846</v>
      </c>
      <c r="G704" s="112"/>
      <c r="H704" s="112"/>
      <c r="I704" s="112"/>
      <c r="J704" s="1"/>
    </row>
    <row r="705">
      <c r="A705" s="59">
        <f>HYPERLINK("https://polkadot.subsquare.io/treasury/proposals/130", 130)</f>
        <v>130</v>
      </c>
      <c r="B705" s="59">
        <f t="shared" si="10"/>
        <v>-1</v>
      </c>
      <c r="C705" s="1" t="s">
        <v>2998</v>
      </c>
      <c r="D705" s="69"/>
      <c r="E705" s="69">
        <v>44724.0</v>
      </c>
      <c r="F705" s="1" t="s">
        <v>2832</v>
      </c>
      <c r="G705" s="112"/>
      <c r="H705" s="112"/>
      <c r="I705" s="112"/>
      <c r="J705" s="1"/>
    </row>
    <row r="706">
      <c r="A706" s="59">
        <f>HYPERLINK("https://polkadot.subsquare.io/treasury/proposals/129", 129)</f>
        <v>129</v>
      </c>
      <c r="B706" s="59">
        <f t="shared" si="10"/>
        <v>-1</v>
      </c>
      <c r="C706" s="1" t="s">
        <v>2999</v>
      </c>
      <c r="D706" s="69"/>
      <c r="E706" s="69">
        <v>44724.0</v>
      </c>
      <c r="F706" s="1" t="s">
        <v>2832</v>
      </c>
      <c r="G706" s="112"/>
      <c r="H706" s="112"/>
      <c r="I706" s="112"/>
      <c r="J706" s="1"/>
    </row>
    <row r="707">
      <c r="A707" s="59">
        <f>HYPERLINK("https://polkadot.subsquare.io/treasury/proposals/128", 128)</f>
        <v>128</v>
      </c>
      <c r="B707" s="59">
        <f t="shared" si="10"/>
        <v>-1</v>
      </c>
      <c r="C707" s="1" t="s">
        <v>3000</v>
      </c>
      <c r="D707" s="69"/>
      <c r="E707" s="69">
        <v>44724.0</v>
      </c>
      <c r="F707" s="1" t="s">
        <v>2832</v>
      </c>
      <c r="G707" s="112"/>
      <c r="H707" s="112"/>
      <c r="I707" s="112"/>
      <c r="J707" s="1"/>
    </row>
    <row r="708">
      <c r="A708" s="59">
        <f>HYPERLINK("https://polkadot.subsquare.io/treasury/proposals/127", 127)</f>
        <v>127</v>
      </c>
      <c r="B708" s="59">
        <f t="shared" si="10"/>
        <v>-1</v>
      </c>
      <c r="C708" s="1" t="s">
        <v>3001</v>
      </c>
      <c r="D708" s="69"/>
      <c r="E708" s="69">
        <v>44724.0</v>
      </c>
      <c r="F708" s="1" t="s">
        <v>2832</v>
      </c>
      <c r="G708" s="112"/>
      <c r="H708" s="112"/>
      <c r="I708" s="112"/>
      <c r="J708" s="1"/>
    </row>
    <row r="709">
      <c r="A709" s="59">
        <f>HYPERLINK("https://polkadot.subsquare.io/treasury/proposals/126", 126)</f>
        <v>126</v>
      </c>
      <c r="B709" s="59">
        <f t="shared" si="10"/>
        <v>-1</v>
      </c>
      <c r="C709" s="1" t="s">
        <v>3002</v>
      </c>
      <c r="D709" s="69"/>
      <c r="E709" s="69">
        <v>44724.0</v>
      </c>
      <c r="F709" s="1" t="s">
        <v>2832</v>
      </c>
      <c r="G709" s="112"/>
      <c r="H709" s="112"/>
      <c r="I709" s="112"/>
      <c r="J709" s="1"/>
    </row>
    <row r="710">
      <c r="A710" s="59">
        <f>HYPERLINK("https://polkadot.subsquare.io/treasury/proposals/125", 125)</f>
        <v>125</v>
      </c>
      <c r="B710" s="59">
        <f t="shared" si="10"/>
        <v>-1</v>
      </c>
      <c r="C710" s="1" t="s">
        <v>3003</v>
      </c>
      <c r="D710" s="69"/>
      <c r="E710" s="69">
        <v>44724.0</v>
      </c>
      <c r="F710" s="1" t="s">
        <v>2832</v>
      </c>
      <c r="G710" s="112"/>
      <c r="H710" s="112"/>
      <c r="I710" s="112"/>
      <c r="J710" s="1"/>
    </row>
    <row r="711">
      <c r="A711" s="59">
        <f>HYPERLINK("https://polkadot.subsquare.io/treasury/proposals/124", 124)</f>
        <v>124</v>
      </c>
      <c r="B711" s="59">
        <f t="shared" si="10"/>
        <v>-1</v>
      </c>
      <c r="C711" s="1" t="s">
        <v>3004</v>
      </c>
      <c r="D711" s="69"/>
      <c r="E711" s="69">
        <v>44724.0</v>
      </c>
      <c r="F711" s="1" t="s">
        <v>2832</v>
      </c>
      <c r="G711" s="112"/>
      <c r="H711" s="112"/>
      <c r="I711" s="112"/>
      <c r="J711" s="1"/>
    </row>
    <row r="712">
      <c r="A712" s="59">
        <f>HYPERLINK("https://polkadot.subsquare.io/treasury/proposals/123", 123)</f>
        <v>123</v>
      </c>
      <c r="B712" s="59">
        <f t="shared" si="10"/>
        <v>-1</v>
      </c>
      <c r="C712" s="1" t="s">
        <v>3005</v>
      </c>
      <c r="D712" s="69"/>
      <c r="E712" s="69">
        <v>44724.0</v>
      </c>
      <c r="F712" s="1" t="s">
        <v>2832</v>
      </c>
      <c r="G712" s="112"/>
      <c r="H712" s="112"/>
      <c r="I712" s="112"/>
      <c r="J712" s="1"/>
    </row>
    <row r="713">
      <c r="A713" s="59">
        <f>HYPERLINK("https://polkadot.subsquare.io/treasury/proposals/122", 122)</f>
        <v>122</v>
      </c>
      <c r="B713" s="59">
        <f t="shared" si="10"/>
        <v>-1</v>
      </c>
      <c r="C713" s="1"/>
      <c r="D713" s="69"/>
      <c r="E713" s="69">
        <v>44724.0</v>
      </c>
      <c r="F713" s="1" t="s">
        <v>2832</v>
      </c>
      <c r="G713" s="112"/>
      <c r="H713" s="112"/>
      <c r="I713" s="112"/>
      <c r="J713" s="1"/>
    </row>
    <row r="714">
      <c r="A714" s="59">
        <f>HYPERLINK("https://polkadot.subsquare.io/treasury/proposals/121", 121)</f>
        <v>121</v>
      </c>
      <c r="B714" s="59">
        <f t="shared" si="10"/>
        <v>-1</v>
      </c>
      <c r="C714" s="1" t="s">
        <v>3006</v>
      </c>
      <c r="D714" s="69"/>
      <c r="E714" s="69">
        <v>44724.0</v>
      </c>
      <c r="F714" s="1" t="s">
        <v>2832</v>
      </c>
      <c r="G714" s="112"/>
      <c r="H714" s="112"/>
      <c r="I714" s="112"/>
      <c r="J714" s="1"/>
    </row>
    <row r="715">
      <c r="A715" s="59">
        <f>HYPERLINK("https://polkadot.subsquare.io/treasury/proposals/120", 120)</f>
        <v>120</v>
      </c>
      <c r="B715" s="59">
        <f t="shared" si="10"/>
        <v>-1</v>
      </c>
      <c r="C715" s="1" t="s">
        <v>3007</v>
      </c>
      <c r="D715" s="69"/>
      <c r="E715" s="69">
        <v>44724.0</v>
      </c>
      <c r="F715" s="1" t="s">
        <v>2832</v>
      </c>
      <c r="G715" s="112"/>
      <c r="H715" s="112"/>
      <c r="I715" s="112"/>
      <c r="J715" s="1"/>
    </row>
    <row r="716">
      <c r="A716" s="59">
        <f>HYPERLINK("https://polkadot.subsquare.io/treasury/proposals/119", 119)</f>
        <v>119</v>
      </c>
      <c r="B716" s="59">
        <f t="shared" si="10"/>
        <v>-1</v>
      </c>
      <c r="C716" s="1" t="s">
        <v>3008</v>
      </c>
      <c r="D716" s="69"/>
      <c r="E716" s="69">
        <v>44724.0</v>
      </c>
      <c r="F716" s="1" t="s">
        <v>2832</v>
      </c>
      <c r="G716" s="112"/>
      <c r="H716" s="112"/>
      <c r="I716" s="112"/>
      <c r="J716" s="1"/>
    </row>
    <row r="717">
      <c r="A717" s="59">
        <f>HYPERLINK("https://polkadot.subsquare.io/treasury/proposals/118", 118)</f>
        <v>118</v>
      </c>
      <c r="B717" s="59">
        <f t="shared" si="10"/>
        <v>-1</v>
      </c>
      <c r="C717" s="1"/>
      <c r="D717" s="69"/>
      <c r="E717" s="69">
        <v>44773.0</v>
      </c>
      <c r="F717" s="1" t="s">
        <v>2832</v>
      </c>
      <c r="G717" s="112"/>
      <c r="H717" s="112"/>
      <c r="I717" s="112"/>
      <c r="J717" s="1"/>
    </row>
    <row r="718">
      <c r="A718" s="59">
        <f>HYPERLINK("https://polkadot.subsquare.io/treasury/proposals/117", 117)</f>
        <v>117</v>
      </c>
      <c r="B718" s="59">
        <f t="shared" si="10"/>
        <v>-1</v>
      </c>
      <c r="C718" s="1" t="s">
        <v>3009</v>
      </c>
      <c r="D718" s="69"/>
      <c r="E718" s="69">
        <v>44724.0</v>
      </c>
      <c r="F718" s="1" t="s">
        <v>2832</v>
      </c>
      <c r="G718" s="112"/>
      <c r="H718" s="112"/>
      <c r="I718" s="112"/>
      <c r="J718" s="1"/>
    </row>
    <row r="719">
      <c r="A719" s="59">
        <f>HYPERLINK("https://polkadot.subsquare.io/treasury/proposals/116", 116)</f>
        <v>116</v>
      </c>
      <c r="B719" s="59">
        <f t="shared" si="10"/>
        <v>-1</v>
      </c>
      <c r="C719" s="1" t="s">
        <v>3010</v>
      </c>
      <c r="D719" s="69"/>
      <c r="E719" s="69">
        <v>44724.0</v>
      </c>
      <c r="F719" s="1" t="s">
        <v>2832</v>
      </c>
      <c r="G719" s="112"/>
      <c r="H719" s="112"/>
      <c r="I719" s="112"/>
      <c r="J719" s="1"/>
    </row>
    <row r="720">
      <c r="A720" s="59">
        <f>HYPERLINK("https://polkadot.subsquare.io/treasury/proposals/115", 115)</f>
        <v>115</v>
      </c>
      <c r="B720" s="59">
        <f t="shared" si="10"/>
        <v>-1</v>
      </c>
      <c r="C720" s="1" t="s">
        <v>3011</v>
      </c>
      <c r="D720" s="69"/>
      <c r="E720" s="69">
        <v>44700.0</v>
      </c>
      <c r="F720" s="1" t="s">
        <v>2832</v>
      </c>
      <c r="G720" s="112"/>
      <c r="H720" s="112"/>
      <c r="I720" s="112"/>
      <c r="J720" s="1"/>
    </row>
    <row r="721">
      <c r="A721" s="59">
        <f>HYPERLINK("https://polkadot.subsquare.io/treasury/proposals/114", 114)</f>
        <v>114</v>
      </c>
      <c r="B721" s="59">
        <f t="shared" si="10"/>
        <v>-1</v>
      </c>
      <c r="C721" s="1" t="s">
        <v>3012</v>
      </c>
      <c r="D721" s="69"/>
      <c r="E721" s="69">
        <v>44700.0</v>
      </c>
      <c r="F721" s="1" t="s">
        <v>2832</v>
      </c>
      <c r="G721" s="112"/>
      <c r="H721" s="112"/>
      <c r="I721" s="112"/>
      <c r="J721" s="1"/>
    </row>
    <row r="722">
      <c r="A722" s="59">
        <f>HYPERLINK("https://polkadot.subsquare.io/treasury/proposals/113", 113)</f>
        <v>113</v>
      </c>
      <c r="B722" s="59">
        <f t="shared" si="10"/>
        <v>-1</v>
      </c>
      <c r="C722" s="1" t="s">
        <v>3013</v>
      </c>
      <c r="D722" s="69"/>
      <c r="E722" s="69">
        <v>44700.0</v>
      </c>
      <c r="F722" s="1" t="s">
        <v>2832</v>
      </c>
      <c r="G722" s="112"/>
      <c r="H722" s="112"/>
      <c r="I722" s="112"/>
      <c r="J722" s="1"/>
    </row>
    <row r="723">
      <c r="A723" s="59">
        <f>HYPERLINK("https://polkadot.subsquare.io/treasury/proposals/112", 112)</f>
        <v>112</v>
      </c>
      <c r="B723" s="59">
        <f t="shared" si="10"/>
        <v>-1</v>
      </c>
      <c r="C723" s="1" t="s">
        <v>3014</v>
      </c>
      <c r="D723" s="69"/>
      <c r="E723" s="69">
        <v>44700.0</v>
      </c>
      <c r="F723" s="1" t="s">
        <v>2832</v>
      </c>
      <c r="G723" s="112"/>
      <c r="H723" s="112"/>
      <c r="I723" s="112"/>
      <c r="J723" s="1"/>
    </row>
    <row r="724">
      <c r="A724" s="59">
        <f>HYPERLINK("https://polkadot.subsquare.io/treasury/proposals/111", 111)</f>
        <v>111</v>
      </c>
      <c r="B724" s="59">
        <f t="shared" si="10"/>
        <v>-1</v>
      </c>
      <c r="C724" s="1" t="s">
        <v>3013</v>
      </c>
      <c r="D724" s="69"/>
      <c r="E724" s="69">
        <v>44700.0</v>
      </c>
      <c r="F724" s="1" t="s">
        <v>2832</v>
      </c>
      <c r="G724" s="112"/>
      <c r="H724" s="112"/>
      <c r="I724" s="112"/>
      <c r="J724" s="1"/>
    </row>
    <row r="725">
      <c r="A725" s="59">
        <f>HYPERLINK("https://polkadot.subsquare.io/treasury/proposals/110", 110)</f>
        <v>110</v>
      </c>
      <c r="B725" s="59">
        <f t="shared" si="10"/>
        <v>-1</v>
      </c>
      <c r="C725" s="1" t="s">
        <v>3015</v>
      </c>
      <c r="D725" s="69"/>
      <c r="E725" s="69">
        <v>44700.0</v>
      </c>
      <c r="F725" s="1" t="s">
        <v>2832</v>
      </c>
      <c r="G725" s="112"/>
      <c r="H725" s="112"/>
      <c r="I725" s="112"/>
      <c r="J725" s="1"/>
    </row>
    <row r="726">
      <c r="A726" s="59">
        <f>HYPERLINK("https://polkadot.subsquare.io/treasury/proposals/109", 109)</f>
        <v>109</v>
      </c>
      <c r="B726" s="59">
        <f t="shared" si="10"/>
        <v>-1</v>
      </c>
      <c r="C726" s="1"/>
      <c r="D726" s="69"/>
      <c r="E726" s="69">
        <v>44700.0</v>
      </c>
      <c r="F726" s="1" t="s">
        <v>2832</v>
      </c>
      <c r="G726" s="112"/>
      <c r="H726" s="112"/>
      <c r="I726" s="112"/>
      <c r="J726" s="1"/>
    </row>
    <row r="727">
      <c r="A727" s="59">
        <f>HYPERLINK("https://polkadot.subsquare.io/treasury/proposals/108", 108)</f>
        <v>108</v>
      </c>
      <c r="B727" s="59">
        <f t="shared" si="10"/>
        <v>-1</v>
      </c>
      <c r="C727" s="1" t="s">
        <v>3016</v>
      </c>
      <c r="D727" s="69"/>
      <c r="E727" s="69">
        <v>44700.0</v>
      </c>
      <c r="F727" s="1" t="s">
        <v>2832</v>
      </c>
      <c r="G727" s="112"/>
      <c r="H727" s="112"/>
      <c r="I727" s="112"/>
      <c r="J727" s="1"/>
    </row>
    <row r="728">
      <c r="A728" s="59">
        <f>HYPERLINK("https://polkadot.subsquare.io/treasury/proposals/107", 107)</f>
        <v>107</v>
      </c>
      <c r="B728" s="59">
        <f t="shared" si="10"/>
        <v>-1</v>
      </c>
      <c r="C728" s="1" t="s">
        <v>3017</v>
      </c>
      <c r="D728" s="69"/>
      <c r="E728" s="69">
        <v>44676.0</v>
      </c>
      <c r="F728" s="1" t="s">
        <v>2832</v>
      </c>
      <c r="G728" s="112"/>
      <c r="H728" s="112"/>
      <c r="I728" s="112"/>
      <c r="J728" s="1"/>
    </row>
    <row r="729">
      <c r="A729" s="59">
        <f>HYPERLINK("https://polkadot.subsquare.io/treasury/proposals/106", 106)</f>
        <v>106</v>
      </c>
      <c r="B729" s="59">
        <f t="shared" si="10"/>
        <v>-1</v>
      </c>
      <c r="C729" s="1" t="s">
        <v>3018</v>
      </c>
      <c r="D729" s="69"/>
      <c r="E729" s="69">
        <v>44676.0</v>
      </c>
      <c r="F729" s="1" t="s">
        <v>2832</v>
      </c>
      <c r="G729" s="112"/>
      <c r="H729" s="112"/>
      <c r="I729" s="112"/>
      <c r="J729" s="1"/>
    </row>
    <row r="730">
      <c r="A730" s="59">
        <f>HYPERLINK("https://polkadot.subsquare.io/treasury/proposals/105", 105)</f>
        <v>105</v>
      </c>
      <c r="B730" s="59">
        <f t="shared" si="10"/>
        <v>-1</v>
      </c>
      <c r="C730" s="1" t="s">
        <v>3019</v>
      </c>
      <c r="D730" s="69"/>
      <c r="E730" s="69">
        <v>44676.0</v>
      </c>
      <c r="F730" s="1" t="s">
        <v>2832</v>
      </c>
      <c r="G730" s="112"/>
      <c r="H730" s="112"/>
      <c r="I730" s="112"/>
      <c r="J730" s="1"/>
    </row>
    <row r="731">
      <c r="A731" s="59">
        <f>HYPERLINK("https://polkadot.subsquare.io/treasury/proposals/104", 104)</f>
        <v>104</v>
      </c>
      <c r="B731" s="59">
        <f t="shared" si="10"/>
        <v>-1</v>
      </c>
      <c r="C731" s="1" t="s">
        <v>3020</v>
      </c>
      <c r="D731" s="69"/>
      <c r="E731" s="69">
        <v>44676.0</v>
      </c>
      <c r="F731" s="1" t="s">
        <v>2832</v>
      </c>
      <c r="G731" s="112"/>
      <c r="H731" s="112"/>
      <c r="I731" s="112"/>
      <c r="J731" s="1"/>
    </row>
    <row r="732">
      <c r="A732" s="59">
        <f>HYPERLINK("https://polkadot.subsquare.io/treasury/proposals/103", 103)</f>
        <v>103</v>
      </c>
      <c r="B732" s="59">
        <f t="shared" si="10"/>
        <v>-1</v>
      </c>
      <c r="C732" s="1" t="s">
        <v>3021</v>
      </c>
      <c r="D732" s="69"/>
      <c r="E732" s="69">
        <v>44676.0</v>
      </c>
      <c r="F732" s="1" t="s">
        <v>2832</v>
      </c>
      <c r="G732" s="112"/>
      <c r="H732" s="112"/>
      <c r="I732" s="112"/>
      <c r="J732" s="1"/>
    </row>
    <row r="733">
      <c r="A733" s="59">
        <f>HYPERLINK("https://polkadot.subsquare.io/treasury/proposals/102", 102)</f>
        <v>102</v>
      </c>
      <c r="B733" s="59">
        <f t="shared" si="10"/>
        <v>-1</v>
      </c>
      <c r="C733" s="1" t="s">
        <v>3022</v>
      </c>
      <c r="D733" s="69"/>
      <c r="E733" s="69">
        <v>44652.0</v>
      </c>
      <c r="F733" s="1" t="s">
        <v>2832</v>
      </c>
      <c r="G733" s="112"/>
      <c r="H733" s="112"/>
      <c r="I733" s="112"/>
      <c r="J733" s="1"/>
    </row>
    <row r="734">
      <c r="A734" s="59">
        <f>HYPERLINK("https://polkadot.subsquare.io/treasury/proposals/101", 101)</f>
        <v>101</v>
      </c>
      <c r="B734" s="59">
        <f t="shared" si="10"/>
        <v>-1</v>
      </c>
      <c r="C734" s="1" t="s">
        <v>3023</v>
      </c>
      <c r="D734" s="69"/>
      <c r="E734" s="69">
        <v>44652.0</v>
      </c>
      <c r="F734" s="1" t="s">
        <v>2832</v>
      </c>
      <c r="G734" s="112"/>
      <c r="H734" s="112"/>
      <c r="I734" s="112"/>
      <c r="J734" s="1"/>
    </row>
    <row r="735">
      <c r="A735" s="59">
        <f>HYPERLINK("https://polkadot.subsquare.io/treasury/proposals/100", 100)</f>
        <v>100</v>
      </c>
      <c r="B735" s="59">
        <f t="shared" si="10"/>
        <v>-1</v>
      </c>
      <c r="C735" s="1" t="s">
        <v>3024</v>
      </c>
      <c r="D735" s="69"/>
      <c r="E735" s="69">
        <v>44652.0</v>
      </c>
      <c r="F735" s="1" t="s">
        <v>2832</v>
      </c>
      <c r="G735" s="112"/>
      <c r="H735" s="112"/>
      <c r="I735" s="112"/>
      <c r="J735" s="1"/>
    </row>
    <row r="736">
      <c r="A736" s="59">
        <f>HYPERLINK("https://polkadot.subsquare.io/treasury/proposals/99", 99)</f>
        <v>99</v>
      </c>
      <c r="B736" s="59">
        <f t="shared" si="10"/>
        <v>-1</v>
      </c>
      <c r="C736" s="1" t="s">
        <v>3025</v>
      </c>
      <c r="D736" s="69"/>
      <c r="E736" s="69">
        <v>44652.0</v>
      </c>
      <c r="F736" s="1" t="s">
        <v>2832</v>
      </c>
      <c r="G736" s="112"/>
      <c r="H736" s="112"/>
      <c r="I736" s="112"/>
      <c r="J736" s="1"/>
    </row>
    <row r="737">
      <c r="A737" s="59">
        <f>HYPERLINK("https://polkadot.subsquare.io/treasury/proposals/98", 98)</f>
        <v>98</v>
      </c>
      <c r="B737" s="59">
        <f t="shared" si="10"/>
        <v>-1</v>
      </c>
      <c r="C737" s="1"/>
      <c r="D737" s="69"/>
      <c r="E737" s="69">
        <v>44662.0</v>
      </c>
      <c r="F737" s="1" t="s">
        <v>1846</v>
      </c>
      <c r="G737" s="112"/>
      <c r="H737" s="112"/>
      <c r="I737" s="112"/>
      <c r="J737" s="1"/>
    </row>
    <row r="738">
      <c r="A738" s="59">
        <f>HYPERLINK("https://polkadot.subsquare.io/treasury/proposals/97", 97)</f>
        <v>97</v>
      </c>
      <c r="B738" s="59">
        <f t="shared" si="10"/>
        <v>-1</v>
      </c>
      <c r="C738" s="1" t="s">
        <v>3026</v>
      </c>
      <c r="D738" s="69"/>
      <c r="E738" s="69">
        <v>44652.0</v>
      </c>
      <c r="F738" s="1" t="s">
        <v>2832</v>
      </c>
      <c r="G738" s="112"/>
      <c r="H738" s="112"/>
      <c r="I738" s="112"/>
      <c r="J738" s="1"/>
    </row>
    <row r="739">
      <c r="A739" s="59">
        <f>HYPERLINK("https://polkadot.subsquare.io/treasury/proposals/96", 96)</f>
        <v>96</v>
      </c>
      <c r="B739" s="59">
        <f t="shared" si="10"/>
        <v>-1</v>
      </c>
      <c r="C739" s="1" t="s">
        <v>3027</v>
      </c>
      <c r="D739" s="69"/>
      <c r="E739" s="69">
        <v>44627.0</v>
      </c>
      <c r="F739" s="1" t="s">
        <v>2832</v>
      </c>
      <c r="G739" s="112"/>
      <c r="H739" s="112"/>
      <c r="I739" s="112"/>
      <c r="J739" s="1"/>
    </row>
    <row r="740">
      <c r="A740" s="59">
        <f>HYPERLINK("https://polkadot.subsquare.io/treasury/proposals/95", 95)</f>
        <v>95</v>
      </c>
      <c r="B740" s="59">
        <f t="shared" si="10"/>
        <v>-1</v>
      </c>
      <c r="C740" s="1" t="s">
        <v>3028</v>
      </c>
      <c r="D740" s="69"/>
      <c r="E740" s="69">
        <v>44627.0</v>
      </c>
      <c r="F740" s="1" t="s">
        <v>2832</v>
      </c>
      <c r="G740" s="112"/>
      <c r="H740" s="112"/>
      <c r="I740" s="112"/>
      <c r="J740" s="1"/>
    </row>
    <row r="741">
      <c r="A741" s="59">
        <f>HYPERLINK("https://polkadot.subsquare.io/treasury/proposals/94", 94)</f>
        <v>94</v>
      </c>
      <c r="B741" s="59">
        <f t="shared" si="10"/>
        <v>-1</v>
      </c>
      <c r="C741" s="1" t="s">
        <v>3029</v>
      </c>
      <c r="D741" s="69"/>
      <c r="E741" s="69">
        <v>44627.0</v>
      </c>
      <c r="F741" s="1" t="s">
        <v>2832</v>
      </c>
      <c r="G741" s="112"/>
      <c r="H741" s="112"/>
      <c r="I741" s="112"/>
      <c r="J741" s="1"/>
    </row>
    <row r="742">
      <c r="A742" s="59">
        <f>HYPERLINK("https://polkadot.subsquare.io/treasury/proposals/93", 93)</f>
        <v>93</v>
      </c>
      <c r="B742" s="59">
        <f t="shared" si="10"/>
        <v>-1</v>
      </c>
      <c r="C742" s="1" t="s">
        <v>3030</v>
      </c>
      <c r="D742" s="69"/>
      <c r="E742" s="69">
        <v>44627.0</v>
      </c>
      <c r="F742" s="1" t="s">
        <v>2832</v>
      </c>
      <c r="G742" s="112"/>
      <c r="H742" s="112"/>
      <c r="I742" s="112"/>
      <c r="J742" s="1"/>
    </row>
    <row r="743">
      <c r="A743" s="59">
        <f>HYPERLINK("https://polkadot.subsquare.io/treasury/proposals/92", 92)</f>
        <v>92</v>
      </c>
      <c r="B743" s="59">
        <f t="shared" si="10"/>
        <v>-1</v>
      </c>
      <c r="C743" s="1" t="s">
        <v>3031</v>
      </c>
      <c r="D743" s="69"/>
      <c r="E743" s="69">
        <v>44627.0</v>
      </c>
      <c r="F743" s="1" t="s">
        <v>2832</v>
      </c>
      <c r="G743" s="112"/>
      <c r="H743" s="112"/>
      <c r="I743" s="112"/>
      <c r="J743" s="1"/>
    </row>
    <row r="744">
      <c r="A744" s="59">
        <f>HYPERLINK("https://polkadot.subsquare.io/treasury/proposals/91", 91)</f>
        <v>91</v>
      </c>
      <c r="B744" s="59">
        <f t="shared" si="10"/>
        <v>-1</v>
      </c>
      <c r="C744" s="1" t="s">
        <v>3032</v>
      </c>
      <c r="D744" s="69"/>
      <c r="E744" s="69">
        <v>44627.0</v>
      </c>
      <c r="F744" s="1" t="s">
        <v>2832</v>
      </c>
      <c r="G744" s="112"/>
      <c r="H744" s="112"/>
      <c r="I744" s="112"/>
      <c r="J744" s="1"/>
    </row>
    <row r="745">
      <c r="A745" s="59">
        <f>HYPERLINK("https://polkadot.subsquare.io/treasury/proposals/90", 90)</f>
        <v>90</v>
      </c>
      <c r="B745" s="59">
        <f t="shared" si="10"/>
        <v>-1</v>
      </c>
      <c r="C745" s="1" t="s">
        <v>3033</v>
      </c>
      <c r="D745" s="69"/>
      <c r="E745" s="69">
        <v>44603.0</v>
      </c>
      <c r="F745" s="1" t="s">
        <v>2832</v>
      </c>
      <c r="G745" s="112"/>
      <c r="H745" s="112"/>
      <c r="I745" s="112"/>
      <c r="J745" s="1"/>
    </row>
    <row r="746">
      <c r="A746" s="59">
        <f>HYPERLINK("https://polkadot.subsquare.io/treasury/proposals/89", 89)</f>
        <v>89</v>
      </c>
      <c r="B746" s="59">
        <f t="shared" si="10"/>
        <v>-1</v>
      </c>
      <c r="C746" s="1"/>
      <c r="D746" s="69"/>
      <c r="E746" s="69">
        <v>44603.0</v>
      </c>
      <c r="F746" s="1" t="s">
        <v>2832</v>
      </c>
      <c r="G746" s="112"/>
      <c r="H746" s="112"/>
      <c r="I746" s="112"/>
      <c r="J746" s="1"/>
    </row>
    <row r="747">
      <c r="A747" s="59">
        <f>HYPERLINK("https://polkadot.subsquare.io/treasury/proposals/88", 88)</f>
        <v>88</v>
      </c>
      <c r="B747" s="59">
        <f t="shared" si="10"/>
        <v>-1</v>
      </c>
      <c r="C747" s="1" t="s">
        <v>3034</v>
      </c>
      <c r="D747" s="69"/>
      <c r="E747" s="69">
        <v>44603.0</v>
      </c>
      <c r="F747" s="1" t="s">
        <v>2832</v>
      </c>
      <c r="G747" s="112"/>
      <c r="H747" s="112"/>
      <c r="I747" s="112"/>
      <c r="J747" s="1"/>
    </row>
    <row r="748">
      <c r="A748" s="59">
        <f>HYPERLINK("https://polkadot.subsquare.io/treasury/proposals/87", 87)</f>
        <v>87</v>
      </c>
      <c r="B748" s="59">
        <f t="shared" si="10"/>
        <v>-1</v>
      </c>
      <c r="C748" s="67" t="s">
        <v>3035</v>
      </c>
      <c r="D748" s="69"/>
      <c r="E748" s="69">
        <v>44603.0</v>
      </c>
      <c r="F748" s="1" t="s">
        <v>2832</v>
      </c>
      <c r="G748" s="112"/>
      <c r="H748" s="112"/>
      <c r="I748" s="112"/>
      <c r="J748" s="1"/>
    </row>
    <row r="749">
      <c r="A749" s="59">
        <f>HYPERLINK("https://polkadot.subsquare.io/treasury/proposals/86", 86)</f>
        <v>86</v>
      </c>
      <c r="B749" s="59">
        <f t="shared" si="10"/>
        <v>-1</v>
      </c>
      <c r="C749" s="1" t="s">
        <v>3036</v>
      </c>
      <c r="D749" s="69"/>
      <c r="E749" s="69">
        <v>44603.0</v>
      </c>
      <c r="F749" s="1" t="s">
        <v>2832</v>
      </c>
      <c r="G749" s="112"/>
      <c r="H749" s="112"/>
      <c r="I749" s="112"/>
      <c r="J749" s="1"/>
    </row>
    <row r="750">
      <c r="A750" s="59">
        <f>HYPERLINK("https://polkadot.subsquare.io/treasury/proposals/85", 85)</f>
        <v>85</v>
      </c>
      <c r="B750" s="59">
        <f t="shared" si="10"/>
        <v>-1</v>
      </c>
      <c r="C750" s="1" t="s">
        <v>3037</v>
      </c>
      <c r="D750" s="69"/>
      <c r="E750" s="69">
        <v>44579.0</v>
      </c>
      <c r="F750" s="1" t="s">
        <v>2832</v>
      </c>
      <c r="G750" s="112"/>
      <c r="H750" s="112"/>
      <c r="I750" s="112"/>
      <c r="J750" s="1"/>
    </row>
    <row r="751">
      <c r="A751" s="59">
        <f>HYPERLINK("https://polkadot.subsquare.io/treasury/proposals/84", 84)</f>
        <v>84</v>
      </c>
      <c r="B751" s="59">
        <f t="shared" si="10"/>
        <v>-1</v>
      </c>
      <c r="C751" s="1" t="s">
        <v>3038</v>
      </c>
      <c r="D751" s="69"/>
      <c r="E751" s="69">
        <v>44579.0</v>
      </c>
      <c r="F751" s="1" t="s">
        <v>2832</v>
      </c>
      <c r="G751" s="112"/>
      <c r="H751" s="112"/>
      <c r="I751" s="112"/>
      <c r="J751" s="1"/>
    </row>
    <row r="752">
      <c r="A752" s="59">
        <f>HYPERLINK("https://polkadot.subsquare.io/treasury/proposals/83", 83)</f>
        <v>83</v>
      </c>
      <c r="B752" s="59">
        <f t="shared" si="10"/>
        <v>-1</v>
      </c>
      <c r="C752" s="1" t="s">
        <v>2943</v>
      </c>
      <c r="D752" s="69"/>
      <c r="E752" s="69">
        <v>44579.0</v>
      </c>
      <c r="F752" s="1" t="s">
        <v>2832</v>
      </c>
      <c r="G752" s="112"/>
      <c r="H752" s="112"/>
      <c r="I752" s="112"/>
      <c r="J752" s="1"/>
    </row>
    <row r="753">
      <c r="A753" s="59">
        <f>HYPERLINK("https://polkadot.subsquare.io/treasury/proposals/82", 82)</f>
        <v>82</v>
      </c>
      <c r="B753" s="59">
        <f t="shared" si="10"/>
        <v>-1</v>
      </c>
      <c r="C753" s="1" t="s">
        <v>3039</v>
      </c>
      <c r="D753" s="69"/>
      <c r="E753" s="69">
        <v>44627.0</v>
      </c>
      <c r="F753" s="1" t="s">
        <v>2832</v>
      </c>
      <c r="G753" s="112"/>
      <c r="H753" s="112"/>
      <c r="I753" s="112"/>
      <c r="J753" s="1"/>
    </row>
    <row r="754">
      <c r="A754" s="59">
        <f>HYPERLINK("https://polkadot.subsquare.io/treasury/proposals/81", 81)</f>
        <v>81</v>
      </c>
      <c r="B754" s="59">
        <f t="shared" si="10"/>
        <v>-1</v>
      </c>
      <c r="C754" s="1" t="s">
        <v>3040</v>
      </c>
      <c r="D754" s="69"/>
      <c r="E754" s="69">
        <v>44579.0</v>
      </c>
      <c r="F754" s="1" t="s">
        <v>2832</v>
      </c>
      <c r="G754" s="112"/>
      <c r="H754" s="112"/>
      <c r="I754" s="112"/>
      <c r="J754" s="1"/>
    </row>
    <row r="755">
      <c r="A755" s="59">
        <f>HYPERLINK("https://polkadot.subsquare.io/treasury/proposals/80", 80)</f>
        <v>80</v>
      </c>
      <c r="B755" s="59">
        <f t="shared" si="10"/>
        <v>-1</v>
      </c>
      <c r="C755" s="1" t="s">
        <v>3041</v>
      </c>
      <c r="D755" s="69"/>
      <c r="E755" s="69">
        <v>44579.0</v>
      </c>
      <c r="F755" s="1" t="s">
        <v>2832</v>
      </c>
      <c r="G755" s="112"/>
      <c r="H755" s="112"/>
      <c r="I755" s="112"/>
      <c r="J755" s="1"/>
    </row>
    <row r="756">
      <c r="A756" s="59">
        <f>HYPERLINK("https://polkadot.subsquare.io/treasury/proposals/79", 79)</f>
        <v>79</v>
      </c>
      <c r="B756" s="59">
        <f t="shared" si="10"/>
        <v>-1</v>
      </c>
      <c r="C756" s="1" t="s">
        <v>3042</v>
      </c>
      <c r="D756" s="69"/>
      <c r="E756" s="69">
        <v>44555.0</v>
      </c>
      <c r="F756" s="1" t="s">
        <v>2832</v>
      </c>
      <c r="G756" s="112"/>
      <c r="H756" s="112"/>
      <c r="I756" s="112"/>
      <c r="J756" s="1"/>
    </row>
    <row r="757">
      <c r="A757" s="59">
        <f>HYPERLINK("https://polkadot.subsquare.io/treasury/proposals/78", 78)</f>
        <v>78</v>
      </c>
      <c r="B757" s="59">
        <f t="shared" si="10"/>
        <v>-1</v>
      </c>
      <c r="C757" s="1" t="s">
        <v>3043</v>
      </c>
      <c r="D757" s="69"/>
      <c r="E757" s="69">
        <v>44555.0</v>
      </c>
      <c r="F757" s="1" t="s">
        <v>2832</v>
      </c>
      <c r="G757" s="112"/>
      <c r="H757" s="112"/>
      <c r="I757" s="112"/>
      <c r="J757" s="1"/>
    </row>
    <row r="758">
      <c r="A758" s="59">
        <f>HYPERLINK("https://polkadot.subsquare.io/treasury/proposals/77", 77)</f>
        <v>77</v>
      </c>
      <c r="B758" s="59">
        <f t="shared" si="10"/>
        <v>-1</v>
      </c>
      <c r="C758" s="1" t="s">
        <v>3044</v>
      </c>
      <c r="D758" s="69"/>
      <c r="E758" s="69">
        <v>44555.0</v>
      </c>
      <c r="F758" s="1" t="s">
        <v>2832</v>
      </c>
      <c r="G758" s="112"/>
      <c r="H758" s="112"/>
      <c r="I758" s="112"/>
      <c r="J758" s="1"/>
    </row>
    <row r="759">
      <c r="A759" s="59">
        <f>HYPERLINK("https://polkadot.subsquare.io/treasury/proposals/76", 76)</f>
        <v>76</v>
      </c>
      <c r="B759" s="59">
        <f t="shared" si="10"/>
        <v>-1</v>
      </c>
      <c r="C759" s="1" t="s">
        <v>3045</v>
      </c>
      <c r="D759" s="69"/>
      <c r="E759" s="69">
        <v>44531.0</v>
      </c>
      <c r="F759" s="1" t="s">
        <v>2832</v>
      </c>
      <c r="G759" s="112"/>
      <c r="H759" s="112"/>
      <c r="I759" s="112"/>
      <c r="J759" s="1"/>
    </row>
    <row r="760">
      <c r="A760" s="59">
        <f>HYPERLINK("https://polkadot.subsquare.io/treasury/proposals/75", 75)</f>
        <v>75</v>
      </c>
      <c r="B760" s="59">
        <f t="shared" si="10"/>
        <v>-1</v>
      </c>
      <c r="C760" s="1" t="s">
        <v>3046</v>
      </c>
      <c r="D760" s="69"/>
      <c r="E760" s="69">
        <v>44531.0</v>
      </c>
      <c r="F760" s="1" t="s">
        <v>2832</v>
      </c>
      <c r="G760" s="112"/>
      <c r="H760" s="112"/>
      <c r="I760" s="112"/>
      <c r="J760" s="1"/>
    </row>
    <row r="761">
      <c r="A761" s="59">
        <f>HYPERLINK("https://polkadot.subsquare.io/treasury/proposals/74", 74)</f>
        <v>74</v>
      </c>
      <c r="B761" s="59">
        <f t="shared" si="10"/>
        <v>-1</v>
      </c>
      <c r="C761" s="1" t="s">
        <v>3047</v>
      </c>
      <c r="D761" s="69"/>
      <c r="E761" s="69">
        <v>44531.0</v>
      </c>
      <c r="F761" s="1" t="s">
        <v>2832</v>
      </c>
      <c r="G761" s="112"/>
      <c r="H761" s="112"/>
      <c r="I761" s="112"/>
      <c r="J761" s="1"/>
    </row>
    <row r="762">
      <c r="A762" s="59">
        <f>HYPERLINK("https://polkadot.subsquare.io/treasury/proposals/73", 73)</f>
        <v>73</v>
      </c>
      <c r="B762" s="59">
        <f t="shared" si="10"/>
        <v>-1</v>
      </c>
      <c r="C762" s="1" t="s">
        <v>3048</v>
      </c>
      <c r="D762" s="69"/>
      <c r="E762" s="69">
        <v>44531.0</v>
      </c>
      <c r="F762" s="1" t="s">
        <v>2832</v>
      </c>
      <c r="G762" s="112"/>
      <c r="H762" s="112"/>
      <c r="I762" s="112"/>
      <c r="J762" s="1"/>
    </row>
    <row r="763">
      <c r="A763" s="59">
        <f>HYPERLINK("https://polkadot.subsquare.io/treasury/proposals/72", 72)</f>
        <v>72</v>
      </c>
      <c r="B763" s="59">
        <f t="shared" si="10"/>
        <v>-1</v>
      </c>
      <c r="C763" s="1" t="s">
        <v>3049</v>
      </c>
      <c r="D763" s="69"/>
      <c r="E763" s="69">
        <v>44507.0</v>
      </c>
      <c r="F763" s="1" t="s">
        <v>2832</v>
      </c>
      <c r="G763" s="112"/>
      <c r="H763" s="112"/>
      <c r="I763" s="112"/>
      <c r="J763" s="1"/>
    </row>
    <row r="764">
      <c r="A764" s="59">
        <f>HYPERLINK("https://polkadot.subsquare.io/treasury/proposals/71", 71)</f>
        <v>71</v>
      </c>
      <c r="B764" s="59">
        <f t="shared" si="10"/>
        <v>-1</v>
      </c>
      <c r="C764" s="1" t="s">
        <v>3050</v>
      </c>
      <c r="D764" s="69"/>
      <c r="E764" s="69">
        <v>44507.0</v>
      </c>
      <c r="F764" s="1" t="s">
        <v>2832</v>
      </c>
      <c r="G764" s="112"/>
      <c r="H764" s="112"/>
      <c r="I764" s="112"/>
      <c r="J764" s="1"/>
    </row>
    <row r="765">
      <c r="A765" s="59">
        <f>HYPERLINK("https://polkadot.subsquare.io/treasury/proposals/70", 70)</f>
        <v>70</v>
      </c>
      <c r="B765" s="59">
        <f t="shared" si="10"/>
        <v>-1</v>
      </c>
      <c r="C765" s="1" t="s">
        <v>3051</v>
      </c>
      <c r="D765" s="69"/>
      <c r="E765" s="69">
        <v>44483.0</v>
      </c>
      <c r="F765" s="1" t="s">
        <v>2832</v>
      </c>
      <c r="G765" s="112"/>
      <c r="H765" s="112"/>
      <c r="I765" s="112"/>
      <c r="J765" s="1"/>
    </row>
    <row r="766">
      <c r="A766" s="59">
        <f>HYPERLINK("https://polkadot.subsquare.io/treasury/proposals/69", 69)</f>
        <v>69</v>
      </c>
      <c r="B766" s="59">
        <f t="shared" si="10"/>
        <v>-1</v>
      </c>
      <c r="C766" s="1" t="s">
        <v>3052</v>
      </c>
      <c r="D766" s="69"/>
      <c r="E766" s="69">
        <v>44483.0</v>
      </c>
      <c r="F766" s="1" t="s">
        <v>2832</v>
      </c>
      <c r="G766" s="112"/>
      <c r="H766" s="112"/>
      <c r="I766" s="112"/>
      <c r="J766" s="1"/>
    </row>
    <row r="767">
      <c r="A767" s="59">
        <f>HYPERLINK("https://polkadot.subsquare.io/treasury/proposals/68", 68)</f>
        <v>68</v>
      </c>
      <c r="B767" s="59">
        <f t="shared" si="10"/>
        <v>-1</v>
      </c>
      <c r="C767" s="1" t="s">
        <v>3053</v>
      </c>
      <c r="D767" s="69"/>
      <c r="E767" s="69">
        <v>44459.0</v>
      </c>
      <c r="F767" s="1" t="s">
        <v>2832</v>
      </c>
      <c r="G767" s="112"/>
      <c r="H767" s="112"/>
      <c r="I767" s="112"/>
      <c r="J767" s="1"/>
    </row>
    <row r="768">
      <c r="A768" s="59">
        <f>HYPERLINK("https://polkadot.subsquare.io/treasury/proposals/67", 67)</f>
        <v>67</v>
      </c>
      <c r="B768" s="59">
        <f t="shared" si="10"/>
        <v>-1</v>
      </c>
      <c r="C768" s="1" t="s">
        <v>3054</v>
      </c>
      <c r="D768" s="69"/>
      <c r="E768" s="69">
        <v>44459.0</v>
      </c>
      <c r="F768" s="1" t="s">
        <v>2832</v>
      </c>
      <c r="G768" s="112"/>
      <c r="H768" s="112"/>
      <c r="I768" s="112"/>
      <c r="J768" s="1"/>
    </row>
    <row r="769">
      <c r="A769" s="59">
        <f>HYPERLINK("https://polkadot.subsquare.io/treasury/proposals/66", 66)</f>
        <v>66</v>
      </c>
      <c r="B769" s="59">
        <f t="shared" si="10"/>
        <v>-1</v>
      </c>
      <c r="C769" s="1" t="s">
        <v>3055</v>
      </c>
      <c r="D769" s="69"/>
      <c r="E769" s="69">
        <v>44459.0</v>
      </c>
      <c r="F769" s="1" t="s">
        <v>2832</v>
      </c>
      <c r="G769" s="112"/>
      <c r="H769" s="112"/>
      <c r="I769" s="112"/>
      <c r="J769" s="1"/>
    </row>
    <row r="770">
      <c r="A770" s="59">
        <f>HYPERLINK("https://polkadot.subsquare.io/treasury/proposals/65", 65)</f>
        <v>65</v>
      </c>
      <c r="B770" s="59">
        <f t="shared" si="10"/>
        <v>-1</v>
      </c>
      <c r="C770" s="1" t="s">
        <v>3056</v>
      </c>
      <c r="D770" s="69"/>
      <c r="E770" s="69">
        <v>44459.0</v>
      </c>
      <c r="F770" s="1" t="s">
        <v>2832</v>
      </c>
      <c r="G770" s="112"/>
      <c r="H770" s="112"/>
      <c r="I770" s="112"/>
      <c r="J770" s="1"/>
    </row>
    <row r="771">
      <c r="A771" s="59">
        <f>HYPERLINK("https://polkadot.subsquare.io/treasury/proposals/64", 64)</f>
        <v>64</v>
      </c>
      <c r="B771" s="59">
        <f t="shared" si="10"/>
        <v>-1</v>
      </c>
      <c r="C771" s="1" t="s">
        <v>3057</v>
      </c>
      <c r="D771" s="69"/>
      <c r="E771" s="69">
        <v>44435.0</v>
      </c>
      <c r="F771" s="1" t="s">
        <v>2832</v>
      </c>
      <c r="G771" s="112"/>
      <c r="H771" s="112"/>
      <c r="I771" s="112"/>
      <c r="J771" s="1"/>
    </row>
    <row r="772">
      <c r="A772" s="59">
        <f>HYPERLINK("https://polkadot.subsquare.io/treasury/proposals/63", 63)</f>
        <v>63</v>
      </c>
      <c r="B772" s="59">
        <f t="shared" si="10"/>
        <v>-1</v>
      </c>
      <c r="C772" s="1" t="s">
        <v>3058</v>
      </c>
      <c r="D772" s="69"/>
      <c r="E772" s="69">
        <v>44435.0</v>
      </c>
      <c r="F772" s="1" t="s">
        <v>2832</v>
      </c>
      <c r="G772" s="112"/>
      <c r="H772" s="112"/>
      <c r="I772" s="112"/>
      <c r="J772" s="1"/>
    </row>
    <row r="773">
      <c r="A773" s="59">
        <f>HYPERLINK("https://polkadot.subsquare.io/treasury/proposals/62", 62)</f>
        <v>62</v>
      </c>
      <c r="B773" s="59">
        <f t="shared" si="10"/>
        <v>-1</v>
      </c>
      <c r="C773" s="1" t="s">
        <v>3059</v>
      </c>
      <c r="D773" s="69"/>
      <c r="E773" s="69">
        <v>44435.0</v>
      </c>
      <c r="F773" s="1" t="s">
        <v>2832</v>
      </c>
      <c r="G773" s="112"/>
      <c r="H773" s="112"/>
      <c r="I773" s="112"/>
      <c r="J773" s="1"/>
    </row>
    <row r="774">
      <c r="A774" s="59">
        <f>HYPERLINK("https://polkadot.subsquare.io/treasury/proposals/61", 61)</f>
        <v>61</v>
      </c>
      <c r="B774" s="59">
        <f t="shared" si="10"/>
        <v>-1</v>
      </c>
      <c r="C774" s="1" t="s">
        <v>3060</v>
      </c>
      <c r="D774" s="69"/>
      <c r="E774" s="69">
        <v>44435.0</v>
      </c>
      <c r="F774" s="1" t="s">
        <v>2832</v>
      </c>
      <c r="G774" s="112"/>
      <c r="H774" s="112"/>
      <c r="I774" s="112"/>
      <c r="J774" s="1"/>
    </row>
    <row r="775">
      <c r="A775" s="59">
        <f>HYPERLINK("https://polkadot.subsquare.io/treasury/proposals/60", 60)</f>
        <v>60</v>
      </c>
      <c r="B775" s="59">
        <f t="shared" si="10"/>
        <v>-1</v>
      </c>
      <c r="C775" s="1" t="s">
        <v>3061</v>
      </c>
      <c r="D775" s="69"/>
      <c r="E775" s="69">
        <v>44411.0</v>
      </c>
      <c r="F775" s="1" t="s">
        <v>2832</v>
      </c>
      <c r="G775" s="112"/>
      <c r="H775" s="112"/>
      <c r="I775" s="112"/>
      <c r="J775" s="1"/>
    </row>
    <row r="776">
      <c r="A776" s="59">
        <f>HYPERLINK("https://polkadot.subsquare.io/treasury/proposals/59", 59)</f>
        <v>59</v>
      </c>
      <c r="B776" s="59">
        <f t="shared" si="10"/>
        <v>-1</v>
      </c>
      <c r="C776" s="1" t="s">
        <v>3062</v>
      </c>
      <c r="D776" s="69"/>
      <c r="E776" s="69">
        <v>44411.0</v>
      </c>
      <c r="F776" s="1" t="s">
        <v>2832</v>
      </c>
      <c r="G776" s="112"/>
      <c r="H776" s="112"/>
      <c r="I776" s="112"/>
      <c r="J776" s="1"/>
    </row>
    <row r="777">
      <c r="A777" s="59">
        <f>HYPERLINK("https://polkadot.subsquare.io/treasury/proposals/58", 58)</f>
        <v>58</v>
      </c>
      <c r="B777" s="59">
        <f t="shared" si="10"/>
        <v>-1</v>
      </c>
      <c r="C777" s="1" t="s">
        <v>3063</v>
      </c>
      <c r="D777" s="69"/>
      <c r="E777" s="69">
        <v>44411.0</v>
      </c>
      <c r="F777" s="1" t="s">
        <v>2832</v>
      </c>
      <c r="G777" s="112"/>
      <c r="H777" s="112"/>
      <c r="I777" s="112"/>
      <c r="J777" s="1"/>
    </row>
    <row r="778">
      <c r="A778" s="59">
        <f>HYPERLINK("https://polkadot.subsquare.io/treasury/proposals/57", 57)</f>
        <v>57</v>
      </c>
      <c r="B778" s="59">
        <f t="shared" si="10"/>
        <v>-1</v>
      </c>
      <c r="C778" s="1" t="s">
        <v>3064</v>
      </c>
      <c r="D778" s="69"/>
      <c r="E778" s="69">
        <v>44387.0</v>
      </c>
      <c r="F778" s="1" t="s">
        <v>2832</v>
      </c>
      <c r="G778" s="112"/>
      <c r="H778" s="112"/>
      <c r="I778" s="112"/>
      <c r="J778" s="1"/>
    </row>
    <row r="779">
      <c r="A779" s="59">
        <f>HYPERLINK("https://polkadot.subsquare.io/treasury/proposals/56", 56)</f>
        <v>56</v>
      </c>
      <c r="B779" s="59">
        <f t="shared" si="10"/>
        <v>-1</v>
      </c>
      <c r="C779" s="1" t="s">
        <v>3065</v>
      </c>
      <c r="D779" s="69"/>
      <c r="E779" s="69">
        <v>44387.0</v>
      </c>
      <c r="F779" s="1" t="s">
        <v>2832</v>
      </c>
      <c r="G779" s="112"/>
      <c r="H779" s="112"/>
      <c r="I779" s="112"/>
      <c r="J779" s="1"/>
    </row>
    <row r="780">
      <c r="A780" s="59">
        <f>HYPERLINK("https://polkadot.subsquare.io/treasury/proposals/55", 55)</f>
        <v>55</v>
      </c>
      <c r="B780" s="59">
        <f t="shared" si="10"/>
        <v>-1</v>
      </c>
      <c r="C780" s="1" t="s">
        <v>3066</v>
      </c>
      <c r="D780" s="69"/>
      <c r="E780" s="69">
        <v>44387.0</v>
      </c>
      <c r="F780" s="1" t="s">
        <v>2832</v>
      </c>
      <c r="G780" s="112"/>
      <c r="H780" s="112"/>
      <c r="I780" s="112"/>
      <c r="J780" s="1"/>
    </row>
    <row r="781">
      <c r="A781" s="59">
        <f>HYPERLINK("https://polkadot.subsquare.io/treasury/proposals/54", 54)</f>
        <v>54</v>
      </c>
      <c r="B781" s="59">
        <f t="shared" si="10"/>
        <v>-1</v>
      </c>
      <c r="C781" s="1" t="s">
        <v>3067</v>
      </c>
      <c r="D781" s="69"/>
      <c r="E781" s="69">
        <v>44387.0</v>
      </c>
      <c r="F781" s="1" t="s">
        <v>2832</v>
      </c>
      <c r="G781" s="112"/>
      <c r="H781" s="112"/>
      <c r="I781" s="112"/>
      <c r="J781" s="1"/>
    </row>
    <row r="782">
      <c r="A782" s="59">
        <f>HYPERLINK("https://polkadot.subsquare.io/treasury/proposals/53", 53)</f>
        <v>53</v>
      </c>
      <c r="B782" s="59">
        <f t="shared" si="10"/>
        <v>-1</v>
      </c>
      <c r="C782" s="1" t="s">
        <v>2943</v>
      </c>
      <c r="D782" s="69"/>
      <c r="E782" s="69">
        <v>44387.0</v>
      </c>
      <c r="F782" s="1" t="s">
        <v>2832</v>
      </c>
      <c r="G782" s="112"/>
      <c r="H782" s="112"/>
      <c r="I782" s="112"/>
      <c r="J782" s="1"/>
    </row>
    <row r="783">
      <c r="A783" s="59">
        <f>HYPERLINK("https://polkadot.subsquare.io/treasury/proposals/52", 52)</f>
        <v>52</v>
      </c>
      <c r="B783" s="59">
        <f t="shared" si="10"/>
        <v>-1</v>
      </c>
      <c r="C783" s="1" t="s">
        <v>3068</v>
      </c>
      <c r="D783" s="69"/>
      <c r="E783" s="69">
        <v>44507.0</v>
      </c>
      <c r="F783" s="1" t="s">
        <v>2832</v>
      </c>
      <c r="G783" s="112"/>
      <c r="H783" s="112"/>
      <c r="I783" s="112"/>
      <c r="J783" s="1"/>
    </row>
    <row r="784">
      <c r="A784" s="59">
        <f>HYPERLINK("https://polkadot.subsquare.io/treasury/proposals/51", 51)</f>
        <v>51</v>
      </c>
      <c r="B784" s="59">
        <f t="shared" si="10"/>
        <v>-1</v>
      </c>
      <c r="C784" s="1" t="s">
        <v>3069</v>
      </c>
      <c r="D784" s="69"/>
      <c r="E784" s="69">
        <v>44363.0</v>
      </c>
      <c r="F784" s="1" t="s">
        <v>2832</v>
      </c>
      <c r="G784" s="112"/>
      <c r="H784" s="112"/>
      <c r="I784" s="112"/>
      <c r="J784" s="1"/>
    </row>
    <row r="785">
      <c r="A785" s="59">
        <f>HYPERLINK("https://polkadot.subsquare.io/treasury/proposals/50", 50)</f>
        <v>50</v>
      </c>
      <c r="B785" s="59">
        <f t="shared" si="10"/>
        <v>-1</v>
      </c>
      <c r="C785" s="1" t="s">
        <v>3070</v>
      </c>
      <c r="D785" s="69"/>
      <c r="E785" s="69">
        <v>44339.0</v>
      </c>
      <c r="F785" s="1" t="s">
        <v>2832</v>
      </c>
      <c r="G785" s="112"/>
      <c r="H785" s="112"/>
      <c r="I785" s="112"/>
      <c r="J785" s="1"/>
    </row>
    <row r="786">
      <c r="A786" s="59">
        <f>HYPERLINK("https://polkadot.subsquare.io/treasury/proposals/49", 49)</f>
        <v>49</v>
      </c>
      <c r="B786" s="59">
        <f t="shared" si="10"/>
        <v>-1</v>
      </c>
      <c r="C786" s="1" t="s">
        <v>3071</v>
      </c>
      <c r="D786" s="69"/>
      <c r="E786" s="69">
        <v>44339.0</v>
      </c>
      <c r="F786" s="1" t="s">
        <v>2832</v>
      </c>
      <c r="G786" s="112"/>
      <c r="H786" s="112"/>
      <c r="I786" s="112"/>
      <c r="J786" s="1"/>
    </row>
    <row r="787">
      <c r="A787" s="59">
        <f>HYPERLINK("https://polkadot.subsquare.io/treasury/proposals/48", 48)</f>
        <v>48</v>
      </c>
      <c r="B787" s="59">
        <f t="shared" si="10"/>
        <v>-1</v>
      </c>
      <c r="C787" s="1" t="s">
        <v>3058</v>
      </c>
      <c r="D787" s="69"/>
      <c r="E787" s="69">
        <v>44339.0</v>
      </c>
      <c r="F787" s="1" t="s">
        <v>2832</v>
      </c>
      <c r="G787" s="112"/>
      <c r="H787" s="112"/>
      <c r="I787" s="112"/>
      <c r="J787" s="1"/>
    </row>
    <row r="788">
      <c r="A788" s="59">
        <f>HYPERLINK("https://polkadot.subsquare.io/treasury/proposals/47", 47)</f>
        <v>47</v>
      </c>
      <c r="B788" s="59">
        <f t="shared" si="10"/>
        <v>-1</v>
      </c>
      <c r="C788" s="1" t="s">
        <v>3072</v>
      </c>
      <c r="D788" s="69"/>
      <c r="E788" s="69">
        <v>44315.0</v>
      </c>
      <c r="F788" s="1" t="s">
        <v>2832</v>
      </c>
      <c r="G788" s="112"/>
      <c r="H788" s="112"/>
      <c r="I788" s="112"/>
      <c r="J788" s="1"/>
    </row>
    <row r="789">
      <c r="A789" s="59">
        <f>HYPERLINK("https://polkadot.subsquare.io/treasury/proposals/46", 46)</f>
        <v>46</v>
      </c>
      <c r="B789" s="59">
        <f t="shared" si="10"/>
        <v>-1</v>
      </c>
      <c r="C789" s="1" t="s">
        <v>3073</v>
      </c>
      <c r="D789" s="69"/>
      <c r="E789" s="69">
        <v>44315.0</v>
      </c>
      <c r="F789" s="1" t="s">
        <v>2832</v>
      </c>
      <c r="G789" s="112"/>
      <c r="H789" s="112"/>
      <c r="I789" s="112"/>
      <c r="J789" s="1"/>
    </row>
    <row r="790">
      <c r="A790" s="59">
        <f>HYPERLINK("https://polkadot.subsquare.io/treasury/proposals/45", 45)</f>
        <v>45</v>
      </c>
      <c r="B790" s="59">
        <f t="shared" si="10"/>
        <v>-1</v>
      </c>
      <c r="C790" s="1"/>
      <c r="D790" s="69"/>
      <c r="E790" s="69">
        <v>44315.0</v>
      </c>
      <c r="F790" s="1" t="s">
        <v>2832</v>
      </c>
      <c r="G790" s="112"/>
      <c r="H790" s="112"/>
      <c r="I790" s="112"/>
      <c r="J790" s="1"/>
    </row>
    <row r="791">
      <c r="A791" s="59">
        <f>HYPERLINK("https://polkadot.subsquare.io/treasury/proposals/44", 44)</f>
        <v>44</v>
      </c>
      <c r="B791" s="59">
        <f t="shared" si="10"/>
        <v>-1</v>
      </c>
      <c r="C791" s="1" t="s">
        <v>3074</v>
      </c>
      <c r="D791" s="69"/>
      <c r="E791" s="69">
        <v>44315.0</v>
      </c>
      <c r="F791" s="1" t="s">
        <v>2832</v>
      </c>
      <c r="G791" s="112"/>
      <c r="H791" s="112"/>
      <c r="I791" s="112"/>
      <c r="J791" s="1"/>
    </row>
    <row r="792">
      <c r="A792" s="59">
        <f>HYPERLINK("https://polkadot.subsquare.io/treasury/proposals/43", 43)</f>
        <v>43</v>
      </c>
      <c r="B792" s="59">
        <f t="shared" si="10"/>
        <v>-1</v>
      </c>
      <c r="C792" s="1" t="s">
        <v>3075</v>
      </c>
      <c r="D792" s="69"/>
      <c r="E792" s="69">
        <v>44315.0</v>
      </c>
      <c r="F792" s="1" t="s">
        <v>2832</v>
      </c>
      <c r="G792" s="112"/>
      <c r="H792" s="112"/>
      <c r="I792" s="112"/>
      <c r="J792" s="1"/>
    </row>
    <row r="793">
      <c r="A793" s="59">
        <f>HYPERLINK("https://polkadot.subsquare.io/treasury/proposals/42", 42)</f>
        <v>42</v>
      </c>
      <c r="B793" s="59">
        <f t="shared" si="10"/>
        <v>-1</v>
      </c>
      <c r="C793" s="1" t="s">
        <v>3076</v>
      </c>
      <c r="D793" s="69"/>
      <c r="E793" s="69">
        <v>44291.0</v>
      </c>
      <c r="F793" s="1" t="s">
        <v>2832</v>
      </c>
      <c r="G793" s="112"/>
      <c r="H793" s="112"/>
      <c r="I793" s="112"/>
      <c r="J793" s="1"/>
    </row>
    <row r="794">
      <c r="A794" s="59">
        <f>HYPERLINK("https://polkadot.subsquare.io/treasury/proposals/41", 41)</f>
        <v>41</v>
      </c>
      <c r="B794" s="59">
        <f t="shared" si="10"/>
        <v>-1</v>
      </c>
      <c r="C794" s="1" t="s">
        <v>3077</v>
      </c>
      <c r="D794" s="69"/>
      <c r="E794" s="69">
        <v>44291.0</v>
      </c>
      <c r="F794" s="1" t="s">
        <v>2832</v>
      </c>
      <c r="G794" s="112"/>
      <c r="H794" s="112"/>
      <c r="I794" s="112"/>
      <c r="J794" s="1"/>
    </row>
    <row r="795">
      <c r="A795" s="59">
        <f>HYPERLINK("https://polkadot.subsquare.io/treasury/proposals/40", 40)</f>
        <v>40</v>
      </c>
      <c r="B795" s="59">
        <f t="shared" si="10"/>
        <v>-1</v>
      </c>
      <c r="C795" s="1" t="s">
        <v>3078</v>
      </c>
      <c r="D795" s="69"/>
      <c r="E795" s="69">
        <v>44266.0</v>
      </c>
      <c r="F795" s="1" t="s">
        <v>2832</v>
      </c>
      <c r="G795" s="112"/>
      <c r="H795" s="112"/>
      <c r="I795" s="112"/>
      <c r="J795" s="1"/>
    </row>
    <row r="796">
      <c r="A796" s="59">
        <f>HYPERLINK("https://polkadot.subsquare.io/treasury/proposals/39", 39)</f>
        <v>39</v>
      </c>
      <c r="B796" s="59">
        <f t="shared" si="10"/>
        <v>-1</v>
      </c>
      <c r="C796" s="1" t="s">
        <v>3079</v>
      </c>
      <c r="D796" s="69"/>
      <c r="E796" s="69">
        <v>44266.0</v>
      </c>
      <c r="F796" s="1" t="s">
        <v>2832</v>
      </c>
      <c r="G796" s="112"/>
      <c r="H796" s="112"/>
      <c r="I796" s="112"/>
      <c r="J796" s="1"/>
    </row>
    <row r="797">
      <c r="A797" s="59">
        <f>HYPERLINK("https://polkadot.subsquare.io/treasury/proposals/38", 38)</f>
        <v>38</v>
      </c>
      <c r="B797" s="59">
        <f t="shared" si="10"/>
        <v>-1</v>
      </c>
      <c r="C797" s="1"/>
      <c r="D797" s="69"/>
      <c r="E797" s="69">
        <v>44266.0</v>
      </c>
      <c r="F797" s="1" t="s">
        <v>2832</v>
      </c>
      <c r="G797" s="112"/>
      <c r="H797" s="112"/>
      <c r="I797" s="112"/>
      <c r="J797" s="1"/>
    </row>
    <row r="798">
      <c r="A798" s="59">
        <f>HYPERLINK("https://polkadot.subsquare.io/treasury/proposals/37", 37)</f>
        <v>37</v>
      </c>
      <c r="B798" s="59">
        <f t="shared" si="10"/>
        <v>-1</v>
      </c>
      <c r="C798" s="1" t="s">
        <v>3080</v>
      </c>
      <c r="D798" s="69"/>
      <c r="E798" s="69">
        <v>44291.0</v>
      </c>
      <c r="F798" s="1" t="s">
        <v>2832</v>
      </c>
      <c r="G798" s="112"/>
      <c r="H798" s="112"/>
      <c r="I798" s="112"/>
      <c r="J798" s="1"/>
    </row>
    <row r="799">
      <c r="A799" s="59">
        <f>HYPERLINK("https://polkadot.subsquare.io/treasury/proposals/36", 36)</f>
        <v>36</v>
      </c>
      <c r="B799" s="59">
        <f t="shared" si="10"/>
        <v>-1</v>
      </c>
      <c r="C799" s="1" t="s">
        <v>3081</v>
      </c>
      <c r="D799" s="69"/>
      <c r="E799" s="69">
        <v>44266.0</v>
      </c>
      <c r="F799" s="1" t="s">
        <v>2832</v>
      </c>
      <c r="G799" s="112"/>
      <c r="H799" s="112"/>
      <c r="I799" s="112"/>
      <c r="J799" s="1"/>
    </row>
    <row r="800">
      <c r="A800" s="59">
        <f>HYPERLINK("https://polkadot.subsquare.io/treasury/proposals/35", 35)</f>
        <v>35</v>
      </c>
      <c r="B800" s="59">
        <f t="shared" si="10"/>
        <v>-1</v>
      </c>
      <c r="C800" s="1" t="s">
        <v>3082</v>
      </c>
      <c r="D800" s="69"/>
      <c r="E800" s="69">
        <v>44242.0</v>
      </c>
      <c r="F800" s="1" t="s">
        <v>2832</v>
      </c>
      <c r="G800" s="112"/>
      <c r="H800" s="112"/>
      <c r="I800" s="112"/>
      <c r="J800" s="1"/>
    </row>
    <row r="801">
      <c r="A801" s="59">
        <f>HYPERLINK("https://polkadot.subsquare.io/treasury/proposals/34", 34)</f>
        <v>34</v>
      </c>
      <c r="B801" s="59">
        <f t="shared" si="10"/>
        <v>-1</v>
      </c>
      <c r="C801" s="1" t="s">
        <v>3083</v>
      </c>
      <c r="D801" s="69"/>
      <c r="E801" s="69">
        <v>44242.0</v>
      </c>
      <c r="F801" s="1" t="s">
        <v>2832</v>
      </c>
      <c r="G801" s="112"/>
      <c r="H801" s="112"/>
      <c r="I801" s="112"/>
      <c r="J801" s="1"/>
    </row>
    <row r="802">
      <c r="A802" s="59">
        <f>HYPERLINK("https://polkadot.subsquare.io/treasury/proposals/33", 33)</f>
        <v>33</v>
      </c>
      <c r="B802" s="59">
        <f t="shared" si="10"/>
        <v>-1</v>
      </c>
      <c r="C802" s="1" t="s">
        <v>3084</v>
      </c>
      <c r="D802" s="69"/>
      <c r="E802" s="69">
        <v>44226.0</v>
      </c>
      <c r="F802" s="1" t="s">
        <v>1846</v>
      </c>
      <c r="G802" s="112"/>
      <c r="H802" s="112"/>
      <c r="I802" s="112"/>
      <c r="J802" s="1"/>
    </row>
    <row r="803">
      <c r="A803" s="59">
        <f>HYPERLINK("https://polkadot.subsquare.io/treasury/proposals/32", 32)</f>
        <v>32</v>
      </c>
      <c r="B803" s="59">
        <f t="shared" si="10"/>
        <v>-1</v>
      </c>
      <c r="C803" s="1"/>
      <c r="D803" s="69"/>
      <c r="E803" s="69">
        <v>44242.0</v>
      </c>
      <c r="F803" s="1" t="s">
        <v>2832</v>
      </c>
      <c r="G803" s="112"/>
      <c r="H803" s="112"/>
      <c r="I803" s="112"/>
      <c r="J803" s="1"/>
    </row>
    <row r="804">
      <c r="A804" s="59">
        <f>HYPERLINK("https://polkadot.subsquare.io/treasury/proposals/31", 31)</f>
        <v>31</v>
      </c>
      <c r="B804" s="59">
        <f t="shared" si="10"/>
        <v>-1</v>
      </c>
      <c r="C804" s="1" t="s">
        <v>3085</v>
      </c>
      <c r="D804" s="69"/>
      <c r="E804" s="69">
        <v>44218.0</v>
      </c>
      <c r="F804" s="1" t="s">
        <v>2832</v>
      </c>
      <c r="G804" s="112"/>
      <c r="H804" s="112"/>
      <c r="I804" s="112"/>
      <c r="J804" s="1"/>
    </row>
    <row r="805">
      <c r="A805" s="59">
        <f>HYPERLINK("https://polkadot.subsquare.io/treasury/proposals/30", 30)</f>
        <v>30</v>
      </c>
      <c r="B805" s="59">
        <f t="shared" si="10"/>
        <v>-1</v>
      </c>
      <c r="C805" s="1" t="s">
        <v>3086</v>
      </c>
      <c r="D805" s="69"/>
      <c r="E805" s="69">
        <v>44218.0</v>
      </c>
      <c r="F805" s="1" t="s">
        <v>2832</v>
      </c>
      <c r="G805" s="112"/>
      <c r="H805" s="112"/>
      <c r="I805" s="112"/>
      <c r="J805" s="1"/>
    </row>
    <row r="806">
      <c r="A806" s="59">
        <f>HYPERLINK("https://polkadot.subsquare.io/treasury/proposals/29", 29)</f>
        <v>29</v>
      </c>
      <c r="B806" s="59">
        <f t="shared" si="10"/>
        <v>-1</v>
      </c>
      <c r="C806" s="1" t="s">
        <v>3087</v>
      </c>
      <c r="D806" s="69"/>
      <c r="E806" s="69">
        <v>44194.0</v>
      </c>
      <c r="F806" s="1" t="s">
        <v>2832</v>
      </c>
      <c r="G806" s="112"/>
      <c r="H806" s="112"/>
      <c r="I806" s="112"/>
      <c r="J806" s="1"/>
    </row>
    <row r="807">
      <c r="A807" s="59">
        <f>HYPERLINK("https://polkadot.subsquare.io/treasury/proposals/28", 28)</f>
        <v>28</v>
      </c>
      <c r="B807" s="59">
        <f t="shared" si="10"/>
        <v>-1</v>
      </c>
      <c r="C807" s="1" t="s">
        <v>3088</v>
      </c>
      <c r="D807" s="69"/>
      <c r="E807" s="69">
        <v>44194.0</v>
      </c>
      <c r="F807" s="1" t="s">
        <v>2832</v>
      </c>
      <c r="G807" s="112"/>
      <c r="H807" s="112"/>
      <c r="I807" s="112"/>
      <c r="J807" s="1"/>
    </row>
    <row r="808">
      <c r="A808" s="59">
        <f>HYPERLINK("https://polkadot.subsquare.io/treasury/proposals/27", 27)</f>
        <v>27</v>
      </c>
      <c r="B808" s="59">
        <f t="shared" si="10"/>
        <v>-1</v>
      </c>
      <c r="C808" s="1" t="s">
        <v>3089</v>
      </c>
      <c r="D808" s="69"/>
      <c r="E808" s="69">
        <v>44194.0</v>
      </c>
      <c r="F808" s="1" t="s">
        <v>2832</v>
      </c>
      <c r="G808" s="112"/>
      <c r="H808" s="112"/>
      <c r="I808" s="112"/>
      <c r="J808" s="1"/>
    </row>
    <row r="809">
      <c r="A809" s="59">
        <f>HYPERLINK("https://polkadot.subsquare.io/treasury/proposals/26", 26)</f>
        <v>26</v>
      </c>
      <c r="B809" s="59">
        <f t="shared" si="10"/>
        <v>-1</v>
      </c>
      <c r="C809" s="1" t="s">
        <v>3090</v>
      </c>
      <c r="D809" s="69"/>
      <c r="E809" s="69">
        <v>44194.0</v>
      </c>
      <c r="F809" s="1" t="s">
        <v>2832</v>
      </c>
      <c r="G809" s="112"/>
      <c r="H809" s="112"/>
      <c r="I809" s="112"/>
      <c r="J809" s="1"/>
    </row>
    <row r="810">
      <c r="A810" s="59">
        <f>HYPERLINK("https://polkadot.subsquare.io/treasury/proposals/25", 25)</f>
        <v>25</v>
      </c>
      <c r="B810" s="59">
        <f t="shared" si="10"/>
        <v>-1</v>
      </c>
      <c r="C810" s="1" t="s">
        <v>3091</v>
      </c>
      <c r="D810" s="69"/>
      <c r="E810" s="69">
        <v>44194.0</v>
      </c>
      <c r="F810" s="1" t="s">
        <v>2832</v>
      </c>
      <c r="G810" s="112"/>
      <c r="H810" s="112"/>
      <c r="I810" s="112"/>
      <c r="J810" s="1"/>
    </row>
    <row r="811">
      <c r="A811" s="59">
        <f>HYPERLINK("https://polkadot.subsquare.io/treasury/proposals/24", 24)</f>
        <v>24</v>
      </c>
      <c r="B811" s="59">
        <f t="shared" si="10"/>
        <v>-1</v>
      </c>
      <c r="C811" s="1" t="s">
        <v>3092</v>
      </c>
      <c r="D811" s="69"/>
      <c r="E811" s="69">
        <v>44170.0</v>
      </c>
      <c r="F811" s="1" t="s">
        <v>2832</v>
      </c>
      <c r="G811" s="112"/>
      <c r="H811" s="112"/>
      <c r="I811" s="112"/>
      <c r="J811" s="1"/>
    </row>
    <row r="812">
      <c r="A812" s="59">
        <f>HYPERLINK("https://polkadot.subsquare.io/treasury/proposals/23", 23)</f>
        <v>23</v>
      </c>
      <c r="B812" s="59">
        <f t="shared" si="10"/>
        <v>-1</v>
      </c>
      <c r="C812" s="1" t="s">
        <v>3093</v>
      </c>
      <c r="D812" s="69"/>
      <c r="E812" s="69">
        <v>44170.0</v>
      </c>
      <c r="F812" s="1" t="s">
        <v>2832</v>
      </c>
      <c r="G812" s="112"/>
      <c r="H812" s="112"/>
      <c r="I812" s="112"/>
      <c r="J812" s="1"/>
    </row>
    <row r="813">
      <c r="A813" s="59">
        <f>HYPERLINK("https://polkadot.subsquare.io/treasury/proposals/22", 22)</f>
        <v>22</v>
      </c>
      <c r="B813" s="59">
        <f t="shared" si="10"/>
        <v>-1</v>
      </c>
      <c r="C813" s="1" t="s">
        <v>3094</v>
      </c>
      <c r="D813" s="69"/>
      <c r="E813" s="69">
        <v>44170.0</v>
      </c>
      <c r="F813" s="1" t="s">
        <v>2832</v>
      </c>
      <c r="G813" s="112"/>
      <c r="H813" s="112"/>
      <c r="I813" s="112"/>
      <c r="J813" s="1"/>
    </row>
    <row r="814">
      <c r="A814" s="59">
        <f>HYPERLINK("https://polkadot.subsquare.io/treasury/proposals/21", 21)</f>
        <v>21</v>
      </c>
      <c r="B814" s="59">
        <f t="shared" si="10"/>
        <v>-1</v>
      </c>
      <c r="C814" s="1" t="s">
        <v>3095</v>
      </c>
      <c r="D814" s="69"/>
      <c r="E814" s="69">
        <v>44146.0</v>
      </c>
      <c r="F814" s="1" t="s">
        <v>2832</v>
      </c>
      <c r="G814" s="112"/>
      <c r="H814" s="112"/>
      <c r="I814" s="112"/>
      <c r="J814" s="1"/>
    </row>
    <row r="815">
      <c r="A815" s="59">
        <f>HYPERLINK("https://polkadot.subsquare.io/treasury/proposals/20", 20)</f>
        <v>20</v>
      </c>
      <c r="B815" s="59">
        <f t="shared" si="10"/>
        <v>-1</v>
      </c>
      <c r="C815" s="1" t="s">
        <v>3096</v>
      </c>
      <c r="D815" s="69"/>
      <c r="E815" s="69">
        <v>44146.0</v>
      </c>
      <c r="F815" s="1" t="s">
        <v>2832</v>
      </c>
      <c r="G815" s="112"/>
      <c r="H815" s="112"/>
      <c r="I815" s="112"/>
      <c r="J815" s="1"/>
    </row>
    <row r="816">
      <c r="A816" s="59">
        <f>HYPERLINK("https://polkadot.subsquare.io/treasury/proposals/19", 19)</f>
        <v>19</v>
      </c>
      <c r="B816" s="59">
        <f t="shared" si="10"/>
        <v>-1</v>
      </c>
      <c r="C816" s="1"/>
      <c r="D816" s="69"/>
      <c r="E816" s="69">
        <v>44146.0</v>
      </c>
      <c r="F816" s="1" t="s">
        <v>2832</v>
      </c>
      <c r="G816" s="112"/>
      <c r="H816" s="112"/>
      <c r="I816" s="112"/>
      <c r="J816" s="1"/>
    </row>
    <row r="817">
      <c r="A817" s="59">
        <f>HYPERLINK("https://polkadot.subsquare.io/treasury/proposals/18", 18)</f>
        <v>18</v>
      </c>
      <c r="B817" s="59">
        <f t="shared" si="10"/>
        <v>-1</v>
      </c>
      <c r="C817" s="1" t="s">
        <v>3097</v>
      </c>
      <c r="D817" s="69"/>
      <c r="E817" s="69">
        <v>44146.0</v>
      </c>
      <c r="F817" s="1" t="s">
        <v>2832</v>
      </c>
      <c r="G817" s="112"/>
      <c r="H817" s="112"/>
      <c r="I817" s="112"/>
      <c r="J817" s="1"/>
    </row>
    <row r="818">
      <c r="A818" s="59">
        <f>HYPERLINK("https://polkadot.subsquare.io/treasury/proposals/17", 17)</f>
        <v>17</v>
      </c>
      <c r="B818" s="59">
        <f t="shared" si="10"/>
        <v>-1</v>
      </c>
      <c r="C818" s="1" t="s">
        <v>3098</v>
      </c>
      <c r="D818" s="69"/>
      <c r="E818" s="69">
        <v>44139.0</v>
      </c>
      <c r="F818" s="1" t="s">
        <v>1846</v>
      </c>
      <c r="G818" s="112"/>
      <c r="H818" s="112"/>
      <c r="I818" s="112"/>
      <c r="J818" s="1"/>
    </row>
    <row r="819">
      <c r="A819" s="59">
        <f>HYPERLINK("https://polkadot.subsquare.io/treasury/proposals/16", 16)</f>
        <v>16</v>
      </c>
      <c r="B819" s="59">
        <f t="shared" si="10"/>
        <v>-1</v>
      </c>
      <c r="C819" s="1" t="s">
        <v>3099</v>
      </c>
      <c r="D819" s="69"/>
      <c r="E819" s="69">
        <v>44122.0</v>
      </c>
      <c r="F819" s="1" t="s">
        <v>2832</v>
      </c>
      <c r="G819" s="112"/>
      <c r="H819" s="112"/>
      <c r="I819" s="112"/>
      <c r="J819" s="1"/>
    </row>
    <row r="820">
      <c r="A820" s="59">
        <f>HYPERLINK("https://polkadot.subsquare.io/treasury/proposals/15", 15)</f>
        <v>15</v>
      </c>
      <c r="B820" s="59">
        <f t="shared" si="10"/>
        <v>-1</v>
      </c>
      <c r="C820" s="1" t="s">
        <v>3100</v>
      </c>
      <c r="D820" s="69"/>
      <c r="E820" s="69">
        <v>44122.0</v>
      </c>
      <c r="F820" s="1" t="s">
        <v>2832</v>
      </c>
      <c r="G820" s="112"/>
      <c r="H820" s="112"/>
      <c r="I820" s="112"/>
      <c r="J820" s="1"/>
    </row>
    <row r="821">
      <c r="A821" s="59">
        <f>HYPERLINK("https://polkadot.subsquare.io/treasury/proposals/14", 14)</f>
        <v>14</v>
      </c>
      <c r="B821" s="59">
        <f t="shared" si="10"/>
        <v>-1</v>
      </c>
      <c r="C821" s="1" t="s">
        <v>3101</v>
      </c>
      <c r="D821" s="69"/>
      <c r="E821" s="69">
        <v>44122.0</v>
      </c>
      <c r="F821" s="1" t="s">
        <v>2832</v>
      </c>
      <c r="G821" s="112"/>
      <c r="H821" s="112"/>
      <c r="I821" s="112"/>
      <c r="J821" s="1"/>
    </row>
    <row r="822">
      <c r="A822" s="59">
        <f>HYPERLINK("https://polkadot.subsquare.io/treasury/proposals/13", 13)</f>
        <v>13</v>
      </c>
      <c r="B822" s="59">
        <f t="shared" si="10"/>
        <v>-1</v>
      </c>
      <c r="C822" s="1" t="s">
        <v>3102</v>
      </c>
      <c r="D822" s="69"/>
      <c r="E822" s="69">
        <v>44122.0</v>
      </c>
      <c r="F822" s="1" t="s">
        <v>2832</v>
      </c>
      <c r="G822" s="112"/>
      <c r="H822" s="112"/>
      <c r="I822" s="112"/>
      <c r="J822" s="1"/>
    </row>
    <row r="823">
      <c r="A823" s="59">
        <f>HYPERLINK("https://polkadot.subsquare.io/treasury/proposals/12", 12)</f>
        <v>12</v>
      </c>
      <c r="B823" s="59">
        <f t="shared" si="10"/>
        <v>-1</v>
      </c>
      <c r="C823" s="1"/>
      <c r="D823" s="69"/>
      <c r="E823" s="69">
        <v>44098.0</v>
      </c>
      <c r="F823" s="1" t="s">
        <v>2832</v>
      </c>
      <c r="G823" s="112"/>
      <c r="H823" s="112"/>
      <c r="I823" s="112"/>
      <c r="J823" s="1"/>
    </row>
    <row r="824">
      <c r="A824" s="59">
        <f>HYPERLINK("https://polkadot.subsquare.io/treasury/proposals/11", 11)</f>
        <v>11</v>
      </c>
      <c r="B824" s="59">
        <f t="shared" si="10"/>
        <v>-1</v>
      </c>
      <c r="C824" s="1"/>
      <c r="D824" s="69"/>
      <c r="E824" s="69">
        <v>44134.0</v>
      </c>
      <c r="F824" s="1" t="s">
        <v>1846</v>
      </c>
      <c r="G824" s="112"/>
      <c r="H824" s="112"/>
      <c r="I824" s="112"/>
      <c r="J824" s="1"/>
    </row>
    <row r="825">
      <c r="A825" s="59">
        <f>HYPERLINK("https://polkadot.subsquare.io/treasury/proposals/10", 10)</f>
        <v>10</v>
      </c>
      <c r="B825" s="59">
        <f t="shared" si="10"/>
        <v>-1</v>
      </c>
      <c r="C825" s="1" t="s">
        <v>3103</v>
      </c>
      <c r="D825" s="69"/>
      <c r="E825" s="69">
        <v>44098.0</v>
      </c>
      <c r="F825" s="1" t="s">
        <v>2832</v>
      </c>
      <c r="G825" s="112"/>
      <c r="H825" s="112"/>
      <c r="I825" s="112"/>
      <c r="J825" s="1"/>
    </row>
    <row r="826">
      <c r="A826" s="59">
        <f>HYPERLINK("https://polkadot.subsquare.io/treasury/proposals/9", 9)</f>
        <v>9</v>
      </c>
      <c r="B826" s="59">
        <f t="shared" si="10"/>
        <v>-1</v>
      </c>
      <c r="C826" s="1" t="s">
        <v>3104</v>
      </c>
      <c r="D826" s="69"/>
      <c r="E826" s="69">
        <v>44098.0</v>
      </c>
      <c r="F826" s="1" t="s">
        <v>2832</v>
      </c>
      <c r="G826" s="112"/>
      <c r="H826" s="112"/>
      <c r="I826" s="112"/>
      <c r="J826" s="1"/>
    </row>
    <row r="827">
      <c r="A827" s="59">
        <f>HYPERLINK("https://polkadot.subsquare.io/treasury/proposals/8", 8)</f>
        <v>8</v>
      </c>
      <c r="B827" s="59">
        <f t="shared" si="10"/>
        <v>-1</v>
      </c>
      <c r="C827" s="1"/>
      <c r="D827" s="69"/>
      <c r="E827" s="69">
        <v>44098.0</v>
      </c>
      <c r="F827" s="1" t="s">
        <v>2832</v>
      </c>
      <c r="G827" s="112"/>
      <c r="H827" s="112"/>
      <c r="I827" s="112"/>
      <c r="J827" s="1"/>
    </row>
    <row r="828">
      <c r="A828" s="59">
        <f>HYPERLINK("https://polkadot.subsquare.io/treasury/proposals/7", 7)</f>
        <v>7</v>
      </c>
      <c r="B828" s="59">
        <f t="shared" si="10"/>
        <v>-1</v>
      </c>
      <c r="C828" s="1"/>
      <c r="D828" s="69"/>
      <c r="E828" s="69">
        <v>44098.0</v>
      </c>
      <c r="F828" s="1" t="s">
        <v>2832</v>
      </c>
      <c r="G828" s="112"/>
      <c r="H828" s="112"/>
      <c r="I828" s="112"/>
      <c r="J828" s="1"/>
    </row>
    <row r="829">
      <c r="A829" s="59">
        <f>HYPERLINK("https://polkadot.subsquare.io/treasury/proposals/6", 6)</f>
        <v>6</v>
      </c>
      <c r="B829" s="59">
        <f t="shared" si="10"/>
        <v>-1</v>
      </c>
      <c r="C829" s="1"/>
      <c r="D829" s="69"/>
      <c r="E829" s="69">
        <v>44070.0</v>
      </c>
      <c r="F829" s="1" t="s">
        <v>1846</v>
      </c>
      <c r="G829" s="112"/>
      <c r="H829" s="112"/>
      <c r="I829" s="112"/>
      <c r="J829" s="1"/>
    </row>
    <row r="830">
      <c r="A830" s="59">
        <f>HYPERLINK("https://polkadot.subsquare.io/treasury/proposals/5", 5)</f>
        <v>5</v>
      </c>
      <c r="B830" s="59">
        <f t="shared" si="10"/>
        <v>-1</v>
      </c>
      <c r="C830" s="1"/>
      <c r="D830" s="69"/>
      <c r="E830" s="69">
        <v>44076.0</v>
      </c>
      <c r="F830" s="1" t="s">
        <v>1846</v>
      </c>
      <c r="G830" s="112"/>
      <c r="H830" s="112"/>
      <c r="I830" s="112"/>
      <c r="J830" s="1"/>
    </row>
    <row r="831">
      <c r="A831" s="59">
        <f>HYPERLINK("https://polkadot.subsquare.io/treasury/proposals/4", 4)</f>
        <v>4</v>
      </c>
      <c r="B831" s="59">
        <f t="shared" si="10"/>
        <v>-1</v>
      </c>
      <c r="C831" s="1"/>
      <c r="D831" s="69"/>
      <c r="E831" s="69">
        <v>44070.0</v>
      </c>
      <c r="F831" s="1" t="s">
        <v>1846</v>
      </c>
      <c r="G831" s="112"/>
      <c r="H831" s="112"/>
      <c r="I831" s="112"/>
      <c r="J831" s="1"/>
    </row>
    <row r="832">
      <c r="A832" s="59">
        <f>HYPERLINK("https://polkadot.subsquare.io/treasury/proposals/3", 3)</f>
        <v>3</v>
      </c>
      <c r="B832" s="59">
        <f t="shared" si="10"/>
        <v>-1</v>
      </c>
      <c r="C832" s="1"/>
      <c r="D832" s="69"/>
      <c r="E832" s="69">
        <v>44070.0</v>
      </c>
      <c r="F832" s="1" t="s">
        <v>1846</v>
      </c>
      <c r="G832" s="112"/>
      <c r="H832" s="112"/>
      <c r="I832" s="112"/>
      <c r="J832" s="1"/>
    </row>
    <row r="833">
      <c r="A833" s="59">
        <f>HYPERLINK("https://polkadot.subsquare.io/treasury/proposals/2", 2)</f>
        <v>2</v>
      </c>
      <c r="B833" s="59">
        <f t="shared" si="10"/>
        <v>-1</v>
      </c>
      <c r="C833" s="1"/>
      <c r="D833" s="69"/>
      <c r="E833" s="69">
        <v>44074.0</v>
      </c>
      <c r="F833" s="1" t="s">
        <v>2832</v>
      </c>
      <c r="G833" s="112"/>
      <c r="H833" s="112"/>
      <c r="I833" s="112"/>
      <c r="J833" s="1"/>
    </row>
    <row r="834">
      <c r="A834" s="59">
        <f>HYPERLINK("https://polkadot.subsquare.io/treasury/proposals/1", 1)</f>
        <v>1</v>
      </c>
      <c r="B834" s="59">
        <f t="shared" si="10"/>
        <v>-1</v>
      </c>
      <c r="C834" s="1"/>
      <c r="D834" s="69"/>
      <c r="E834" s="69">
        <v>44064.0</v>
      </c>
      <c r="F834" s="1" t="s">
        <v>1846</v>
      </c>
      <c r="G834" s="112"/>
      <c r="H834" s="112"/>
      <c r="I834" s="112"/>
      <c r="J834" s="1"/>
    </row>
    <row r="835">
      <c r="A835" s="59">
        <f>HYPERLINK("https://polkadot.subsquare.io/treasury/proposals/0", 0)</f>
        <v>0</v>
      </c>
      <c r="B835" s="59">
        <f t="shared" si="10"/>
        <v>-1</v>
      </c>
      <c r="C835" s="1" t="s">
        <v>3105</v>
      </c>
      <c r="D835" s="69"/>
      <c r="E835" s="69">
        <v>44074.0</v>
      </c>
      <c r="F835" s="1" t="s">
        <v>2832</v>
      </c>
      <c r="G835" s="112"/>
      <c r="H835" s="112"/>
      <c r="I835" s="112"/>
      <c r="J835" s="1"/>
    </row>
  </sheetData>
  <autoFilter ref="$A$1:$T$835"/>
  <hyperlinks>
    <hyperlink r:id="rId1" ref="C324"/>
    <hyperlink r:id="rId2" ref="C748"/>
  </hyperlinks>
  <drawing r:id="rId3"/>
</worksheet>
</file>